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Y:\5400\ADV_VEH_INFRA\Infrastructure_Systems\1.0 H2_Analysis_DOE\2.2 H2A_FCPower\Adjustment of NETL cases\"/>
    </mc:Choice>
  </mc:AlternateContent>
  <xr:revisionPtr revIDLastSave="0" documentId="13_ncr:1_{F7F968BE-FCC4-4FEB-A245-6B5606105938}" xr6:coauthVersionLast="47" xr6:coauthVersionMax="47" xr10:uidLastSave="{00000000-0000-0000-0000-000000000000}"/>
  <bookViews>
    <workbookView xWindow="-108" yWindow="-108" windowWidth="46296" windowHeight="25680" tabRatio="846"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Input_Sheet_Template!$E$101</definedName>
    <definedName name="acres">Input_Sheet_Template!$E$102</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Sequestration'!#REF!</definedName>
    <definedName name="CCSEqpCap">'Carbon Sequestration'!#REF!</definedName>
    <definedName name="CEPC_Factor_08to05">'Carbon Sequestration'!#REF!</definedName>
    <definedName name="CEPCIinflator">'Capital Costs'!$C$11</definedName>
    <definedName name="Chemical_price_indexes">'HyARC Physical Property Data'!$K$94:$L$123</definedName>
    <definedName name="cmboSelectFeed">"Drop Down 23"</definedName>
    <definedName name="CO2_aprx_indCap">'Carbon Sequestration'!#REF!</definedName>
    <definedName name="CO2_cap_charge_rate">'Carbon Sequestration'!$C$32</definedName>
    <definedName name="CO2_cap_rec">'Carbon Sequestration'!#REF!</definedName>
    <definedName name="CO2_capptonneCO2">'Carbon Sequestration'!#REF!</definedName>
    <definedName name="CO2_Capture_Efficiency">'Carbon Sequestration'!$C$28</definedName>
    <definedName name="CO2_CashFlow_eUse">'Cash Flow Analysis'!$J$133</definedName>
    <definedName name="CO2_ControlSystem">'Carbon Sequestration'!#REF!</definedName>
    <definedName name="CO2_credit">'Carbon Sequestration'!$C$31</definedName>
    <definedName name="CO2_depr_factor">'Carbon Sequestration'!#REF!</definedName>
    <definedName name="CO2_eCost">'Carbon Sequestration'!#REF!</definedName>
    <definedName name="CO2_eCostpY">'Carbon Sequestration'!$J$31</definedName>
    <definedName name="CO2_energyptonneCO2">'Carbon Sequestration'!#REF!</definedName>
    <definedName name="CO2_eUse_kWhpkg">'Carbon Sequestration'!#REF!</definedName>
    <definedName name="CO2_flowrate">'Carbon Sequestration'!$C$23</definedName>
    <definedName name="CO2_flowrate_GTpY">'Carbon Sequestration'!$C$24</definedName>
    <definedName name="CO2_inUse">'Carbon Sequestration'!$B$2</definedName>
    <definedName name="CO2_Location">Lists!$T$4:$T$5</definedName>
    <definedName name="CO2_MaintFactor">'Carbon Sequestration'!#REF!</definedName>
    <definedName name="CO2_Nwells">'Carbon Sequestration'!#REF!</definedName>
    <definedName name="CO2_OandMcost">Input_Sheet_Template!$E$155</definedName>
    <definedName name="CO2_OandMptonneCO2">'Carbon Sequestration'!#REF!</definedName>
    <definedName name="CO2_Pin_psia">'Carbon Sequestration'!$C$33</definedName>
    <definedName name="CO2_PipeDia">'Carbon Sequestration'!#REF!</definedName>
    <definedName name="CO2_PipeElevation">'Carbon Sequestration'!#REF!</definedName>
    <definedName name="CO2_PipeFactor">'Carbon Sequestration'!#REF!</definedName>
    <definedName name="CO2_PipeLength">'Carbon Sequestration'!$C$30</definedName>
    <definedName name="CO2_Pipeline_Temp">'Carbon Sequestration'!$C$34</definedName>
    <definedName name="CO2_Pipeline_Temp_factor">'Carbon Sequestration'!$C$34</definedName>
    <definedName name="CO2_Pump_Eff">'Carbon Sequestration'!#REF!</definedName>
    <definedName name="CO2_seq">Input_Sheet_Template!#REF!</definedName>
    <definedName name="CO2_SurgeTank">'Carbon Sequestration'!#REF!</definedName>
    <definedName name="CO2_Terrain">Lists!$V$4:$V$10</definedName>
    <definedName name="CO2_Terrain_2">Lists!$V$4:$W$10</definedName>
    <definedName name="CO2_Terrain_factor">'Carbon Sequestration'!$C$34</definedName>
    <definedName name="CO2_Value_Defaults">Lists!$Y$4:$Z$14</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Input_Sheet_Template!$E$98</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Sequestration'!#REF!</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Sequestration'!$C$28:$C$40</definedName>
    <definedName name="DR_Carbon_Sequestration_2">'Carbon Sequestration'!$C$30</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Input_Sheet_Template!$E$138:$E$139</definedName>
    <definedName name="Dynamic_NonE_Feed_Total">Input_Sheet_Template!$E$135:$E$138</definedName>
    <definedName name="Dynamic_Utilities_Total">Input_Sheet_Template!$F$78:$F$79</definedName>
    <definedName name="Energy_Feed_List">Lists!$K$12</definedName>
    <definedName name="Energy_Feed_Years">Lists!$K$14</definedName>
    <definedName name="Engin">Input_Sheet_Template!$E$92</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Input_Sheet_Template!$E$96</definedName>
    <definedName name="fixed">Input_Sheet_Template!$E$123</definedName>
    <definedName name="FTE_cost">Input_Sheet_Template!$E$111</definedName>
    <definedName name="FTEs">Input_Sheet_Template!$E$110</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Input_Sheet_Template!$E$112</definedName>
    <definedName name="land_cost">Input_Sheet_Template!$E$103</definedName>
    <definedName name="lb_to_kg">'Constants and Conversions'!$C$7</definedName>
    <definedName name="licensing">Input_Sheet_Template!$E$115</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Input_Sheet_Template!$E$119</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Sequestration'!#REF!</definedName>
    <definedName name="n_pumps">'Carbon Sequestration'!#REF!</definedName>
    <definedName name="ncf_to_Nm3">'Constants and Conversions'!$C$8</definedName>
    <definedName name="NG_to_CO2Pipeline">'Carbon Sequestration'!#REF!</definedName>
    <definedName name="nominal_irr">'Cash Flow Analysis'!$B$27</definedName>
    <definedName name="non_dep_cap">Input_Sheet_Template!$E$105</definedName>
    <definedName name="non_dep_infl">'Cash Flow Analysis'!$B$52</definedName>
    <definedName name="NPV">'Cash Flow Analysis'!$E$26</definedName>
    <definedName name="operator_profit">Input_Sheet_Template!$E$153</definedName>
    <definedName name="other_fees">Input_Sheet_Template!$E$121</definedName>
    <definedName name="other_fixed">Input_Sheet_Template!$E$122</definedName>
    <definedName name="Other_indirect">Input_Sheet_Template!$E$95</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Input_Sheet_Template!$E$114</definedName>
    <definedName name="overhead_rate">Input_Sheet_Template!$C$113</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Input_Sheet_Template!$E$97</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Input_Sheet_Template!$B$125:$G$160</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Input_Sheet_Template!$E$156</definedName>
    <definedName name="Proc_CO2_taxpYear">Input_Sheet_Template!$E$157</definedName>
    <definedName name="ProcEqpCap">'Plant Scaling'!$E$27</definedName>
    <definedName name="Process_cont">Input_Sheet_Template!$E$93</definedName>
    <definedName name="prod_maint">Input_Sheet_Template!$E$120</definedName>
    <definedName name="Project_cont">Input_Sheet_Template!$E$94</definedName>
    <definedName name="Pump_Eff">'Carbon Sequestration'!#REF!</definedName>
    <definedName name="pump_power">'Carbon Sequestration'!#REF!</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Input_Sheet_Template!$E$118</definedName>
    <definedName name="replace_factor">Input_Sheet_Template!$C$151</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Input_Sheet_Template!$E$152</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Input_Sheet_Template!$E$91</definedName>
    <definedName name="solidwaste_treat">Input_Sheet_Template!$E$150</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ProcessFlow!$BG$85</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Input_Sheet_Template!$A$139</definedName>
    <definedName name="START_NONE_FEED">Input_Sheet_Template!$A$138</definedName>
    <definedName name="START_NONE_TOP">Input_Sheet_Template!$A$135</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Input_Sheet_Template!$E$154</definedName>
    <definedName name="tax_ins_rate">Input_Sheet_Template!$C$116</definedName>
    <definedName name="tax_insurance">Input_Sheet_Template!$E$117</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Input_Sheet_Template!$C$134</definedName>
    <definedName name="TMP_NonE_Feed">Input_Sheet_Template!$C$130</definedName>
    <definedName name="TMP_NonE_StartPrice">Input_Sheet_Template!$C$131</definedName>
    <definedName name="TMP_NonE_StartYrCost">Input_Sheet_Template!$C$133</definedName>
    <definedName name="TMP_NonE_Type">Input_Sheet_Template!$B$130</definedName>
    <definedName name="TMP_NonE_Usage">Input_Sheet_Template!$C$132</definedName>
    <definedName name="TMP_NonE_Usage_txt">Input_Sheet_Template!$B$131</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Input_Sheet_Template!$C$145</definedName>
    <definedName name="total_cap">Input_Sheet_Template!$C$107</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Input_Sheet_Template!$C$143</definedName>
    <definedName name="total_non_energy_byproduct_credit">Input_Sheet_Template!$C$141</definedName>
    <definedName name="Total_Non_Energy_Feed_Cost">Input_Sheet_Template!$C$140</definedName>
    <definedName name="total_other_raw">Input_Sheet_Template!$E$148</definedName>
    <definedName name="total_tax_rate">Input_Sheet_Template!$C$55</definedName>
    <definedName name="total_utilities">Input_Sheet_Template!$C$144</definedName>
    <definedName name="total_var">Input_Sheet_Template!$E$160</definedName>
    <definedName name="upper_capacity_limit">'Plant Scaling'!$C$8</definedName>
    <definedName name="Upstream_CO2_tax">Input_Sheet_Template!$E$158</definedName>
    <definedName name="Upstream_CO2_taxpYear">Input_Sheet_Template!$E$159</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Input_Sheet_Template!$E$147</definedName>
    <definedName name="VAR_NonE_FEED_VALUES">Input_Sheet_Template!$B$130:$D$134</definedName>
    <definedName name="waste_treat">Input_Sheet_Template!$E$149</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8" i="33" l="1"/>
  <c r="V22" i="113"/>
  <c r="C149" i="6"/>
  <c r="C148" i="6"/>
  <c r="C119" i="6"/>
  <c r="C95" i="6"/>
  <c r="C8" i="24"/>
  <c r="C7" i="24"/>
  <c r="C101" i="113"/>
  <c r="D100" i="113"/>
  <c r="D99" i="113"/>
  <c r="D98" i="113"/>
  <c r="D97" i="113"/>
  <c r="D96" i="113"/>
  <c r="D95" i="113"/>
  <c r="D94" i="113"/>
  <c r="D93" i="113"/>
  <c r="D92" i="113"/>
  <c r="D91" i="113"/>
  <c r="W82" i="113"/>
  <c r="V82" i="113"/>
  <c r="U82" i="113"/>
  <c r="T82" i="113"/>
  <c r="S82" i="113"/>
  <c r="R82" i="113"/>
  <c r="Q82" i="113"/>
  <c r="P82" i="113"/>
  <c r="O82" i="113"/>
  <c r="N82" i="113"/>
  <c r="M82" i="113"/>
  <c r="L82" i="113"/>
  <c r="K82" i="113"/>
  <c r="J82" i="113"/>
  <c r="I82" i="113"/>
  <c r="H82" i="113"/>
  <c r="G82" i="113"/>
  <c r="F82" i="113"/>
  <c r="E82" i="113"/>
  <c r="D82" i="113"/>
  <c r="C82" i="113"/>
  <c r="W81" i="113"/>
  <c r="V81" i="113"/>
  <c r="U81" i="113"/>
  <c r="T81" i="113"/>
  <c r="S81" i="113"/>
  <c r="R81" i="113"/>
  <c r="Q81" i="113"/>
  <c r="P81" i="113"/>
  <c r="O81" i="113"/>
  <c r="N81" i="113"/>
  <c r="M81" i="113"/>
  <c r="L81" i="113"/>
  <c r="K81" i="113"/>
  <c r="J81" i="113"/>
  <c r="I81" i="113"/>
  <c r="H81" i="113"/>
  <c r="G81" i="113"/>
  <c r="F81" i="113"/>
  <c r="E81" i="113"/>
  <c r="D81" i="113"/>
  <c r="C81" i="113"/>
  <c r="W80" i="113"/>
  <c r="V80" i="113"/>
  <c r="U80" i="113"/>
  <c r="T80" i="113"/>
  <c r="S80" i="113"/>
  <c r="R80" i="113"/>
  <c r="Q80" i="113"/>
  <c r="P80" i="113"/>
  <c r="O80" i="113"/>
  <c r="N80" i="113"/>
  <c r="M80" i="113"/>
  <c r="L80" i="113"/>
  <c r="K80" i="113"/>
  <c r="J80" i="113"/>
  <c r="I80" i="113"/>
  <c r="H80" i="113"/>
  <c r="G80" i="113"/>
  <c r="F80" i="113"/>
  <c r="E80" i="113"/>
  <c r="D80" i="113"/>
  <c r="C80" i="113"/>
  <c r="W79" i="113"/>
  <c r="V79" i="113"/>
  <c r="U79" i="113"/>
  <c r="T79" i="113"/>
  <c r="S79" i="113"/>
  <c r="R79" i="113"/>
  <c r="Q79" i="113"/>
  <c r="P79" i="113"/>
  <c r="O79" i="113"/>
  <c r="N79" i="113"/>
  <c r="M79" i="113"/>
  <c r="L79" i="113"/>
  <c r="K79" i="113"/>
  <c r="J79" i="113"/>
  <c r="I79" i="113"/>
  <c r="H79" i="113"/>
  <c r="G79" i="113"/>
  <c r="F79" i="113"/>
  <c r="E79" i="113"/>
  <c r="D79" i="113"/>
  <c r="C79" i="113"/>
  <c r="W78" i="113"/>
  <c r="V78" i="113"/>
  <c r="U78" i="113"/>
  <c r="T78" i="113"/>
  <c r="S78" i="113"/>
  <c r="R78" i="113"/>
  <c r="Q78" i="113"/>
  <c r="P78" i="113"/>
  <c r="O78" i="113"/>
  <c r="N78" i="113"/>
  <c r="M78" i="113"/>
  <c r="L78" i="113"/>
  <c r="K78" i="113"/>
  <c r="J78" i="113"/>
  <c r="I78" i="113"/>
  <c r="H78" i="113"/>
  <c r="G78" i="113"/>
  <c r="F78" i="113"/>
  <c r="E78" i="113"/>
  <c r="D78" i="113"/>
  <c r="C78" i="113"/>
  <c r="AB77" i="113"/>
  <c r="AA77" i="113"/>
  <c r="W77" i="113"/>
  <c r="V77" i="113"/>
  <c r="U77" i="113"/>
  <c r="T77" i="113"/>
  <c r="S77" i="113"/>
  <c r="R77" i="113"/>
  <c r="Q77" i="113"/>
  <c r="P77" i="113"/>
  <c r="O77" i="113"/>
  <c r="N77" i="113"/>
  <c r="M77" i="113"/>
  <c r="L77" i="113"/>
  <c r="K77" i="113"/>
  <c r="J77" i="113"/>
  <c r="I77" i="113"/>
  <c r="H77" i="113"/>
  <c r="G77" i="113"/>
  <c r="F77" i="113"/>
  <c r="E77" i="113"/>
  <c r="D77" i="113"/>
  <c r="C77" i="113"/>
  <c r="W76" i="113"/>
  <c r="V76" i="113"/>
  <c r="V14" i="113" s="1"/>
  <c r="U76" i="113"/>
  <c r="T76" i="113"/>
  <c r="S76" i="113"/>
  <c r="R76" i="113"/>
  <c r="Q76" i="113"/>
  <c r="P76" i="113"/>
  <c r="O76" i="113"/>
  <c r="N76" i="113"/>
  <c r="M76" i="113"/>
  <c r="L76" i="113"/>
  <c r="K76" i="113"/>
  <c r="J76" i="113"/>
  <c r="I76" i="113"/>
  <c r="H76" i="113"/>
  <c r="G76" i="113"/>
  <c r="F76" i="113"/>
  <c r="E76" i="113"/>
  <c r="D76" i="113"/>
  <c r="C76" i="113"/>
  <c r="W75" i="113"/>
  <c r="V75" i="113"/>
  <c r="U75" i="113"/>
  <c r="T75" i="113"/>
  <c r="S75" i="113"/>
  <c r="R75" i="113"/>
  <c r="Q75" i="113"/>
  <c r="P75" i="113"/>
  <c r="O75" i="113"/>
  <c r="N75" i="113"/>
  <c r="M75" i="113"/>
  <c r="L75" i="113"/>
  <c r="K75" i="113"/>
  <c r="J75" i="113"/>
  <c r="I75" i="113"/>
  <c r="H75" i="113"/>
  <c r="G75" i="113"/>
  <c r="F75" i="113"/>
  <c r="E75" i="113"/>
  <c r="D75" i="113"/>
  <c r="C75" i="113"/>
  <c r="AB74" i="113"/>
  <c r="AA74" i="113"/>
  <c r="W74" i="113"/>
  <c r="V74" i="113"/>
  <c r="U74" i="113"/>
  <c r="T74" i="113"/>
  <c r="S74" i="113"/>
  <c r="R74" i="113"/>
  <c r="Q74" i="113"/>
  <c r="P74" i="113"/>
  <c r="O74" i="113"/>
  <c r="N74" i="113"/>
  <c r="M74" i="113"/>
  <c r="L74" i="113"/>
  <c r="K74" i="113"/>
  <c r="J74" i="113"/>
  <c r="I74" i="113"/>
  <c r="H74" i="113"/>
  <c r="G74" i="113"/>
  <c r="F74" i="113"/>
  <c r="E74" i="113"/>
  <c r="D74" i="113"/>
  <c r="C74" i="113"/>
  <c r="AB73" i="113"/>
  <c r="AA73" i="113"/>
  <c r="W73" i="113"/>
  <c r="V73" i="113"/>
  <c r="U73" i="113"/>
  <c r="T73" i="113"/>
  <c r="S73" i="113"/>
  <c r="R73" i="113"/>
  <c r="Q73" i="113"/>
  <c r="P73" i="113"/>
  <c r="O73" i="113"/>
  <c r="N73" i="113"/>
  <c r="M73" i="113"/>
  <c r="L73" i="113"/>
  <c r="K73" i="113"/>
  <c r="J73" i="113"/>
  <c r="I73" i="113"/>
  <c r="H73" i="113"/>
  <c r="G73" i="113"/>
  <c r="F73" i="113"/>
  <c r="E73" i="113"/>
  <c r="D73" i="113"/>
  <c r="C73" i="113"/>
  <c r="AB72" i="113"/>
  <c r="AA72" i="113"/>
  <c r="W72" i="113"/>
  <c r="V72" i="113"/>
  <c r="U72" i="113"/>
  <c r="T72" i="113"/>
  <c r="S72" i="113"/>
  <c r="R72" i="113"/>
  <c r="Q72" i="113"/>
  <c r="P72" i="113"/>
  <c r="O72" i="113"/>
  <c r="N72" i="113"/>
  <c r="M72" i="113"/>
  <c r="L72" i="113"/>
  <c r="K72" i="113"/>
  <c r="J72" i="113"/>
  <c r="I72" i="113"/>
  <c r="H72" i="113"/>
  <c r="G72" i="113"/>
  <c r="F72" i="113"/>
  <c r="E72" i="113"/>
  <c r="D72" i="113"/>
  <c r="C72" i="113"/>
  <c r="W71" i="113"/>
  <c r="V71" i="113"/>
  <c r="U71" i="113"/>
  <c r="T71" i="113"/>
  <c r="S71" i="113"/>
  <c r="R71" i="113"/>
  <c r="Q71" i="113"/>
  <c r="P71" i="113"/>
  <c r="O71" i="113"/>
  <c r="N71" i="113"/>
  <c r="M71" i="113"/>
  <c r="L71" i="113"/>
  <c r="K71" i="113"/>
  <c r="J71" i="113"/>
  <c r="I71" i="113"/>
  <c r="H71" i="113"/>
  <c r="G71" i="113"/>
  <c r="F71" i="113"/>
  <c r="E71" i="113"/>
  <c r="D71" i="113"/>
  <c r="C71" i="113"/>
  <c r="AB70" i="113"/>
  <c r="AA70" i="113"/>
  <c r="W70" i="113"/>
  <c r="V70" i="113"/>
  <c r="U70" i="113"/>
  <c r="T70" i="113"/>
  <c r="S70" i="113"/>
  <c r="R70" i="113"/>
  <c r="Q70" i="113"/>
  <c r="P70" i="113"/>
  <c r="O70" i="113"/>
  <c r="N70" i="113"/>
  <c r="M70" i="113"/>
  <c r="L70" i="113"/>
  <c r="K70" i="113"/>
  <c r="J70" i="113"/>
  <c r="I70" i="113"/>
  <c r="H70" i="113"/>
  <c r="G70" i="113"/>
  <c r="F70" i="113"/>
  <c r="E70" i="113"/>
  <c r="D70" i="113"/>
  <c r="C70" i="113"/>
  <c r="W69" i="113"/>
  <c r="V69" i="113"/>
  <c r="U69" i="113"/>
  <c r="T69" i="113"/>
  <c r="S69" i="113"/>
  <c r="R69" i="113"/>
  <c r="Q69" i="113"/>
  <c r="P69" i="113"/>
  <c r="O69" i="113"/>
  <c r="N69" i="113"/>
  <c r="M69" i="113"/>
  <c r="L69" i="113"/>
  <c r="K69" i="113"/>
  <c r="J69" i="113"/>
  <c r="I69" i="113"/>
  <c r="H69" i="113"/>
  <c r="G69" i="113"/>
  <c r="F69" i="113"/>
  <c r="E69" i="113"/>
  <c r="D69" i="113"/>
  <c r="C69" i="113"/>
  <c r="V20" i="113"/>
  <c r="D137" i="6" s="1"/>
  <c r="V12" i="113"/>
  <c r="V17" i="113" l="1"/>
  <c r="V13" i="113"/>
  <c r="V15" i="113" s="1"/>
  <c r="V10" i="113"/>
  <c r="V11" i="113" s="1"/>
  <c r="V7" i="113"/>
  <c r="V8" i="113" s="1"/>
  <c r="V9" i="113" s="1"/>
  <c r="V18" i="113" s="1"/>
  <c r="E77" i="6" s="1"/>
  <c r="W7" i="113"/>
  <c r="W8" i="113" s="1"/>
  <c r="W9" i="113" s="1"/>
  <c r="V6" i="113"/>
  <c r="V16" i="113"/>
  <c r="W10" i="113"/>
  <c r="W11" i="113" s="1"/>
  <c r="D101" i="113"/>
  <c r="V21" i="113" s="1"/>
  <c r="E75" i="6" s="1"/>
  <c r="G38" i="33" l="1"/>
  <c r="E38" i="33" s="1" a="1"/>
  <c r="E38" i="33" s="1"/>
  <c r="E35" i="33" l="1"/>
  <c r="G35" i="33"/>
  <c r="H35" i="33"/>
  <c r="F35" i="33"/>
  <c r="B129" i="18" l="1"/>
  <c r="B128" i="18"/>
  <c r="B39" i="33"/>
  <c r="C135" i="15" l="1"/>
  <c r="C134" i="15"/>
  <c r="C132" i="15"/>
  <c r="C131" i="15"/>
  <c r="B135" i="15"/>
  <c r="B134" i="15"/>
  <c r="B132" i="15"/>
  <c r="B131" i="15"/>
  <c r="C133" i="15" l="1"/>
  <c r="B133" i="15"/>
  <c r="F17" i="34" l="1"/>
  <c r="P134" i="15"/>
  <c r="P133" i="15"/>
  <c r="P131" i="15"/>
  <c r="B20" i="24" l="1"/>
  <c r="P132" i="15" l="1"/>
  <c r="C68" i="6"/>
  <c r="K119" i="18" l="1"/>
  <c r="K120" i="18" s="1"/>
  <c r="K121" i="18" s="1"/>
  <c r="K122" i="18" s="1"/>
  <c r="K123" i="18" s="1"/>
  <c r="D118" i="18"/>
  <c r="D119" i="18" l="1"/>
  <c r="D120" i="18" s="1"/>
  <c r="D121" i="18" s="1"/>
  <c r="D122" i="18" s="1"/>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V32" i="119" l="1"/>
  <c r="V33" i="119" l="1"/>
  <c r="B18" i="17" l="1"/>
  <c r="C141"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1" i="6"/>
  <c r="E111" i="6" s="1"/>
  <c r="C12" i="35"/>
  <c r="F13" i="24"/>
  <c r="F14" i="24"/>
  <c r="F15" i="24"/>
  <c r="F16" i="24"/>
  <c r="F17" i="24"/>
  <c r="F18" i="24"/>
  <c r="F19" i="24"/>
  <c r="F20" i="24"/>
  <c r="F21" i="24"/>
  <c r="F22" i="24"/>
  <c r="F23" i="24"/>
  <c r="F24" i="24"/>
  <c r="F25" i="24"/>
  <c r="F26" i="24"/>
  <c r="E90" i="6"/>
  <c r="C90" i="6"/>
  <c r="E146" i="6"/>
  <c r="C146" i="6"/>
  <c r="E109" i="6"/>
  <c r="C109" i="6"/>
  <c r="E100" i="6"/>
  <c r="C100" i="6"/>
  <c r="C9" i="35"/>
  <c r="B15" i="24"/>
  <c r="B16" i="24"/>
  <c r="B17" i="24"/>
  <c r="B18" i="24"/>
  <c r="B19" i="24"/>
  <c r="C130" i="6"/>
  <c r="B131"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2"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B30" i="15"/>
  <c r="I76" i="18"/>
  <c r="C7" i="5"/>
  <c r="B14" i="24"/>
  <c r="B13" i="24"/>
  <c r="B133"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1" i="6"/>
  <c r="E101"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6" i="6"/>
  <c r="P5" i="19"/>
  <c r="AA94" i="12"/>
  <c r="AP34" i="12"/>
  <c r="AJ98" i="12"/>
  <c r="AR94" i="12"/>
  <c r="AE34" i="12"/>
  <c r="AE98" i="12"/>
  <c r="AT94" i="12"/>
  <c r="BD94" i="12"/>
  <c r="AU94" i="12"/>
  <c r="AI94" i="12"/>
  <c r="AS94" i="12"/>
  <c r="T98" i="12"/>
  <c r="N18" i="12"/>
  <c r="D92"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3"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4"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5" i="6"/>
  <c r="E95" i="6" s="1"/>
  <c r="D28" i="35"/>
  <c r="D33" i="35"/>
  <c r="F33" i="35" s="1"/>
  <c r="D18" i="35"/>
  <c r="D91" i="6"/>
  <c r="D24" i="35"/>
  <c r="C21" i="24" s="1"/>
  <c r="H21" i="24" s="1"/>
  <c r="D94"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5" i="6"/>
  <c r="I17" i="12"/>
  <c r="Z34" i="12"/>
  <c r="AM12" i="12"/>
  <c r="BN12" i="12"/>
  <c r="K17" i="12"/>
  <c r="T66" i="12"/>
  <c r="H12" i="12"/>
  <c r="M12" i="12"/>
  <c r="D96" i="6"/>
  <c r="E96"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7" i="6"/>
  <c r="D158"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1"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67" i="6"/>
  <c r="C282" i="15"/>
  <c r="D281"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H27" i="24"/>
  <c r="C27"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4"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C52" i="6" s="1"/>
  <c r="D48" i="119"/>
  <c r="C26" i="6" s="1"/>
  <c r="C48" i="119"/>
  <c r="C25" i="6" s="1"/>
  <c r="C29" i="33" s="1"/>
  <c r="F48" i="119"/>
  <c r="B22" i="15" l="1"/>
  <c r="C3" i="119"/>
  <c r="C199" i="119" s="1"/>
  <c r="B168" i="15"/>
  <c r="B151" i="15"/>
  <c r="B181" i="15"/>
  <c r="B146" i="15"/>
  <c r="B150" i="15"/>
  <c r="B167" i="15"/>
  <c r="B147" i="15"/>
  <c r="B178" i="15"/>
  <c r="B153" i="15"/>
  <c r="B172" i="15"/>
  <c r="B156" i="15"/>
  <c r="B143" i="15"/>
  <c r="B149" i="15"/>
  <c r="B162" i="15"/>
  <c r="B166" i="15"/>
  <c r="B141" i="15"/>
  <c r="B169" i="15"/>
  <c r="B173" i="15"/>
  <c r="B142" i="15"/>
  <c r="B159" i="15"/>
  <c r="B165" i="15"/>
  <c r="B163" i="15"/>
  <c r="B161" i="15"/>
  <c r="B176" i="15"/>
  <c r="B139" i="15"/>
  <c r="B164" i="15"/>
  <c r="B144" i="15"/>
  <c r="B179" i="15"/>
  <c r="B180" i="15"/>
  <c r="X59" i="15" l="1"/>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52" i="15"/>
  <c r="B175" i="15"/>
  <c r="B158" i="15"/>
  <c r="B177" i="15"/>
  <c r="B170" i="15"/>
  <c r="B157" i="15"/>
  <c r="B148" i="15"/>
  <c r="B160" i="15"/>
  <c r="B174" i="15"/>
  <c r="B155" i="15"/>
  <c r="B145" i="15"/>
  <c r="B154" i="15"/>
  <c r="B171" i="15"/>
  <c r="B140" i="15"/>
  <c r="C32" i="33" l="1"/>
  <c r="W116" i="15"/>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3" i="6" l="1"/>
  <c r="C27" i="6"/>
  <c r="C28" i="6" s="1"/>
  <c r="B20" i="15"/>
  <c r="B21" i="15" s="1"/>
  <c r="C4" i="119"/>
  <c r="C69" i="6"/>
  <c r="C4" i="24"/>
  <c r="F75" i="6" l="1"/>
  <c r="F77" i="6"/>
  <c r="E137" i="6"/>
  <c r="C140" i="6" s="1"/>
  <c r="C144" i="6" s="1"/>
  <c r="E26" i="24"/>
  <c r="G26" i="24" s="1"/>
  <c r="E16" i="24"/>
  <c r="G16" i="24" s="1"/>
  <c r="E24" i="24"/>
  <c r="G24" i="24" s="1"/>
  <c r="D153" i="6"/>
  <c r="E17" i="24"/>
  <c r="G17" i="24" s="1"/>
  <c r="E21" i="24"/>
  <c r="G21" i="24" s="1"/>
  <c r="D152" i="6"/>
  <c r="D147" i="6"/>
  <c r="E147" i="6" s="1"/>
  <c r="D154" i="6"/>
  <c r="E15" i="24"/>
  <c r="G15" i="24" s="1"/>
  <c r="E22" i="24"/>
  <c r="G22" i="24" s="1"/>
  <c r="D150" i="6"/>
  <c r="E150" i="6" s="1"/>
  <c r="E14" i="24"/>
  <c r="G14" i="24" s="1"/>
  <c r="D148" i="6"/>
  <c r="E148" i="6" s="1"/>
  <c r="B57" i="15" s="1"/>
  <c r="D149" i="6"/>
  <c r="E149" i="6" s="1"/>
  <c r="D110" i="6"/>
  <c r="E110" i="6" s="1"/>
  <c r="E112" i="6" s="1"/>
  <c r="E114" i="6" s="1"/>
  <c r="D121" i="6"/>
  <c r="E121"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27" i="24"/>
  <c r="G13" i="24"/>
  <c r="G27"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C97" i="6" s="1"/>
  <c r="H232" i="15"/>
  <c r="N232" i="15"/>
  <c r="M232" i="15"/>
  <c r="B232" i="15"/>
  <c r="B233" i="15" s="1"/>
  <c r="I32" i="34" s="1"/>
  <c r="I232" i="15"/>
  <c r="G232" i="15"/>
  <c r="G233" i="15" s="1"/>
  <c r="I38" i="34" s="1"/>
  <c r="C93" i="6" l="1"/>
  <c r="C94" i="6"/>
  <c r="C91" i="6"/>
  <c r="C92" i="6"/>
  <c r="D119" i="6"/>
  <c r="E119" i="6" s="1"/>
  <c r="D118" i="6"/>
  <c r="E118" i="6" s="1"/>
  <c r="D120" i="6"/>
  <c r="E120" i="6" s="1"/>
  <c r="D102" i="6"/>
  <c r="E102" i="6" s="1"/>
  <c r="E103" i="6" s="1"/>
  <c r="E105" i="6" s="1"/>
  <c r="B52" i="15" s="1"/>
  <c r="K65" i="15" s="1"/>
  <c r="D115" i="6"/>
  <c r="E115" i="6" s="1"/>
  <c r="D122" i="6"/>
  <c r="E122" i="6" s="1"/>
  <c r="K114" i="15" l="1"/>
  <c r="K115" i="15"/>
  <c r="K116" i="15"/>
  <c r="K117" i="15" s="1"/>
  <c r="Q48" i="119" s="1"/>
  <c r="E162" i="119" s="1"/>
  <c r="F18" i="17" l="1"/>
  <c r="D147" i="119" l="1"/>
  <c r="D107" i="119" l="1"/>
  <c r="C198" i="119" l="1"/>
  <c r="E208" i="119" s="1"/>
  <c r="W18" i="119"/>
  <c r="W26" i="119" l="1"/>
  <c r="W23" i="119"/>
  <c r="W25" i="119"/>
  <c r="W29" i="119"/>
  <c r="W22" i="119"/>
  <c r="W15" i="119"/>
  <c r="W16" i="119"/>
  <c r="W20" i="119"/>
  <c r="W24" i="119"/>
  <c r="W28" i="119"/>
  <c r="W21" i="119"/>
  <c r="W17" i="119"/>
  <c r="W31" i="119"/>
  <c r="W32" i="119"/>
  <c r="W33" i="119"/>
  <c r="W19" i="119"/>
  <c r="E218" i="119"/>
  <c r="W27" i="119"/>
  <c r="W30"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3" i="6" s="1"/>
  <c r="F33" i="34"/>
  <c r="C170" i="15"/>
  <c r="C167" i="15"/>
  <c r="C158" i="15"/>
  <c r="C163" i="15"/>
  <c r="C166" i="15"/>
  <c r="C164" i="15"/>
  <c r="C178" i="15"/>
  <c r="C143" i="15"/>
  <c r="C157" i="15"/>
  <c r="C144" i="15"/>
  <c r="C154" i="15"/>
  <c r="C160" i="15"/>
  <c r="C150" i="15"/>
  <c r="C151" i="15"/>
  <c r="C162" i="15"/>
  <c r="C142" i="15"/>
  <c r="C181" i="15"/>
  <c r="C148" i="15"/>
  <c r="C149" i="15"/>
  <c r="C169" i="15"/>
  <c r="C168" i="15"/>
  <c r="C176" i="15"/>
  <c r="C147" i="15"/>
  <c r="C172" i="15"/>
  <c r="C161" i="15"/>
  <c r="C146" i="15"/>
  <c r="C139" i="15"/>
  <c r="C175" i="15"/>
  <c r="C156" i="15"/>
  <c r="C179" i="15"/>
  <c r="C155" i="15"/>
  <c r="C141" i="15"/>
  <c r="C174" i="15"/>
  <c r="C180" i="15"/>
  <c r="C153" i="15"/>
  <c r="C173" i="15"/>
  <c r="C165" i="15"/>
  <c r="C140" i="15"/>
  <c r="C171" i="15"/>
  <c r="C177" i="15"/>
  <c r="C159" i="15"/>
  <c r="C145" i="15"/>
  <c r="C152" i="15"/>
  <c r="G218" i="119" l="1"/>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87" i="34" s="1"/>
  <c r="D62" i="34"/>
  <c r="E62" i="34"/>
  <c r="C62" i="34"/>
  <c r="D33" i="34"/>
  <c r="D111" i="34"/>
  <c r="E111" i="34"/>
  <c r="C53" i="34"/>
  <c r="C111" i="34"/>
  <c r="F85" i="34"/>
  <c r="F86" i="34" s="1"/>
  <c r="C22" i="33" l="1"/>
  <c r="D86" i="34"/>
  <c r="G85" i="34"/>
  <c r="G86" i="34" s="1"/>
  <c r="F111" i="34"/>
  <c r="C23" i="33" l="1"/>
  <c r="C24" i="33" s="1"/>
  <c r="D36" i="33" s="1"/>
  <c r="C21" i="33"/>
  <c r="D37" i="33" l="1"/>
  <c r="F38" i="33"/>
  <c r="H38" i="33" s="1" a="1"/>
  <c r="H38" i="33" s="1"/>
  <c r="D39" i="33" l="1"/>
  <c r="E37" i="33" a="1"/>
  <c r="E37" i="33" s="1"/>
  <c r="E36" i="33" a="1"/>
  <c r="E36" i="33" s="1"/>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F36" i="33" l="1"/>
  <c r="G36" i="33" a="1"/>
  <c r="G36" i="33" s="1"/>
  <c r="G37" i="33" a="1"/>
  <c r="G37" i="33" s="1"/>
  <c r="F37" i="33"/>
  <c r="H37" i="33" s="1" a="1"/>
  <c r="H37" i="33" s="1"/>
  <c r="G20" i="34" s="1"/>
  <c r="E39" i="33"/>
  <c r="H36" i="33" l="1" a="1"/>
  <c r="H36" i="33" s="1"/>
  <c r="G19" i="34" s="1"/>
  <c r="F39" i="33"/>
  <c r="E155" i="6" s="1"/>
  <c r="G39" i="33"/>
  <c r="H19" i="34"/>
  <c r="H20" i="34"/>
  <c r="J131" i="15"/>
  <c r="J132" i="15" s="1"/>
  <c r="J136" i="15" s="1"/>
  <c r="F42" i="34"/>
  <c r="D88" i="34"/>
  <c r="H39" i="33" l="1" a="1"/>
  <c r="H39" i="33" s="1"/>
  <c r="B58" i="15"/>
  <c r="E92" i="6"/>
  <c r="E97" i="6"/>
  <c r="E91" i="6"/>
  <c r="G22" i="34"/>
  <c r="E93" i="6"/>
  <c r="J135" i="15"/>
  <c r="B42" i="34"/>
  <c r="B71" i="34" s="1"/>
  <c r="J185" i="15"/>
  <c r="J137" i="15"/>
  <c r="J161" i="15"/>
  <c r="H22" i="34" l="1"/>
  <c r="E94" i="6"/>
  <c r="B120" i="34"/>
  <c r="B105" i="34"/>
  <c r="G42" i="34"/>
  <c r="H42" i="34"/>
  <c r="E42" i="34"/>
  <c r="R87" i="15"/>
  <c r="J208" i="15"/>
  <c r="J139" i="15"/>
  <c r="J165" i="15"/>
  <c r="J159" i="15"/>
  <c r="J173" i="15"/>
  <c r="J147" i="15"/>
  <c r="J152" i="15"/>
  <c r="J176" i="15"/>
  <c r="J148" i="15"/>
  <c r="J155" i="15"/>
  <c r="J172" i="15"/>
  <c r="J180" i="15"/>
  <c r="J170" i="15"/>
  <c r="J154" i="15"/>
  <c r="J146" i="15"/>
  <c r="J171" i="15"/>
  <c r="J174" i="15"/>
  <c r="J141" i="15"/>
  <c r="J178" i="15"/>
  <c r="J151" i="15"/>
  <c r="J150" i="15"/>
  <c r="J160" i="15"/>
  <c r="J157" i="15"/>
  <c r="J163" i="15"/>
  <c r="J156" i="15"/>
  <c r="J143" i="15"/>
  <c r="J153" i="15"/>
  <c r="J162" i="15"/>
  <c r="J158" i="15"/>
  <c r="J179" i="15"/>
  <c r="J181" i="15"/>
  <c r="J164" i="15"/>
  <c r="J166" i="15"/>
  <c r="J175" i="15"/>
  <c r="J168" i="15"/>
  <c r="J144" i="15"/>
  <c r="J140" i="15"/>
  <c r="J145" i="15"/>
  <c r="J142" i="15"/>
  <c r="J167" i="15"/>
  <c r="J169" i="15"/>
  <c r="J177" i="15"/>
  <c r="J149" i="15"/>
  <c r="E98" i="6" l="1"/>
  <c r="G56" i="17" s="1"/>
  <c r="H56" i="17" s="1"/>
  <c r="I106" i="15" s="1"/>
  <c r="B90" i="14" s="1"/>
  <c r="R71" i="15"/>
  <c r="J192" i="15"/>
  <c r="R74" i="15"/>
  <c r="J195" i="15"/>
  <c r="J209" i="15"/>
  <c r="R88" i="15"/>
  <c r="J205" i="15"/>
  <c r="R84" i="15"/>
  <c r="J189" i="15"/>
  <c r="R68" i="15"/>
  <c r="R99" i="15"/>
  <c r="J220" i="15"/>
  <c r="R98" i="15"/>
  <c r="J219" i="15"/>
  <c r="R79" i="15"/>
  <c r="J200" i="15"/>
  <c r="J197" i="15"/>
  <c r="R76" i="15"/>
  <c r="J217" i="15"/>
  <c r="R96" i="15"/>
  <c r="J203" i="15"/>
  <c r="R82" i="15"/>
  <c r="J222" i="15"/>
  <c r="R101" i="15"/>
  <c r="R89" i="15"/>
  <c r="J210" i="15"/>
  <c r="R83" i="15"/>
  <c r="J204" i="15"/>
  <c r="R105" i="15"/>
  <c r="J226" i="15"/>
  <c r="R92" i="15"/>
  <c r="J213" i="15"/>
  <c r="J212" i="15"/>
  <c r="R91" i="15"/>
  <c r="J214" i="15"/>
  <c r="R93" i="15"/>
  <c r="J193" i="15"/>
  <c r="R72" i="15"/>
  <c r="J215" i="15"/>
  <c r="R94" i="15"/>
  <c r="R73" i="15"/>
  <c r="J194" i="15"/>
  <c r="R103" i="15"/>
  <c r="J224" i="15"/>
  <c r="R69" i="15"/>
  <c r="J190" i="15"/>
  <c r="J221" i="15"/>
  <c r="R100" i="15"/>
  <c r="R102" i="15"/>
  <c r="J223" i="15"/>
  <c r="J218" i="15"/>
  <c r="R97" i="15"/>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D105" i="34"/>
  <c r="E83" i="34" s="1"/>
  <c r="E84" i="34" s="1"/>
  <c r="C105" i="34"/>
  <c r="D83" i="34" s="1"/>
  <c r="E105" i="34"/>
  <c r="F83" i="34" s="1"/>
  <c r="F84" i="34" s="1"/>
  <c r="C42" i="34"/>
  <c r="C55" i="34" s="1"/>
  <c r="D52" i="34" s="1"/>
  <c r="G43" i="17" l="1"/>
  <c r="H43" i="17" s="1"/>
  <c r="I93" i="15" s="1"/>
  <c r="B77" i="14" s="1"/>
  <c r="F77" i="14" s="1"/>
  <c r="G55" i="17"/>
  <c r="H55" i="17" s="1"/>
  <c r="I105" i="15" s="1"/>
  <c r="B89" i="14" s="1"/>
  <c r="D89" i="14" s="1"/>
  <c r="G26" i="17"/>
  <c r="H26" i="17" s="1"/>
  <c r="I76" i="15" s="1"/>
  <c r="B60" i="14" s="1"/>
  <c r="L60" i="14" s="1"/>
  <c r="G25" i="17"/>
  <c r="H25" i="17" s="1"/>
  <c r="I75" i="15" s="1"/>
  <c r="B59" i="14" s="1"/>
  <c r="D59" i="14" s="1"/>
  <c r="G30" i="17"/>
  <c r="H30" i="17" s="1"/>
  <c r="I80" i="15" s="1"/>
  <c r="B64" i="14" s="1"/>
  <c r="T64" i="14" s="1"/>
  <c r="G42" i="17"/>
  <c r="H42" i="17" s="1"/>
  <c r="I92" i="15" s="1"/>
  <c r="B76" i="14" s="1"/>
  <c r="M76" i="14" s="1"/>
  <c r="C107" i="6"/>
  <c r="C15" i="34" s="1"/>
  <c r="G41" i="17"/>
  <c r="H41" i="17" s="1"/>
  <c r="I91" i="15" s="1"/>
  <c r="B75" i="14" s="1"/>
  <c r="R75" i="14" s="1"/>
  <c r="G54" i="17"/>
  <c r="H54" i="17" s="1"/>
  <c r="I104" i="15" s="1"/>
  <c r="B88" i="14" s="1"/>
  <c r="D88" i="14" s="1"/>
  <c r="G47" i="17"/>
  <c r="H47" i="17" s="1"/>
  <c r="I97" i="15" s="1"/>
  <c r="B81" i="14" s="1"/>
  <c r="D81" i="14" s="1"/>
  <c r="G39" i="17"/>
  <c r="H39" i="17" s="1"/>
  <c r="I89" i="15" s="1"/>
  <c r="B73" i="14" s="1"/>
  <c r="L73" i="14" s="1"/>
  <c r="G52" i="17"/>
  <c r="H52" i="17" s="1"/>
  <c r="I102" i="15" s="1"/>
  <c r="B86" i="14" s="1"/>
  <c r="H86" i="14" s="1"/>
  <c r="G48" i="17"/>
  <c r="H48" i="17" s="1"/>
  <c r="I98" i="15" s="1"/>
  <c r="B82" i="14" s="1"/>
  <c r="L82" i="14" s="1"/>
  <c r="G40" i="17"/>
  <c r="H40" i="17" s="1"/>
  <c r="I90" i="15" s="1"/>
  <c r="B74" i="14" s="1"/>
  <c r="O74" i="14" s="1"/>
  <c r="G28" i="17"/>
  <c r="H28" i="17" s="1"/>
  <c r="I78" i="15" s="1"/>
  <c r="B62" i="14" s="1"/>
  <c r="G62" i="14" s="1"/>
  <c r="G35" i="17"/>
  <c r="H35" i="17" s="1"/>
  <c r="I85" i="15" s="1"/>
  <c r="B69" i="14" s="1"/>
  <c r="I69" i="14" s="1"/>
  <c r="G53" i="17"/>
  <c r="H53" i="17" s="1"/>
  <c r="I103" i="15" s="1"/>
  <c r="B87" i="14" s="1"/>
  <c r="D87" i="14" s="1"/>
  <c r="G24" i="17"/>
  <c r="H24" i="17" s="1"/>
  <c r="I74" i="15" s="1"/>
  <c r="B58" i="14" s="1"/>
  <c r="E58" i="14" s="1"/>
  <c r="G22" i="17"/>
  <c r="H22" i="17" s="1"/>
  <c r="I72" i="15" s="1"/>
  <c r="B56" i="14" s="1"/>
  <c r="K56" i="14" s="1"/>
  <c r="G31" i="17"/>
  <c r="H31" i="17" s="1"/>
  <c r="I81" i="15" s="1"/>
  <c r="B65" i="14" s="1"/>
  <c r="R65" i="14" s="1"/>
  <c r="G20" i="17"/>
  <c r="H20" i="17" s="1"/>
  <c r="I70" i="15" s="1"/>
  <c r="B54" i="14" s="1"/>
  <c r="Q54" i="14" s="1"/>
  <c r="G36" i="17"/>
  <c r="H36" i="17" s="1"/>
  <c r="I86" i="15" s="1"/>
  <c r="B70" i="14" s="1"/>
  <c r="V70" i="14" s="1"/>
  <c r="G46" i="17"/>
  <c r="H46" i="17" s="1"/>
  <c r="I96" i="15" s="1"/>
  <c r="B80" i="14" s="1"/>
  <c r="N80" i="14" s="1"/>
  <c r="G57" i="17"/>
  <c r="H57" i="17" s="1"/>
  <c r="I107" i="15" s="1"/>
  <c r="B91" i="14" s="1"/>
  <c r="D91" i="14" s="1"/>
  <c r="G51" i="17"/>
  <c r="H51" i="17" s="1"/>
  <c r="I101" i="15" s="1"/>
  <c r="B85" i="14" s="1"/>
  <c r="L85" i="14" s="1"/>
  <c r="G49" i="17"/>
  <c r="H49" i="17" s="1"/>
  <c r="I99" i="15" s="1"/>
  <c r="B83" i="14" s="1"/>
  <c r="G83" i="14" s="1"/>
  <c r="G32" i="17"/>
  <c r="H32" i="17" s="1"/>
  <c r="I82" i="15" s="1"/>
  <c r="B66" i="14" s="1"/>
  <c r="K66" i="14" s="1"/>
  <c r="G23" i="17"/>
  <c r="H23" i="17" s="1"/>
  <c r="I73" i="15" s="1"/>
  <c r="B57" i="14" s="1"/>
  <c r="S57" i="14" s="1"/>
  <c r="G45" i="17"/>
  <c r="H45" i="17" s="1"/>
  <c r="I95" i="15" s="1"/>
  <c r="B79" i="14" s="1"/>
  <c r="W79" i="14" s="1"/>
  <c r="G44" i="17"/>
  <c r="H44" i="17" s="1"/>
  <c r="I94" i="15" s="1"/>
  <c r="B78" i="14" s="1"/>
  <c r="G78" i="14" s="1"/>
  <c r="G29" i="17"/>
  <c r="H29" i="17" s="1"/>
  <c r="I79" i="15" s="1"/>
  <c r="B63" i="14" s="1"/>
  <c r="K63" i="14" s="1"/>
  <c r="G18" i="17"/>
  <c r="H18" i="17" s="1"/>
  <c r="I68" i="15" s="1"/>
  <c r="G50" i="17"/>
  <c r="H50" i="17" s="1"/>
  <c r="I100" i="15" s="1"/>
  <c r="B84" i="14" s="1"/>
  <c r="G84" i="14" s="1"/>
  <c r="G27" i="17"/>
  <c r="H27" i="17" s="1"/>
  <c r="I77" i="15" s="1"/>
  <c r="B61" i="14" s="1"/>
  <c r="F61" i="14" s="1"/>
  <c r="G19" i="17"/>
  <c r="H19" i="17" s="1"/>
  <c r="I69" i="15" s="1"/>
  <c r="B53" i="14" s="1"/>
  <c r="C53" i="14" s="1"/>
  <c r="G34" i="17"/>
  <c r="H34" i="17" s="1"/>
  <c r="I84" i="15" s="1"/>
  <c r="B68" i="14" s="1"/>
  <c r="J68" i="14" s="1"/>
  <c r="G37" i="17"/>
  <c r="H37" i="17" s="1"/>
  <c r="I87" i="15" s="1"/>
  <c r="B71" i="14" s="1"/>
  <c r="U71" i="14" s="1"/>
  <c r="G21" i="17"/>
  <c r="H21" i="17" s="1"/>
  <c r="I71" i="15" s="1"/>
  <c r="B55" i="14" s="1"/>
  <c r="J55" i="14" s="1"/>
  <c r="G38" i="17"/>
  <c r="H38" i="17" s="1"/>
  <c r="I88" i="15" s="1"/>
  <c r="B72" i="14" s="1"/>
  <c r="Q72" i="14" s="1"/>
  <c r="G33" i="17"/>
  <c r="H33" i="17" s="1"/>
  <c r="I83" i="15" s="1"/>
  <c r="B67" i="14" s="1"/>
  <c r="C67" i="14" s="1"/>
  <c r="N90" i="14"/>
  <c r="W90" i="14"/>
  <c r="S90" i="14"/>
  <c r="P90" i="14"/>
  <c r="J90" i="14"/>
  <c r="G90" i="14"/>
  <c r="Q90" i="14"/>
  <c r="K90" i="14"/>
  <c r="V90" i="14"/>
  <c r="F90" i="14"/>
  <c r="T90" i="14"/>
  <c r="M90" i="14"/>
  <c r="C90" i="14"/>
  <c r="D90" i="14"/>
  <c r="I90" i="14"/>
  <c r="U90" i="14"/>
  <c r="R90" i="14"/>
  <c r="H90" i="14"/>
  <c r="E90" i="14"/>
  <c r="O90" i="14"/>
  <c r="L90" i="14"/>
  <c r="J231" i="15"/>
  <c r="J232" i="15" s="1"/>
  <c r="J233" i="15" s="1"/>
  <c r="R114" i="15"/>
  <c r="R116" i="15"/>
  <c r="R117" i="15" s="1"/>
  <c r="V48" i="119" s="1"/>
  <c r="E167" i="119" s="1"/>
  <c r="R115" i="15"/>
  <c r="B125" i="15" s="1"/>
  <c r="E120" i="34"/>
  <c r="E121" i="34" s="1"/>
  <c r="F77" i="34" s="1"/>
  <c r="D42" i="34"/>
  <c r="D71" i="34"/>
  <c r="E89" i="34"/>
  <c r="E90" i="34" s="1"/>
  <c r="D120" i="34"/>
  <c r="D121" i="34" s="1"/>
  <c r="E77" i="34" s="1"/>
  <c r="C120" i="34"/>
  <c r="C121" i="34" s="1"/>
  <c r="D77" i="34" s="1"/>
  <c r="E71" i="34"/>
  <c r="F89" i="34"/>
  <c r="F90" i="34" s="1"/>
  <c r="F105" i="34"/>
  <c r="G83" i="34" s="1"/>
  <c r="G84" i="34" s="1"/>
  <c r="C71" i="34"/>
  <c r="D84" i="34"/>
  <c r="E157" i="6" s="1"/>
  <c r="D89" i="34"/>
  <c r="S60" i="14" l="1"/>
  <c r="E60" i="14"/>
  <c r="G60" i="14"/>
  <c r="P60" i="14"/>
  <c r="O60" i="14"/>
  <c r="F60" i="14"/>
  <c r="N60" i="14"/>
  <c r="J60" i="14"/>
  <c r="U77" i="14"/>
  <c r="W77" i="14"/>
  <c r="V60" i="14"/>
  <c r="Q60" i="14"/>
  <c r="C60" i="14"/>
  <c r="H60" i="14"/>
  <c r="T60" i="14"/>
  <c r="U60" i="14"/>
  <c r="I60" i="14"/>
  <c r="M60" i="14"/>
  <c r="J77" i="14"/>
  <c r="M77" i="14"/>
  <c r="R77" i="14"/>
  <c r="I77" i="14"/>
  <c r="D77" i="14"/>
  <c r="V77" i="14"/>
  <c r="G77" i="14"/>
  <c r="C77" i="14"/>
  <c r="L77" i="14"/>
  <c r="N77" i="14"/>
  <c r="S77" i="14"/>
  <c r="Q89" i="14"/>
  <c r="W87" i="14"/>
  <c r="R89" i="14"/>
  <c r="H89" i="14"/>
  <c r="K77" i="14"/>
  <c r="Q77" i="14"/>
  <c r="T77" i="14"/>
  <c r="F68" i="14"/>
  <c r="W68" i="14"/>
  <c r="R60" i="14"/>
  <c r="D60" i="14"/>
  <c r="W60" i="14"/>
  <c r="K60" i="14"/>
  <c r="H77" i="14"/>
  <c r="P77" i="14"/>
  <c r="O77" i="14"/>
  <c r="T87" i="14"/>
  <c r="U87" i="14"/>
  <c r="N56" i="14"/>
  <c r="P89" i="14"/>
  <c r="T68" i="14"/>
  <c r="S68" i="14"/>
  <c r="P87" i="14"/>
  <c r="E77" i="14"/>
  <c r="J87" i="14"/>
  <c r="Q88" i="14"/>
  <c r="S87" i="14"/>
  <c r="K87" i="14"/>
  <c r="V87" i="14"/>
  <c r="K68" i="14"/>
  <c r="O87" i="14"/>
  <c r="C87" i="14"/>
  <c r="G87" i="14"/>
  <c r="Q87" i="14"/>
  <c r="J89" i="14"/>
  <c r="M89" i="14"/>
  <c r="K89" i="14"/>
  <c r="W89" i="14"/>
  <c r="G89" i="14"/>
  <c r="I89" i="14"/>
  <c r="V89" i="14"/>
  <c r="O89" i="14"/>
  <c r="T89" i="14"/>
  <c r="E89" i="14"/>
  <c r="S89" i="14"/>
  <c r="C89" i="14"/>
  <c r="F89" i="14"/>
  <c r="U89" i="14"/>
  <c r="L89" i="14"/>
  <c r="N89" i="14"/>
  <c r="L87" i="14"/>
  <c r="M87" i="14"/>
  <c r="W86" i="14"/>
  <c r="F87" i="14"/>
  <c r="H87" i="14"/>
  <c r="E87" i="14"/>
  <c r="U88" i="14"/>
  <c r="C88" i="14"/>
  <c r="P68" i="14"/>
  <c r="R87" i="14"/>
  <c r="I87" i="14"/>
  <c r="N87" i="14"/>
  <c r="M88" i="14"/>
  <c r="O88" i="14"/>
  <c r="S76" i="14"/>
  <c r="V64" i="14"/>
  <c r="V88" i="14"/>
  <c r="F82" i="14"/>
  <c r="L88" i="14"/>
  <c r="L68" i="14"/>
  <c r="V68" i="14"/>
  <c r="V65" i="14"/>
  <c r="H88" i="14"/>
  <c r="R88" i="14"/>
  <c r="S59" i="14"/>
  <c r="D68" i="14"/>
  <c r="U68" i="14"/>
  <c r="T59" i="14"/>
  <c r="W59" i="14"/>
  <c r="R59" i="14"/>
  <c r="C59" i="14"/>
  <c r="I65" i="14"/>
  <c r="L59" i="14"/>
  <c r="O68" i="14"/>
  <c r="M68" i="14"/>
  <c r="R68" i="14"/>
  <c r="L65" i="14"/>
  <c r="H59" i="14"/>
  <c r="I59" i="14"/>
  <c r="V59" i="14"/>
  <c r="H68" i="14"/>
  <c r="Q68" i="14"/>
  <c r="E59" i="14"/>
  <c r="O59" i="14"/>
  <c r="K59" i="14"/>
  <c r="M59" i="14"/>
  <c r="U86" i="14"/>
  <c r="E68" i="14"/>
  <c r="G68" i="14"/>
  <c r="N59" i="14"/>
  <c r="Q59" i="14"/>
  <c r="P59" i="14"/>
  <c r="F59" i="14"/>
  <c r="C86" i="14"/>
  <c r="U59" i="14"/>
  <c r="C68" i="14"/>
  <c r="N68" i="14"/>
  <c r="I68" i="14"/>
  <c r="J59" i="14"/>
  <c r="G59" i="14"/>
  <c r="S78" i="14"/>
  <c r="W82" i="14"/>
  <c r="N88" i="14"/>
  <c r="H58" i="14"/>
  <c r="I88" i="14"/>
  <c r="G74" i="14"/>
  <c r="J70" i="14"/>
  <c r="Q74" i="14"/>
  <c r="D76" i="14"/>
  <c r="W76" i="14"/>
  <c r="H70" i="14"/>
  <c r="P78" i="14"/>
  <c r="J76" i="14"/>
  <c r="O70" i="14"/>
  <c r="D74" i="14"/>
  <c r="L70" i="14"/>
  <c r="C74" i="14"/>
  <c r="W70" i="14"/>
  <c r="M74" i="14"/>
  <c r="I74" i="14"/>
  <c r="H76" i="14"/>
  <c r="Q76" i="14"/>
  <c r="E74" i="14"/>
  <c r="M70" i="14"/>
  <c r="D70" i="14"/>
  <c r="W74" i="14"/>
  <c r="T76" i="14"/>
  <c r="U76" i="14"/>
  <c r="V76" i="14"/>
  <c r="H74" i="14"/>
  <c r="K70" i="14"/>
  <c r="P70" i="14"/>
  <c r="L74" i="14"/>
  <c r="K76" i="14"/>
  <c r="E76" i="14"/>
  <c r="O76" i="14"/>
  <c r="N70" i="14"/>
  <c r="E70" i="14"/>
  <c r="U70" i="14"/>
  <c r="S74" i="14"/>
  <c r="J74" i="14"/>
  <c r="F76" i="14"/>
  <c r="C76" i="14"/>
  <c r="I76" i="14"/>
  <c r="T70" i="14"/>
  <c r="P74" i="14"/>
  <c r="R70" i="14"/>
  <c r="F70" i="14"/>
  <c r="S70" i="14"/>
  <c r="N78" i="14"/>
  <c r="U74" i="14"/>
  <c r="T74" i="14"/>
  <c r="N76" i="14"/>
  <c r="P76" i="14"/>
  <c r="L76" i="14"/>
  <c r="K74" i="14"/>
  <c r="I70" i="14"/>
  <c r="C70" i="14"/>
  <c r="E78" i="14"/>
  <c r="F74" i="14"/>
  <c r="R74" i="14"/>
  <c r="R76" i="14"/>
  <c r="G76" i="14"/>
  <c r="N74" i="14"/>
  <c r="V74" i="14"/>
  <c r="G70" i="14"/>
  <c r="Q70" i="14"/>
  <c r="T85" i="14"/>
  <c r="E85" i="14"/>
  <c r="T88" i="14"/>
  <c r="J88" i="14"/>
  <c r="K88" i="14"/>
  <c r="E88" i="14"/>
  <c r="F88" i="14"/>
  <c r="P88" i="14"/>
  <c r="U85" i="14"/>
  <c r="G88" i="14"/>
  <c r="S88" i="14"/>
  <c r="D82" i="14"/>
  <c r="F64" i="14"/>
  <c r="S82" i="14"/>
  <c r="M64" i="14"/>
  <c r="R54" i="14"/>
  <c r="E82" i="14"/>
  <c r="E64" i="14"/>
  <c r="I79" i="14"/>
  <c r="J82" i="14"/>
  <c r="P82" i="14"/>
  <c r="G64" i="14"/>
  <c r="H82" i="14"/>
  <c r="O64" i="14"/>
  <c r="L64" i="14"/>
  <c r="M82" i="14"/>
  <c r="I64" i="14"/>
  <c r="C64" i="14"/>
  <c r="D71" i="14"/>
  <c r="S85" i="14"/>
  <c r="V85" i="14"/>
  <c r="W88" i="14"/>
  <c r="O85" i="14"/>
  <c r="J85" i="14"/>
  <c r="I85" i="14"/>
  <c r="W85" i="14"/>
  <c r="G82" i="14"/>
  <c r="Q82" i="14"/>
  <c r="N64" i="14"/>
  <c r="U64" i="14"/>
  <c r="R64" i="14"/>
  <c r="J54" i="14"/>
  <c r="E54" i="14"/>
  <c r="H54" i="14"/>
  <c r="C57" i="14"/>
  <c r="M54" i="14"/>
  <c r="R82" i="14"/>
  <c r="T82" i="14"/>
  <c r="J64" i="14"/>
  <c r="W64" i="14"/>
  <c r="O71" i="14"/>
  <c r="M79" i="14"/>
  <c r="K54" i="14"/>
  <c r="F54" i="14"/>
  <c r="N54" i="14"/>
  <c r="I54" i="14"/>
  <c r="G69" i="14"/>
  <c r="O82" i="14"/>
  <c r="I82" i="14"/>
  <c r="S64" i="14"/>
  <c r="P64" i="14"/>
  <c r="C79" i="14"/>
  <c r="T54" i="14"/>
  <c r="K82" i="14"/>
  <c r="V54" i="14"/>
  <c r="N82" i="14"/>
  <c r="V82" i="14"/>
  <c r="C82" i="14"/>
  <c r="H64" i="14"/>
  <c r="D64" i="14"/>
  <c r="Q64" i="14"/>
  <c r="U54" i="14"/>
  <c r="D79" i="14"/>
  <c r="U82" i="14"/>
  <c r="D54" i="14"/>
  <c r="K64" i="14"/>
  <c r="W54" i="14"/>
  <c r="L72" i="14"/>
  <c r="I71" i="14"/>
  <c r="G54" i="14"/>
  <c r="T71" i="14"/>
  <c r="O54" i="14"/>
  <c r="L54" i="14"/>
  <c r="U84" i="14"/>
  <c r="C85" i="14"/>
  <c r="R85" i="14"/>
  <c r="Q85" i="14"/>
  <c r="S54" i="14"/>
  <c r="P54" i="14"/>
  <c r="C54" i="14"/>
  <c r="R69" i="14"/>
  <c r="O75" i="14"/>
  <c r="G67" i="14"/>
  <c r="N69" i="14"/>
  <c r="W75" i="14"/>
  <c r="J75" i="14"/>
  <c r="C8" i="119"/>
  <c r="H199" i="119" s="1"/>
  <c r="M62" i="14"/>
  <c r="O84" i="14"/>
  <c r="W62" i="14"/>
  <c r="D85" i="14"/>
  <c r="P72" i="14"/>
  <c r="E72" i="14"/>
  <c r="R80" i="14"/>
  <c r="S84" i="14"/>
  <c r="Q80" i="14"/>
  <c r="P63" i="14"/>
  <c r="H72" i="14"/>
  <c r="N63" i="14"/>
  <c r="W84" i="14"/>
  <c r="N62" i="14"/>
  <c r="W63" i="14"/>
  <c r="V80" i="14"/>
  <c r="F67" i="14"/>
  <c r="L67" i="14"/>
  <c r="V62" i="14"/>
  <c r="J63" i="14"/>
  <c r="E63" i="14"/>
  <c r="M72" i="14"/>
  <c r="S72" i="14"/>
  <c r="C72" i="14"/>
  <c r="N85" i="14"/>
  <c r="U72" i="14"/>
  <c r="K85" i="14"/>
  <c r="V63" i="14"/>
  <c r="O80" i="14"/>
  <c r="P80" i="14"/>
  <c r="S80" i="14"/>
  <c r="P62" i="14"/>
  <c r="D62" i="14"/>
  <c r="H63" i="14"/>
  <c r="F63" i="14"/>
  <c r="J72" i="14"/>
  <c r="N72" i="14"/>
  <c r="M85" i="14"/>
  <c r="D72" i="14"/>
  <c r="C63" i="14"/>
  <c r="D84" i="14"/>
  <c r="L80" i="14"/>
  <c r="D80" i="14"/>
  <c r="E117" i="6"/>
  <c r="E123" i="6" s="1"/>
  <c r="C9" i="119" s="1"/>
  <c r="I199" i="119" s="1"/>
  <c r="O62" i="14"/>
  <c r="S62" i="14"/>
  <c r="D63" i="14"/>
  <c r="U63" i="14"/>
  <c r="K72" i="14"/>
  <c r="I72" i="14"/>
  <c r="P85" i="14"/>
  <c r="O72" i="14"/>
  <c r="Q63" i="14"/>
  <c r="L84" i="14"/>
  <c r="P84" i="14"/>
  <c r="U80" i="14"/>
  <c r="E80" i="14"/>
  <c r="Q62" i="14"/>
  <c r="I62" i="14"/>
  <c r="F62" i="14"/>
  <c r="T63" i="14"/>
  <c r="W72" i="14"/>
  <c r="H85" i="14"/>
  <c r="T72" i="14"/>
  <c r="G85" i="14"/>
  <c r="Q84" i="14"/>
  <c r="J84" i="14"/>
  <c r="K84" i="14"/>
  <c r="H80" i="14"/>
  <c r="I80" i="14"/>
  <c r="E62" i="14"/>
  <c r="L62" i="14"/>
  <c r="J62" i="14"/>
  <c r="M63" i="14"/>
  <c r="F72" i="14"/>
  <c r="F85" i="14"/>
  <c r="R63" i="14"/>
  <c r="W80" i="14"/>
  <c r="L63" i="14"/>
  <c r="H84" i="14"/>
  <c r="V84" i="14"/>
  <c r="M80" i="14"/>
  <c r="B51" i="15"/>
  <c r="H66" i="15" s="1"/>
  <c r="H62" i="14"/>
  <c r="T62" i="14"/>
  <c r="G63" i="14"/>
  <c r="C62" i="14"/>
  <c r="R72" i="14"/>
  <c r="G72" i="14"/>
  <c r="O63" i="14"/>
  <c r="R84" i="14"/>
  <c r="E84" i="14"/>
  <c r="F84" i="14"/>
  <c r="F80" i="14"/>
  <c r="C80" i="14"/>
  <c r="R62" i="14"/>
  <c r="U62" i="14"/>
  <c r="K62" i="14"/>
  <c r="S63" i="14"/>
  <c r="V72" i="14"/>
  <c r="I63" i="14"/>
  <c r="K80" i="14"/>
  <c r="J80" i="14"/>
  <c r="G80" i="14"/>
  <c r="Q69" i="14"/>
  <c r="D69" i="14"/>
  <c r="Q75" i="14"/>
  <c r="U75" i="14"/>
  <c r="T67" i="14"/>
  <c r="E67" i="14"/>
  <c r="G91" i="14"/>
  <c r="V91" i="14"/>
  <c r="B163" i="14" s="1"/>
  <c r="M91" i="14"/>
  <c r="I91" i="14"/>
  <c r="W91" i="14"/>
  <c r="B164" i="14" s="1"/>
  <c r="L69" i="14"/>
  <c r="P69" i="14"/>
  <c r="C69" i="14"/>
  <c r="M75" i="14"/>
  <c r="F75" i="14"/>
  <c r="W67" i="14"/>
  <c r="L91" i="14"/>
  <c r="N67" i="14"/>
  <c r="S91" i="14"/>
  <c r="T91" i="14"/>
  <c r="J69" i="14"/>
  <c r="S69" i="14"/>
  <c r="T75" i="14"/>
  <c r="I75" i="14"/>
  <c r="D75" i="14"/>
  <c r="E69" i="14"/>
  <c r="H67" i="14"/>
  <c r="K67" i="14"/>
  <c r="R91" i="14"/>
  <c r="V67" i="14"/>
  <c r="U91" i="14"/>
  <c r="U69" i="14"/>
  <c r="M69" i="14"/>
  <c r="E75" i="14"/>
  <c r="S75" i="14"/>
  <c r="N75" i="14"/>
  <c r="V69" i="14"/>
  <c r="R67" i="14"/>
  <c r="K91" i="14"/>
  <c r="C91" i="14"/>
  <c r="W69" i="14"/>
  <c r="T69" i="14"/>
  <c r="C75" i="14"/>
  <c r="J67" i="14"/>
  <c r="P67" i="14"/>
  <c r="Q67" i="14"/>
  <c r="S67" i="14"/>
  <c r="N91" i="14"/>
  <c r="O91" i="14"/>
  <c r="Q91" i="14"/>
  <c r="O69" i="14"/>
  <c r="F69" i="14"/>
  <c r="L75" i="14"/>
  <c r="H75" i="14"/>
  <c r="V75" i="14"/>
  <c r="P91" i="14"/>
  <c r="M67" i="14"/>
  <c r="E91" i="14"/>
  <c r="F91" i="14"/>
  <c r="K69" i="14"/>
  <c r="H69" i="14"/>
  <c r="P75" i="14"/>
  <c r="K75" i="14"/>
  <c r="G75" i="14"/>
  <c r="D67" i="14"/>
  <c r="U67" i="14"/>
  <c r="O67" i="14"/>
  <c r="H91" i="14"/>
  <c r="J91" i="14"/>
  <c r="U66" i="14"/>
  <c r="K73" i="14"/>
  <c r="V58" i="14"/>
  <c r="L58" i="14"/>
  <c r="M81" i="14"/>
  <c r="K81" i="14"/>
  <c r="G58" i="14"/>
  <c r="W58" i="14"/>
  <c r="N73" i="14"/>
  <c r="W56" i="14"/>
  <c r="I56" i="14"/>
  <c r="R66" i="14"/>
  <c r="I73" i="14"/>
  <c r="R56" i="14"/>
  <c r="U73" i="14"/>
  <c r="I84" i="14"/>
  <c r="V73" i="14"/>
  <c r="W73" i="14"/>
  <c r="H73" i="14"/>
  <c r="J56" i="14"/>
  <c r="M56" i="14"/>
  <c r="V53" i="14"/>
  <c r="N81" i="14"/>
  <c r="J81" i="14"/>
  <c r="I58" i="14"/>
  <c r="N58" i="14"/>
  <c r="W81" i="14"/>
  <c r="E81" i="14"/>
  <c r="J58" i="14"/>
  <c r="C58" i="14"/>
  <c r="P81" i="14"/>
  <c r="O81" i="14"/>
  <c r="O58" i="14"/>
  <c r="D58" i="14"/>
  <c r="G81" i="14"/>
  <c r="Q58" i="14"/>
  <c r="P58" i="14"/>
  <c r="T81" i="14"/>
  <c r="L81" i="14"/>
  <c r="R58" i="14"/>
  <c r="R81" i="14"/>
  <c r="F81" i="14"/>
  <c r="U81" i="14"/>
  <c r="T58" i="14"/>
  <c r="Q81" i="14"/>
  <c r="H81" i="14"/>
  <c r="U58" i="14"/>
  <c r="V81" i="14"/>
  <c r="F58" i="14"/>
  <c r="S81" i="14"/>
  <c r="I81" i="14"/>
  <c r="K58" i="14"/>
  <c r="C81" i="14"/>
  <c r="M58" i="14"/>
  <c r="S58" i="14"/>
  <c r="P73" i="14"/>
  <c r="S56" i="14"/>
  <c r="Q56" i="14"/>
  <c r="S73" i="14"/>
  <c r="P66" i="14"/>
  <c r="Q66" i="14"/>
  <c r="D73" i="14"/>
  <c r="Q73" i="14"/>
  <c r="D56" i="14"/>
  <c r="P56" i="14"/>
  <c r="O56" i="14"/>
  <c r="O66" i="14"/>
  <c r="W66" i="14"/>
  <c r="G66" i="14"/>
  <c r="P53" i="14"/>
  <c r="L53" i="14"/>
  <c r="E73" i="14"/>
  <c r="O73" i="14"/>
  <c r="E56" i="14"/>
  <c r="C56" i="14"/>
  <c r="T66" i="14"/>
  <c r="L66" i="14"/>
  <c r="D66" i="14"/>
  <c r="E53" i="14"/>
  <c r="G73" i="14"/>
  <c r="T73" i="14"/>
  <c r="R73" i="14"/>
  <c r="M73" i="14"/>
  <c r="V56" i="14"/>
  <c r="G56" i="14"/>
  <c r="J66" i="14"/>
  <c r="S66" i="14"/>
  <c r="C66" i="14"/>
  <c r="M53" i="14"/>
  <c r="Q53" i="14"/>
  <c r="C73" i="14"/>
  <c r="U56" i="14"/>
  <c r="F56" i="14"/>
  <c r="I66" i="14"/>
  <c r="N66" i="14"/>
  <c r="E66" i="14"/>
  <c r="F53" i="14"/>
  <c r="F66" i="14"/>
  <c r="M66" i="14"/>
  <c r="H66" i="14"/>
  <c r="K53" i="14"/>
  <c r="J73" i="14"/>
  <c r="F73" i="14"/>
  <c r="H56" i="14"/>
  <c r="L56" i="14"/>
  <c r="T56" i="14"/>
  <c r="V66" i="14"/>
  <c r="D53" i="14"/>
  <c r="W53" i="14"/>
  <c r="U53" i="14"/>
  <c r="J65" i="14"/>
  <c r="K65" i="14"/>
  <c r="G65" i="14"/>
  <c r="D65" i="14"/>
  <c r="E57" i="14"/>
  <c r="S86" i="14"/>
  <c r="N86" i="14"/>
  <c r="K86" i="14"/>
  <c r="U65" i="14"/>
  <c r="P65" i="14"/>
  <c r="T86" i="14"/>
  <c r="S65" i="14"/>
  <c r="D86" i="14"/>
  <c r="I57" i="14"/>
  <c r="V57" i="14"/>
  <c r="P86" i="14"/>
  <c r="R86" i="14"/>
  <c r="C65" i="14"/>
  <c r="W65" i="14"/>
  <c r="E86" i="14"/>
  <c r="E65" i="14"/>
  <c r="I86" i="14"/>
  <c r="T57" i="14"/>
  <c r="J57" i="14"/>
  <c r="O65" i="14"/>
  <c r="M57" i="14"/>
  <c r="F57" i="14"/>
  <c r="O57" i="14"/>
  <c r="V86" i="14"/>
  <c r="Q86" i="14"/>
  <c r="M86" i="14"/>
  <c r="T65" i="14"/>
  <c r="M65" i="14"/>
  <c r="O86" i="14"/>
  <c r="G57" i="14"/>
  <c r="U57" i="14"/>
  <c r="W57" i="14"/>
  <c r="N65" i="14"/>
  <c r="F65" i="14"/>
  <c r="F86" i="14"/>
  <c r="D57" i="14"/>
  <c r="H57" i="14"/>
  <c r="Q57" i="14"/>
  <c r="L86" i="14"/>
  <c r="G86" i="14"/>
  <c r="H65" i="14"/>
  <c r="Q65" i="14"/>
  <c r="J86" i="14"/>
  <c r="K57" i="14"/>
  <c r="S53" i="14"/>
  <c r="H53" i="14"/>
  <c r="J53" i="14"/>
  <c r="G53" i="14"/>
  <c r="N84" i="14"/>
  <c r="L57" i="14"/>
  <c r="N57" i="14"/>
  <c r="R57" i="14"/>
  <c r="T80" i="14"/>
  <c r="P57" i="14"/>
  <c r="W61" i="14"/>
  <c r="J83" i="14"/>
  <c r="U61" i="14"/>
  <c r="I61" i="14"/>
  <c r="K83" i="14"/>
  <c r="H83" i="14"/>
  <c r="F83" i="14"/>
  <c r="C83" i="14"/>
  <c r="Q61" i="14"/>
  <c r="O61" i="14"/>
  <c r="C61" i="14"/>
  <c r="D61" i="14"/>
  <c r="S83" i="14"/>
  <c r="L61" i="14"/>
  <c r="V61" i="14"/>
  <c r="J61" i="14"/>
  <c r="D83" i="14"/>
  <c r="I83" i="14"/>
  <c r="G61" i="14"/>
  <c r="M61" i="14"/>
  <c r="M83" i="14"/>
  <c r="U83" i="14"/>
  <c r="P83" i="14"/>
  <c r="K61" i="14"/>
  <c r="E61" i="14"/>
  <c r="W83" i="14"/>
  <c r="T83" i="14"/>
  <c r="O83" i="14"/>
  <c r="N61" i="14"/>
  <c r="P61" i="14"/>
  <c r="N83" i="14"/>
  <c r="E83" i="14"/>
  <c r="R83" i="14"/>
  <c r="R61" i="14"/>
  <c r="S61" i="14"/>
  <c r="L83" i="14"/>
  <c r="Q83" i="14"/>
  <c r="V83" i="14"/>
  <c r="T61" i="14"/>
  <c r="H61" i="14"/>
  <c r="T79" i="14"/>
  <c r="G71" i="14"/>
  <c r="H71" i="14"/>
  <c r="V71" i="14"/>
  <c r="P79" i="14"/>
  <c r="D78" i="14"/>
  <c r="K78" i="14"/>
  <c r="H78" i="14"/>
  <c r="C78" i="14"/>
  <c r="J79" i="14"/>
  <c r="P71" i="14"/>
  <c r="Q71" i="14"/>
  <c r="K71" i="14"/>
  <c r="R79" i="14"/>
  <c r="W78" i="14"/>
  <c r="T78" i="14"/>
  <c r="O78" i="14"/>
  <c r="E79" i="14"/>
  <c r="R71" i="14"/>
  <c r="W71" i="14"/>
  <c r="U78" i="14"/>
  <c r="I78" i="14"/>
  <c r="D55" i="14"/>
  <c r="J78" i="14"/>
  <c r="N79" i="14"/>
  <c r="S71" i="14"/>
  <c r="F71" i="14"/>
  <c r="V79" i="14"/>
  <c r="L79" i="14"/>
  <c r="M71" i="14"/>
  <c r="K79" i="14"/>
  <c r="M78" i="14"/>
  <c r="L78" i="14"/>
  <c r="O79" i="14"/>
  <c r="J71" i="14"/>
  <c r="C71" i="14"/>
  <c r="G79" i="14"/>
  <c r="S79" i="14"/>
  <c r="U79" i="14"/>
  <c r="F78" i="14"/>
  <c r="Q78" i="14"/>
  <c r="N71" i="14"/>
  <c r="L71" i="14"/>
  <c r="Q79" i="14"/>
  <c r="H79" i="14"/>
  <c r="F79" i="14"/>
  <c r="E71" i="14"/>
  <c r="R78" i="14"/>
  <c r="V78" i="14"/>
  <c r="C84" i="14"/>
  <c r="T53" i="14"/>
  <c r="O53" i="14"/>
  <c r="M84" i="14"/>
  <c r="I53" i="14"/>
  <c r="R53" i="14"/>
  <c r="N53" i="14"/>
  <c r="T84" i="14"/>
  <c r="C55" i="14"/>
  <c r="P55" i="14"/>
  <c r="I116" i="15"/>
  <c r="I117" i="15" s="1"/>
  <c r="O48" i="119" s="1"/>
  <c r="E160" i="119" s="1"/>
  <c r="H55" i="14"/>
  <c r="F55" i="14"/>
  <c r="M55" i="14"/>
  <c r="I114" i="15"/>
  <c r="G55" i="14"/>
  <c r="N55" i="14"/>
  <c r="L55" i="14"/>
  <c r="I67" i="14"/>
  <c r="I115" i="15"/>
  <c r="I55" i="14"/>
  <c r="Q55" i="14"/>
  <c r="S55" i="14"/>
  <c r="O55" i="14"/>
  <c r="V55" i="14"/>
  <c r="R55" i="14"/>
  <c r="T55" i="14"/>
  <c r="U55" i="14"/>
  <c r="E55" i="14"/>
  <c r="K55" i="14"/>
  <c r="W55" i="14"/>
  <c r="X90" i="14"/>
  <c r="F78" i="34"/>
  <c r="F80" i="34" s="1"/>
  <c r="E78" i="34"/>
  <c r="E80" i="34" s="1"/>
  <c r="F120" i="34"/>
  <c r="F121" i="34" s="1"/>
  <c r="G77" i="34" s="1"/>
  <c r="E159" i="6" s="1"/>
  <c r="E160" i="6" s="1"/>
  <c r="G89" i="34"/>
  <c r="D90" i="34"/>
  <c r="D78" i="34"/>
  <c r="D80" i="34" s="1"/>
  <c r="X60" i="14" l="1"/>
  <c r="X77" i="14"/>
  <c r="B162" i="14"/>
  <c r="X89" i="14"/>
  <c r="B159" i="14"/>
  <c r="X87" i="14"/>
  <c r="B160" i="14"/>
  <c r="X68" i="14"/>
  <c r="X59" i="14"/>
  <c r="I9" i="119"/>
  <c r="C97" i="119" s="1"/>
  <c r="D97" i="119" s="1"/>
  <c r="D142" i="119" s="1"/>
  <c r="X70" i="14"/>
  <c r="I8" i="119"/>
  <c r="C94" i="119" s="1"/>
  <c r="D94" i="119" s="1"/>
  <c r="D117" i="119" s="1"/>
  <c r="C93" i="119"/>
  <c r="D93" i="119" s="1"/>
  <c r="H8" i="119"/>
  <c r="C92" i="119" s="1"/>
  <c r="D92" i="119" s="1"/>
  <c r="D120" i="119" s="1"/>
  <c r="X76" i="14"/>
  <c r="X74" i="14"/>
  <c r="B161" i="14"/>
  <c r="B157" i="14"/>
  <c r="X88" i="14"/>
  <c r="X64" i="14"/>
  <c r="B54" i="15"/>
  <c r="M107" i="15" s="1"/>
  <c r="M114" i="15" s="1"/>
  <c r="X54" i="14"/>
  <c r="X82" i="14"/>
  <c r="H67" i="15"/>
  <c r="B158" i="14"/>
  <c r="B53" i="15"/>
  <c r="B55" i="15" s="1"/>
  <c r="L107" i="15" s="1"/>
  <c r="L114" i="15" s="1"/>
  <c r="H65" i="15"/>
  <c r="G65" i="15"/>
  <c r="G116" i="15" s="1"/>
  <c r="H9" i="119"/>
  <c r="C95" i="119" s="1"/>
  <c r="D95" i="119" s="1"/>
  <c r="D135" i="119" s="1"/>
  <c r="B56" i="15"/>
  <c r="N95" i="15" s="1"/>
  <c r="C96" i="119"/>
  <c r="D96" i="119" s="1"/>
  <c r="B156" i="14"/>
  <c r="X63" i="14"/>
  <c r="X75" i="14"/>
  <c r="X91" i="14"/>
  <c r="X69" i="14"/>
  <c r="X72" i="14"/>
  <c r="X85" i="14"/>
  <c r="X62" i="14"/>
  <c r="B154" i="14"/>
  <c r="X67" i="14"/>
  <c r="B155" i="14"/>
  <c r="X80" i="14"/>
  <c r="B123" i="14"/>
  <c r="U91" i="15" s="1"/>
  <c r="B124" i="14"/>
  <c r="U92" i="15" s="1"/>
  <c r="X81" i="14"/>
  <c r="B125" i="14"/>
  <c r="U93" i="15" s="1"/>
  <c r="B153" i="14"/>
  <c r="B127" i="14"/>
  <c r="U95" i="15" s="1"/>
  <c r="X56" i="14"/>
  <c r="X58" i="14"/>
  <c r="B128" i="14"/>
  <c r="U96" i="15" s="1"/>
  <c r="X65" i="14"/>
  <c r="B133" i="14"/>
  <c r="U101" i="15" s="1"/>
  <c r="B138" i="14"/>
  <c r="U106" i="15" s="1"/>
  <c r="B140" i="14"/>
  <c r="C140" i="14" s="1"/>
  <c r="C141" i="14" s="1"/>
  <c r="X86" i="14"/>
  <c r="X57" i="14"/>
  <c r="B152" i="14"/>
  <c r="X66" i="14"/>
  <c r="X73" i="14"/>
  <c r="B139" i="14"/>
  <c r="B146" i="14"/>
  <c r="B137" i="14"/>
  <c r="U105" i="15" s="1"/>
  <c r="B149" i="14"/>
  <c r="B136" i="14"/>
  <c r="U104" i="15" s="1"/>
  <c r="B129" i="14"/>
  <c r="U97" i="15" s="1"/>
  <c r="B122" i="14"/>
  <c r="U90" i="15" s="1"/>
  <c r="B150" i="14"/>
  <c r="X53" i="14"/>
  <c r="B148" i="14"/>
  <c r="B135" i="14"/>
  <c r="U103" i="15" s="1"/>
  <c r="B151" i="14"/>
  <c r="B126" i="14"/>
  <c r="U94" i="15" s="1"/>
  <c r="B147" i="14"/>
  <c r="B131" i="14"/>
  <c r="U99" i="15" s="1"/>
  <c r="X83" i="14"/>
  <c r="X61" i="14"/>
  <c r="B130" i="14"/>
  <c r="U98" i="15" s="1"/>
  <c r="B134" i="14"/>
  <c r="U102" i="15" s="1"/>
  <c r="X84" i="14"/>
  <c r="X71" i="14"/>
  <c r="B132" i="14"/>
  <c r="U100" i="15" s="1"/>
  <c r="X78" i="14"/>
  <c r="X79" i="14"/>
  <c r="B121" i="14"/>
  <c r="U89" i="15" s="1"/>
  <c r="X55" i="14"/>
  <c r="G90" i="34"/>
  <c r="G78" i="34"/>
  <c r="G80" i="34" s="1"/>
  <c r="L106" i="119" l="1"/>
  <c r="D102" i="119" s="1"/>
  <c r="D130" i="119"/>
  <c r="D115" i="119"/>
  <c r="D140" i="119"/>
  <c r="D125" i="119"/>
  <c r="N107" i="15"/>
  <c r="M115" i="15"/>
  <c r="B120" i="15" s="1"/>
  <c r="M116" i="15"/>
  <c r="M117" i="15" s="1"/>
  <c r="R48" i="119" s="1"/>
  <c r="E163" i="119" s="1"/>
  <c r="N97" i="15"/>
  <c r="N96" i="15"/>
  <c r="J96" i="15" s="1"/>
  <c r="N79" i="15"/>
  <c r="N103" i="15"/>
  <c r="N81" i="15"/>
  <c r="N78" i="15"/>
  <c r="N70" i="15"/>
  <c r="N71" i="15"/>
  <c r="N89" i="15"/>
  <c r="L116" i="15"/>
  <c r="L118" i="15" s="1"/>
  <c r="M48" i="119" s="1"/>
  <c r="E157" i="119" s="1"/>
  <c r="L115" i="15"/>
  <c r="B44" i="14"/>
  <c r="B52" i="14" s="1"/>
  <c r="D52" i="14" s="1"/>
  <c r="B101" i="14" s="1"/>
  <c r="U69" i="15" s="1"/>
  <c r="G114" i="15"/>
  <c r="C14" i="13"/>
  <c r="E14" i="13" s="1"/>
  <c r="S65" i="15" s="1"/>
  <c r="T65" i="15" s="1"/>
  <c r="L107" i="119"/>
  <c r="D101" i="119" s="1"/>
  <c r="H114" i="15"/>
  <c r="H116" i="15"/>
  <c r="H117" i="15" s="1"/>
  <c r="N48" i="119" s="1"/>
  <c r="E159" i="119" s="1"/>
  <c r="H115" i="15"/>
  <c r="G115" i="15"/>
  <c r="N76" i="15"/>
  <c r="N88" i="15"/>
  <c r="N94" i="15"/>
  <c r="J95" i="15" s="1"/>
  <c r="N77" i="15"/>
  <c r="N86" i="15"/>
  <c r="N105" i="15"/>
  <c r="N104" i="15"/>
  <c r="N106" i="15"/>
  <c r="N99" i="15"/>
  <c r="N92" i="15"/>
  <c r="N100" i="15"/>
  <c r="N72" i="15"/>
  <c r="N87" i="15"/>
  <c r="N74" i="15"/>
  <c r="N98" i="15"/>
  <c r="N75" i="15"/>
  <c r="N80" i="15"/>
  <c r="N84" i="15"/>
  <c r="N83" i="15"/>
  <c r="N90" i="15"/>
  <c r="N82" i="15"/>
  <c r="N73" i="15"/>
  <c r="N93" i="15"/>
  <c r="N69" i="15"/>
  <c r="N101" i="15"/>
  <c r="N102" i="15"/>
  <c r="N68" i="15"/>
  <c r="J68" i="15" s="1"/>
  <c r="N85" i="15"/>
  <c r="N91" i="15"/>
  <c r="B166" i="14"/>
  <c r="U107" i="15" s="1"/>
  <c r="D132" i="119"/>
  <c r="D137" i="119"/>
  <c r="D122" i="119"/>
  <c r="D127" i="119"/>
  <c r="D103" i="119"/>
  <c r="J87" i="15" l="1"/>
  <c r="D104" i="119"/>
  <c r="D105" i="119"/>
  <c r="D106" i="119"/>
  <c r="T52" i="14"/>
  <c r="B117" i="14" s="1"/>
  <c r="U85" i="15" s="1"/>
  <c r="E52" i="14"/>
  <c r="B102" i="14" s="1"/>
  <c r="U70" i="15" s="1"/>
  <c r="N52" i="14"/>
  <c r="B111" i="14" s="1"/>
  <c r="U79" i="15" s="1"/>
  <c r="J79" i="15"/>
  <c r="U52" i="14"/>
  <c r="B118" i="14" s="1"/>
  <c r="U86" i="15" s="1"/>
  <c r="D14" i="13"/>
  <c r="G14" i="13"/>
  <c r="C15" i="13" s="1"/>
  <c r="E15" i="13" s="1"/>
  <c r="J82" i="15"/>
  <c r="F52" i="14"/>
  <c r="B103" i="14" s="1"/>
  <c r="U71" i="15" s="1"/>
  <c r="J90" i="15"/>
  <c r="J52" i="14"/>
  <c r="B107" i="14" s="1"/>
  <c r="U75" i="15" s="1"/>
  <c r="J103" i="15"/>
  <c r="J89" i="15"/>
  <c r="Q52" i="14"/>
  <c r="B114" i="14" s="1"/>
  <c r="U82" i="15" s="1"/>
  <c r="J98" i="15"/>
  <c r="J104" i="15"/>
  <c r="J97" i="15"/>
  <c r="J71" i="15"/>
  <c r="J81" i="15"/>
  <c r="J72" i="15"/>
  <c r="J75" i="15"/>
  <c r="J106" i="15"/>
  <c r="V52" i="14"/>
  <c r="B119" i="14" s="1"/>
  <c r="U87" i="15" s="1"/>
  <c r="H52" i="14"/>
  <c r="B105" i="14" s="1"/>
  <c r="U73" i="15" s="1"/>
  <c r="O52" i="14"/>
  <c r="B112" i="14" s="1"/>
  <c r="U80" i="15" s="1"/>
  <c r="C52" i="14"/>
  <c r="B100" i="14" s="1"/>
  <c r="J74" i="15"/>
  <c r="J94" i="15"/>
  <c r="J101" i="15"/>
  <c r="G52" i="14"/>
  <c r="B104" i="14" s="1"/>
  <c r="U72" i="15" s="1"/>
  <c r="S52" i="14"/>
  <c r="B116" i="14" s="1"/>
  <c r="U84" i="15" s="1"/>
  <c r="W52" i="14"/>
  <c r="B120" i="14" s="1"/>
  <c r="U88" i="15" s="1"/>
  <c r="L52" i="14"/>
  <c r="B109" i="14" s="1"/>
  <c r="U77" i="15" s="1"/>
  <c r="J93" i="15"/>
  <c r="P52" i="14"/>
  <c r="B113" i="14" s="1"/>
  <c r="U81" i="15" s="1"/>
  <c r="R52" i="14"/>
  <c r="B115" i="14" s="1"/>
  <c r="U83" i="15" s="1"/>
  <c r="J92" i="15"/>
  <c r="J85" i="15"/>
  <c r="K52" i="14"/>
  <c r="B108" i="14" s="1"/>
  <c r="U76" i="15" s="1"/>
  <c r="I52" i="14"/>
  <c r="B106" i="14" s="1"/>
  <c r="U74" i="15" s="1"/>
  <c r="M52" i="14"/>
  <c r="B110" i="14" s="1"/>
  <c r="U78" i="15" s="1"/>
  <c r="J88" i="15"/>
  <c r="J100" i="15"/>
  <c r="J77" i="15"/>
  <c r="J80" i="15"/>
  <c r="N115" i="15"/>
  <c r="B121" i="15" s="1"/>
  <c r="J83" i="15"/>
  <c r="J69" i="15"/>
  <c r="J73" i="15"/>
  <c r="J70" i="15"/>
  <c r="J91" i="15"/>
  <c r="J99" i="15"/>
  <c r="J76" i="15"/>
  <c r="J86" i="15"/>
  <c r="N116" i="15"/>
  <c r="N117" i="15" s="1"/>
  <c r="S48" i="119" s="1"/>
  <c r="E164" i="119" s="1"/>
  <c r="J105" i="15"/>
  <c r="J102" i="15"/>
  <c r="N114" i="15"/>
  <c r="J78" i="15"/>
  <c r="J84" i="15"/>
  <c r="V65" i="15"/>
  <c r="AC65" i="15"/>
  <c r="G15" i="13" l="1"/>
  <c r="C16" i="13" s="1"/>
  <c r="G16" i="13" s="1"/>
  <c r="C17" i="13" s="1"/>
  <c r="X52" i="14"/>
  <c r="J107" i="15"/>
  <c r="J115" i="15" s="1"/>
  <c r="D15" i="13"/>
  <c r="S66" i="15"/>
  <c r="T66" i="15" s="1"/>
  <c r="U68" i="15"/>
  <c r="B141" i="14"/>
  <c r="X65" i="15"/>
  <c r="E16" i="13" l="1"/>
  <c r="D16" i="13" s="1"/>
  <c r="J114" i="15"/>
  <c r="J116" i="15"/>
  <c r="J117" i="15" s="1"/>
  <c r="P48" i="119" s="1"/>
  <c r="E161" i="119" s="1"/>
  <c r="AC66" i="15"/>
  <c r="V66" i="15"/>
  <c r="X66" i="15" s="1"/>
  <c r="G17" i="13"/>
  <c r="C18" i="13" s="1"/>
  <c r="E17" i="13"/>
  <c r="U115" i="15"/>
  <c r="U114" i="15"/>
  <c r="U116" i="15"/>
  <c r="Y55" i="15" s="1"/>
  <c r="Y57" i="15" s="1"/>
  <c r="AA65" i="15"/>
  <c r="Y65" i="15"/>
  <c r="S67" i="15" l="1"/>
  <c r="T67" i="15" s="1"/>
  <c r="AC67" i="15" s="1"/>
  <c r="X55" i="15"/>
  <c r="X57" i="15" s="1"/>
  <c r="D17" i="13"/>
  <c r="S68" i="15"/>
  <c r="G18" i="13"/>
  <c r="C19" i="13" s="1"/>
  <c r="E18" i="13"/>
  <c r="Y66" i="15"/>
  <c r="AA66" i="15"/>
  <c r="AB65" i="15"/>
  <c r="V67" i="15" l="1"/>
  <c r="X67" i="15" s="1"/>
  <c r="Y67" i="15" s="1"/>
  <c r="S69" i="15"/>
  <c r="D18" i="13"/>
  <c r="E19" i="13"/>
  <c r="G19" i="13"/>
  <c r="C20" i="13" s="1"/>
  <c r="AB66" i="15"/>
  <c r="AA67" i="15" l="1"/>
  <c r="AB67" i="15" s="1"/>
  <c r="E20" i="13"/>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87" i="15" l="1"/>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79" i="15" l="1"/>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AA91" i="15" l="1"/>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<sst xmlns="http://schemas.openxmlformats.org/spreadsheetml/2006/main" count="3908" uniqueCount="1422">
  <si>
    <t>Approx Capital Charge Rate</t>
  </si>
  <si>
    <t>Cost Contribution ($/ kg H2)</t>
  </si>
  <si>
    <t>Cost Contribution ($/ tonne CO2 Sequestered)</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</si>
  <si>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</si>
  <si>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</si>
  <si>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</si>
  <si>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</si>
  <si>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</si>
  <si>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</si>
  <si>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</si>
  <si>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</si>
  <si>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</si>
  <si>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</si>
  <si>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</si>
  <si>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</si>
  <si>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</si>
  <si>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</si>
  <si>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</si>
  <si>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</si>
  <si>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</si>
  <si>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</si>
  <si>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</si>
  <si>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</si>
  <si>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</si>
  <si>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</si>
  <si>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</si>
  <si>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</si>
  <si>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</si>
  <si>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</si>
  <si>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</si>
  <si>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</si>
  <si>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</si>
  <si>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</si>
  <si>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</si>
  <si>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</si>
  <si>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</si>
  <si>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</si>
  <si>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</si>
  <si>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</si>
  <si>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</si>
  <si>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</si>
  <si>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</si>
  <si>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</si>
  <si>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</si>
  <si>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</si>
  <si>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</si>
  <si>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</si>
  <si>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</si>
  <si>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</si>
  <si>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</si>
  <si>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</si>
  <si>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</si>
  <si>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</si>
  <si>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</si>
  <si>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</si>
  <si>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</si>
  <si>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</si>
  <si>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</si>
  <si>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</si>
  <si>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</si>
  <si>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</si>
  <si>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</si>
  <si>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</si>
  <si>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</si>
  <si>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</si>
  <si>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</si>
  <si>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</si>
  <si>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</si>
  <si>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</si>
  <si>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</si>
  <si>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</si>
  <si>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</si>
  <si>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</si>
  <si>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</si>
  <si>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</si>
  <si>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</si>
  <si>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</si>
  <si>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</si>
  <si>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</si>
  <si>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</si>
  <si>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</si>
  <si>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</si>
  <si>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</si>
  <si>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</si>
  <si>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</si>
  <si>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</si>
  <si>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</si>
  <si>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</si>
  <si>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</si>
  <si>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</si>
  <si>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</si>
  <si>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</si>
  <si>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</si>
  <si>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</si>
  <si>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</si>
  <si>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</si>
  <si>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</si>
  <si>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</si>
  <si>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</si>
  <si>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</si>
  <si>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</si>
  <si>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</si>
  <si>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</si>
  <si>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</si>
  <si>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</si>
  <si>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</si>
  <si>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</si>
  <si>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</si>
  <si>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</si>
  <si>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</si>
  <si>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</si>
  <si>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</si>
  <si>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</si>
  <si>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</si>
  <si>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</si>
  <si>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</si>
  <si>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</si>
  <si>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</si>
  <si>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</si>
  <si>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</si>
  <si>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</si>
  <si>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</si>
  <si>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</si>
  <si>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</si>
  <si>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</si>
  <si>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</si>
  <si>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</si>
  <si>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</si>
  <si>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</si>
  <si>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</si>
  <si>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</si>
  <si>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</si>
  <si>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</si>
  <si>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</si>
  <si>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</si>
  <si>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</si>
  <si>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</si>
  <si>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</si>
  <si>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</si>
  <si>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</si>
  <si>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</si>
  <si>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</si>
  <si>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</si>
  <si>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</si>
  <si>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</si>
  <si>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</si>
  <si>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</si>
  <si>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</si>
  <si>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</si>
  <si>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</si>
  <si>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</si>
  <si>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</si>
  <si>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</si>
  <si>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</si>
  <si>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</si>
  <si>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</si>
  <si>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</si>
  <si>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</si>
  <si>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</si>
  <si>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</si>
  <si>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</si>
  <si>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</si>
  <si>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</si>
  <si>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</si>
  <si>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</si>
  <si>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</si>
  <si>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</si>
  <si>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</si>
  <si>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</si>
  <si>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</si>
  <si>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</si>
  <si>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</si>
  <si>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</si>
  <si>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</si>
  <si>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</si>
  <si>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</si>
  <si>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</si>
  <si>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</si>
  <si>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</si>
  <si>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</si>
  <si>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</si>
  <si>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</si>
  <si>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</si>
  <si>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</si>
  <si>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</si>
  <si>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</si>
  <si>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</si>
  <si>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</si>
  <si>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</si>
  <si>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</si>
  <si>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</si>
  <si>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</si>
  <si>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</si>
  <si>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</si>
  <si>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</si>
  <si>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</si>
  <si>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</si>
  <si>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</si>
  <si>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</si>
  <si>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</si>
  <si>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</si>
  <si>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</si>
  <si>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</si>
  <si>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</si>
  <si>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</si>
  <si>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</si>
  <si>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</si>
  <si>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</si>
  <si>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</si>
  <si>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</si>
  <si>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</si>
  <si>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</si>
  <si>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</si>
  <si>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</si>
  <si>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</si>
  <si>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</si>
  <si>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</si>
  <si>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</si>
  <si>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</si>
  <si>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</si>
  <si>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</si>
  <si>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</si>
  <si>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</si>
  <si>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</si>
  <si>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</si>
  <si>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</si>
  <si>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</si>
  <si>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</si>
  <si>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</si>
  <si>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</si>
  <si>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</si>
  <si>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</si>
  <si>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</si>
  <si>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</si>
  <si>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</si>
  <si>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</si>
  <si>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</si>
  <si>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</si>
  <si>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</si>
  <si>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</si>
  <si>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</si>
  <si>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</si>
  <si>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</si>
  <si>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</si>
  <si>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</si>
  <si>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</si>
  <si>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</si>
  <si>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</si>
  <si>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</si>
  <si>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</si>
  <si>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</si>
  <si>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</si>
  <si>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</si>
  <si>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</si>
  <si>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</si>
  <si>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</si>
  <si>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</si>
  <si>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</si>
  <si>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</si>
  <si>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</si>
  <si>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</si>
  <si>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</si>
  <si>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</si>
  <si>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</si>
  <si>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</si>
  <si>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</si>
  <si>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</si>
  <si>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</si>
  <si>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</si>
  <si>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</si>
  <si>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</si>
  <si>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</si>
  <si>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</si>
  <si>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</si>
  <si>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</si>
  <si>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</si>
  <si>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</si>
  <si>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</si>
  <si>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</si>
  <si>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</si>
  <si>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</si>
  <si>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</si>
  <si>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</si>
  <si>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</si>
  <si>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</si>
  <si>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</si>
  <si>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</si>
  <si>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</si>
  <si>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</si>
  <si>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</si>
  <si>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</si>
  <si>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</si>
  <si>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</si>
  <si>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</si>
  <si>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</si>
  <si>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</si>
  <si>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</si>
  <si>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</si>
  <si>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</si>
  <si>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</si>
  <si>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</si>
  <si>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</si>
  <si>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</si>
  <si>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</si>
  <si>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</si>
  <si>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</si>
  <si>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</si>
  <si>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</si>
  <si>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</si>
  <si>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</si>
  <si>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</si>
  <si>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</si>
  <si>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</si>
  <si>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</si>
  <si>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</si>
  <si>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</si>
  <si>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</si>
  <si>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</si>
  <si>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</si>
  <si>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</si>
  <si>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</si>
  <si>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</si>
  <si>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</si>
  <si>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</si>
  <si>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</si>
  <si>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</si>
  <si>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</si>
  <si>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</si>
  <si>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</si>
  <si>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</si>
  <si>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</si>
  <si>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</si>
  <si>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</si>
  <si>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</si>
  <si>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</si>
  <si>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</si>
  <si>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</si>
  <si>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</si>
  <si>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</si>
  <si>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</si>
  <si>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</si>
  <si>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</si>
  <si>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</si>
  <si>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</si>
  <si>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</si>
  <si>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</si>
  <si>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</si>
  <si>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</si>
  <si>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</si>
  <si>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</si>
  <si>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</si>
  <si>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</si>
  <si>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</si>
  <si>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</si>
  <si>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</si>
  <si>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</si>
  <si>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</si>
  <si>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</si>
  <si>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</si>
  <si>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</si>
  <si>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</si>
  <si>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</si>
  <si>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</si>
  <si>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</si>
  <si>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</si>
  <si>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</si>
  <si>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</si>
  <si>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</si>
  <si>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</si>
  <si>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</si>
  <si>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</si>
  <si>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</si>
  <si>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</si>
  <si>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</si>
  <si>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</si>
  <si>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</si>
  <si>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</si>
  <si>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</si>
  <si>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</si>
  <si>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</si>
  <si>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</si>
  <si>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</si>
  <si>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</si>
  <si>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</si>
  <si>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</si>
  <si>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</si>
  <si>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</si>
  <si>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</si>
  <si>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</si>
  <si>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</si>
  <si>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</si>
  <si>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</si>
  <si>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</si>
  <si>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</si>
  <si>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</si>
  <si>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</si>
  <si>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</si>
  <si>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</si>
  <si>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</si>
  <si>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</si>
  <si>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</si>
  <si>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</si>
  <si>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</si>
  <si>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</si>
  <si>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</si>
  <si>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</si>
  <si>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</si>
  <si>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</si>
  <si>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</si>
  <si>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</si>
  <si>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</si>
  <si>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</si>
  <si>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</si>
  <si>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</si>
  <si>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</si>
  <si>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</si>
  <si>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</si>
  <si>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</si>
  <si>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</si>
  <si>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</si>
  <si>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</si>
  <si>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</si>
  <si>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</si>
  <si>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</si>
  <si>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</si>
  <si>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</si>
  <si>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</si>
  <si>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</si>
  <si>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</si>
  <si>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</si>
  <si>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</si>
  <si>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</si>
  <si>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</si>
  <si>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</si>
  <si>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</si>
  <si>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</si>
  <si>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</si>
  <si>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</si>
  <si>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</si>
  <si>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</si>
  <si>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</si>
  <si>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</si>
  <si>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</si>
  <si>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</si>
  <si>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</si>
  <si>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</si>
  <si>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</si>
  <si>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</si>
  <si>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</si>
  <si>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</si>
  <si>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</si>
  <si>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</si>
  <si>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</si>
  <si>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</si>
  <si>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</si>
  <si>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</si>
  <si>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</si>
  <si>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</si>
  <si>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</si>
  <si>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</si>
  <si>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</si>
  <si>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</si>
  <si>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</si>
  <si>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</si>
  <si>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</si>
  <si>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</si>
  <si>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</si>
  <si>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</si>
  <si>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</si>
  <si>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</si>
  <si>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</si>
  <si>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</si>
  <si>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</si>
  <si>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</si>
  <si>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</si>
  <si>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</si>
  <si>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</si>
  <si>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</si>
  <si>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</si>
  <si>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</si>
  <si>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</si>
  <si>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</si>
  <si>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</si>
  <si>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</si>
  <si>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</si>
  <si>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</si>
  <si>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</si>
  <si>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</si>
  <si>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</si>
  <si>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</si>
  <si>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</si>
  <si>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</si>
  <si>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</si>
  <si>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</si>
  <si>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</si>
  <si>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</si>
  <si>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</si>
  <si>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</si>
  <si>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</si>
  <si>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</si>
  <si>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</si>
  <si>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</si>
  <si>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</si>
  <si>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</si>
  <si>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</si>
  <si>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</si>
  <si>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</si>
  <si>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</si>
  <si>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</si>
  <si>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</si>
  <si>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</si>
  <si>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</si>
  <si>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</si>
  <si>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</si>
  <si>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</si>
  <si>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</si>
  <si>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</si>
  <si>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</si>
  <si>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</si>
  <si>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</si>
  <si>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</si>
  <si>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</si>
  <si>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</si>
  <si>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</si>
  <si>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</si>
  <si>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</si>
  <si>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</si>
  <si>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</si>
  <si>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</si>
  <si>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</si>
  <si>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</si>
  <si>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</si>
  <si>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</si>
  <si>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</si>
  <si>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</si>
  <si>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</si>
  <si>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</si>
  <si>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</si>
  <si>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</si>
  <si>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</si>
  <si>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</si>
  <si>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</si>
  <si>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</si>
  <si>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</si>
  <si>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</si>
  <si>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</si>
  <si>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</si>
  <si>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</si>
  <si>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</si>
  <si>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</si>
  <si>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</si>
  <si>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</si>
  <si>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</si>
  <si>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</si>
  <si>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</si>
  <si>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</si>
  <si>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</si>
  <si>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</si>
  <si>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</si>
  <si>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</si>
  <si>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</si>
  <si>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</si>
  <si>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</si>
  <si>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</si>
  <si>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</si>
  <si>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</si>
  <si>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</si>
  <si>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</si>
  <si>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</si>
  <si>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</si>
  <si>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</si>
  <si>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</si>
  <si>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</si>
  <si>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</si>
  <si>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</si>
  <si>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</si>
  <si>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</si>
  <si>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</si>
  <si>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</si>
  <si>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</si>
  <si>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</si>
  <si>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</si>
  <si>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</si>
  <si>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</si>
  <si>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</si>
  <si>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</si>
  <si>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</si>
  <si>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</si>
  <si>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</si>
  <si>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</si>
  <si>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</si>
  <si>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</si>
  <si>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</si>
  <si>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</si>
  <si>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</si>
  <si>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</si>
  <si>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</si>
  <si>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</si>
  <si>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</si>
  <si>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</si>
  <si>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</si>
  <si>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</si>
  <si>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</si>
  <si>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</si>
  <si>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</si>
  <si>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</si>
  <si>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</si>
  <si>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</si>
  <si>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</si>
  <si>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</si>
  <si>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</si>
  <si>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</si>
  <si>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</si>
  <si>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</si>
  <si>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</si>
  <si>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</si>
  <si>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</si>
  <si>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</si>
  <si>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</si>
  <si>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</si>
  <si>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</si>
  <si>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</si>
  <si>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</si>
  <si>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</si>
  <si>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</si>
  <si>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</si>
  <si>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</si>
  <si>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</si>
  <si>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</si>
  <si>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</si>
  <si>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</si>
  <si>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</si>
  <si>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</si>
  <si>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</si>
  <si>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</si>
  <si>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</si>
  <si>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</si>
  <si>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</si>
  <si>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</si>
  <si>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</si>
  <si>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</si>
  <si>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</si>
  <si>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</si>
  <si>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</si>
  <si>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</si>
  <si>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</si>
  <si>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</si>
  <si>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</si>
  <si>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</si>
  <si>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</si>
  <si>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</si>
  <si>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</si>
  <si>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</si>
  <si>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</si>
  <si>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</si>
  <si>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</si>
  <si>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</si>
  <si>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</si>
  <si>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</si>
  <si>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</si>
  <si>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</si>
  <si>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</si>
  <si>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</si>
  <si>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</si>
  <si>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</si>
  <si>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</si>
  <si>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</si>
  <si>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</si>
  <si>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</si>
  <si>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</si>
  <si>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</si>
  <si>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</si>
  <si>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</si>
  <si>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</si>
  <si>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</si>
  <si>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</si>
  <si>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</si>
  <si>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</si>
  <si>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</si>
  <si>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</si>
  <si>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</si>
  <si>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</si>
  <si>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</si>
  <si>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</si>
  <si>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</si>
  <si>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</si>
  <si>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</si>
  <si>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</si>
  <si>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</si>
  <si>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</si>
  <si>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</si>
  <si>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</si>
  <si>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</si>
  <si>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</si>
  <si>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</si>
  <si>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</si>
  <si>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</si>
  <si>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</si>
  <si>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</si>
  <si>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</si>
  <si>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</si>
  <si>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</si>
  <si>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</si>
  <si>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</si>
  <si>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</si>
  <si>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</si>
  <si>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</si>
  <si>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</si>
  <si>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</si>
  <si>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</si>
  <si>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</si>
  <si>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</si>
  <si>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</si>
  <si>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</si>
  <si>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</si>
  <si>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</si>
  <si>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</si>
  <si>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</si>
  <si>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</si>
  <si>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</si>
  <si>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</si>
  <si>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</si>
  <si>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</si>
  <si>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</si>
  <si>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</si>
  <si>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</si>
  <si>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</si>
  <si>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</si>
  <si>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</si>
  <si>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</si>
  <si>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</si>
  <si>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</si>
  <si>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</si>
  <si>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</si>
  <si>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</si>
  <si>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</si>
  <si>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</si>
  <si>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</si>
  <si>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</si>
  <si>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</si>
  <si>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</si>
  <si>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</si>
  <si>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</si>
  <si>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</si>
  <si>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</si>
  <si>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</si>
  <si>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</si>
  <si>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</si>
  <si>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</si>
  <si>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</si>
  <si>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</si>
  <si>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</si>
  <si>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</si>
  <si>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</si>
  <si>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</si>
  <si>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</si>
  <si>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</si>
  <si>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</si>
  <si>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</si>
  <si>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</si>
  <si>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</si>
  <si>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</si>
  <si>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</si>
  <si>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</si>
  <si>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</si>
  <si>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</si>
  <si>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</si>
  <si>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</si>
  <si>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</si>
  <si>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</si>
  <si>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</si>
  <si>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</si>
  <si>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</si>
  <si>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</si>
  <si>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</si>
  <si>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</si>
  <si>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</si>
  <si>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</si>
  <si>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</si>
  <si>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</si>
  <si>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</si>
  <si>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</si>
  <si>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</si>
  <si>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</si>
  <si>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</si>
  <si>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</si>
  <si>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</si>
  <si>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</si>
  <si>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</si>
  <si>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</si>
  <si>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</si>
  <si>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</si>
  <si>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</si>
  <si>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</si>
  <si>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</si>
  <si>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</si>
  <si>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</si>
  <si>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</si>
  <si>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</si>
  <si>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</si>
  <si>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</si>
  <si>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</si>
  <si>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</si>
  <si>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</si>
  <si>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</si>
  <si>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</si>
  <si>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</si>
  <si>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</si>
  <si>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</si>
  <si>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</si>
  <si>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</si>
  <si>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</si>
  <si>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</si>
  <si>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</si>
  <si>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</si>
  <si>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</si>
  <si>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</si>
  <si>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</si>
  <si>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</si>
  <si>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</si>
  <si>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</si>
  <si>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</si>
  <si>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</si>
  <si>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</si>
  <si>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</si>
  <si>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</si>
  <si>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</si>
  <si>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</si>
  <si>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</si>
  <si>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</si>
  <si>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</si>
  <si>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</si>
  <si>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</si>
  <si>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</si>
  <si>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</si>
  <si>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</si>
  <si>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</si>
  <si>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</si>
  <si>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</si>
  <si>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</si>
  <si>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</si>
  <si>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</si>
  <si>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</si>
  <si>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</si>
  <si>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</si>
  <si>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</si>
  <si>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</si>
  <si>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</si>
  <si>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</si>
  <si>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</si>
  <si>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</si>
  <si>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</si>
  <si>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</si>
  <si>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</si>
  <si>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</si>
  <si>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</si>
  <si>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</si>
  <si>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</si>
  <si>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</si>
  <si>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</si>
  <si>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</si>
  <si>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</si>
  <si>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</si>
  <si>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</si>
  <si>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</si>
  <si>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</si>
  <si>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</si>
  <si>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</si>
  <si>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</si>
  <si>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</si>
  <si>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</si>
  <si>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</si>
  <si>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</si>
  <si>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</si>
  <si>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</si>
  <si>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</si>
  <si>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</si>
  <si>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</si>
  <si>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</si>
  <si>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</si>
  <si>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</si>
  <si>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</si>
  <si>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</si>
  <si>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</si>
  <si>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</si>
  <si>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</si>
  <si>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</si>
  <si>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</si>
  <si>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</si>
  <si>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</si>
  <si>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</si>
  <si>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</si>
  <si>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</si>
  <si>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</si>
  <si>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</si>
  <si>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</si>
  <si>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</si>
  <si>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</si>
  <si>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</si>
  <si>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</si>
  <si>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</si>
  <si>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</si>
  <si>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</si>
  <si>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</si>
  <si>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</si>
  <si>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</si>
  <si>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</si>
  <si>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</si>
  <si>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</si>
  <si>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</si>
  <si>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</si>
  <si>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</si>
  <si>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</si>
  <si>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</si>
  <si>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</si>
  <si>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</si>
  <si>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</si>
  <si>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</si>
  <si>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</si>
  <si>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</si>
  <si>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</si>
  <si>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</si>
  <si>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</si>
  <si>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</si>
  <si>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</si>
  <si>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</si>
  <si>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</si>
  <si>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</si>
  <si>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</si>
  <si>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</si>
  <si>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</si>
  <si>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</si>
  <si>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</si>
  <si>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</si>
  <si>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</si>
  <si>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</si>
  <si>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</si>
  <si>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</si>
  <si>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</si>
  <si>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</si>
  <si>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</si>
  <si>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</si>
  <si>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</si>
  <si>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</si>
  <si>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</si>
  <si>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</si>
  <si>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</si>
  <si>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</si>
  <si>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</si>
  <si>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</si>
  <si>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</si>
  <si>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</si>
  <si>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</si>
  <si>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</si>
  <si>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</si>
  <si>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</si>
  <si>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</si>
  <si>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</si>
  <si>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</si>
  <si>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</si>
  <si>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</si>
  <si>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</si>
  <si>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</si>
  <si>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</si>
  <si>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</si>
  <si>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</si>
  <si>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</si>
  <si>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</si>
  <si>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</si>
  <si>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</si>
  <si>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</si>
  <si>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</si>
  <si>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</si>
  <si>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</si>
  <si>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</si>
  <si>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</si>
  <si>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</si>
  <si>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</si>
  <si>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</si>
  <si>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</si>
  <si>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</si>
  <si>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</si>
  <si>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</si>
  <si>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</si>
  <si>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</si>
  <si>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</si>
  <si>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</si>
  <si>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</si>
  <si>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</si>
  <si>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</si>
  <si>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</si>
  <si>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</si>
  <si>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</si>
  <si>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</si>
  <si>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</si>
  <si>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</si>
  <si>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</si>
  <si>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</si>
  <si>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</si>
  <si>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</si>
  <si>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</si>
  <si>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</si>
  <si>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</si>
  <si>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</si>
  <si>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</si>
  <si>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</si>
  <si>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</si>
  <si>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</si>
  <si>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</si>
  <si>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</si>
  <si>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</si>
  <si>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</si>
  <si>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</si>
  <si>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</si>
  <si>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</si>
  <si>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</si>
  <si>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</si>
  <si>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</si>
  <si>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</si>
  <si>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</si>
  <si>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</si>
  <si>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</si>
  <si>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</si>
  <si>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</si>
  <si>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</si>
  <si>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</si>
  <si>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</si>
  <si>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</si>
  <si>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</si>
  <si>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</si>
  <si>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</si>
  <si>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</si>
  <si>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</si>
  <si>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</si>
  <si>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</si>
  <si>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</si>
  <si>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</si>
  <si>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</si>
  <si>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</si>
  <si>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</si>
  <si>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</si>
  <si>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</si>
  <si>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</si>
  <si>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</si>
  <si>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</si>
  <si>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</si>
  <si>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</si>
  <si>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</si>
  <si>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</si>
  <si>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</si>
  <si>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</si>
  <si>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</si>
  <si>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</si>
  <si>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</si>
  <si>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</si>
  <si>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</si>
  <si>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</si>
  <si>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</si>
  <si>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</si>
  <si>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</si>
  <si>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</si>
  <si>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</si>
  <si>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</si>
  <si>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</si>
  <si>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</si>
  <si>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</si>
  <si>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</si>
  <si>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</si>
  <si>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</si>
  <si>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</si>
  <si>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</si>
  <si>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</si>
  <si>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</si>
  <si>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</si>
  <si>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</si>
  <si>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</si>
  <si>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</si>
  <si>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</si>
  <si>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</si>
  <si>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</si>
  <si>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</si>
  <si>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</si>
  <si>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</si>
  <si>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</si>
  <si>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</si>
  <si>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</si>
  <si>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</si>
  <si>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</si>
  <si>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</si>
  <si>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</si>
  <si>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</si>
  <si>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</si>
  <si>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</si>
  <si>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</si>
  <si>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</si>
  <si>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</si>
  <si>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</si>
  <si>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</si>
  <si>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</si>
  <si>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</si>
  <si>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</si>
  <si>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</si>
  <si>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</si>
  <si>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</si>
  <si>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</si>
  <si>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</si>
  <si>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</si>
  <si>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</si>
  <si>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</si>
  <si>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</si>
  <si>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</si>
  <si>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</si>
  <si>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</si>
  <si>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</si>
  <si>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</si>
  <si>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</si>
  <si>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</si>
  <si>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</si>
  <si>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</si>
  <si>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</si>
  <si>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</si>
  <si>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</si>
  <si>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</si>
  <si>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</si>
  <si>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</si>
  <si>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</si>
  <si>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</si>
  <si>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</si>
  <si>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</si>
  <si>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</si>
  <si>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</si>
  <si>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</si>
  <si>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</si>
  <si>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</si>
  <si>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</si>
  <si>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</si>
  <si>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</si>
  <si>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</si>
  <si>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</si>
  <si>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</si>
  <si>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</si>
  <si>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</si>
  <si>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</si>
  <si>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</si>
  <si>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</si>
  <si>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</si>
  <si>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</si>
  <si>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</si>
  <si>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</si>
  <si>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</si>
  <si>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</si>
  <si>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</si>
  <si>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</si>
  <si>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</si>
  <si>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</si>
  <si>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</si>
  <si>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</si>
  <si>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</si>
  <si>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</si>
  <si>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</si>
  <si>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</si>
  <si>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</si>
  <si>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</si>
  <si>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</si>
  <si>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</si>
  <si>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</si>
  <si>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</si>
  <si>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</si>
  <si>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</si>
  <si>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</si>
  <si>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</si>
  <si>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</si>
  <si>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</si>
  <si>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</si>
  <si>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</si>
  <si>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</si>
  <si>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</si>
  <si>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</si>
  <si>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</si>
  <si>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</si>
  <si>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</si>
  <si>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</si>
  <si>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</si>
  <si>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</si>
  <si>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</si>
  <si>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</si>
  <si>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</si>
  <si>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</si>
  <si>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</si>
  <si>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</si>
  <si>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</si>
  <si>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</si>
  <si>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</si>
  <si>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</si>
  <si>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</si>
  <si>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</si>
  <si>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</si>
  <si>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</si>
  <si>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</si>
  <si>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</si>
  <si>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</si>
  <si>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</si>
  <si>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</si>
  <si>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</si>
  <si>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</si>
  <si>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</si>
  <si>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</si>
  <si>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</si>
  <si>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</si>
  <si>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</si>
  <si>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</si>
  <si>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</si>
  <si>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</si>
  <si>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</si>
  <si>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</si>
  <si>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</si>
  <si>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</si>
  <si>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</si>
  <si>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</si>
  <si>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</si>
  <si>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</si>
  <si>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</si>
  <si>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</si>
  <si>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</si>
  <si>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</si>
  <si>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</si>
  <si>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</si>
  <si>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</si>
  <si>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</si>
  <si>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</si>
  <si>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</si>
  <si>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</si>
  <si>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</si>
  <si>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</si>
  <si>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</si>
  <si>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</si>
  <si>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</si>
  <si>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</si>
  <si>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</si>
  <si>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</si>
  <si>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</si>
  <si>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</si>
  <si>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</si>
  <si>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</si>
  <si>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</si>
  <si>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</si>
  <si>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</si>
  <si>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</si>
  <si>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</si>
  <si>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</si>
  <si>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</si>
  <si>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</si>
  <si>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</si>
  <si>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</si>
  <si>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</si>
  <si>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</si>
  <si>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Based on August 12, 2021 NETL Comparison of Commercial, State-Of-The-Art, Fossil-Based Hydrogen Production Technologies</t>
  </si>
  <si>
    <t>V-L Mole Fraction</t>
  </si>
  <si>
    <t>Ar</t>
  </si>
  <si>
    <t>CO</t>
  </si>
  <si>
    <t>V-L Flowrate (kg/hr)</t>
  </si>
  <si>
    <t>Solids Flowrate (kg/hr)</t>
  </si>
  <si>
    <t>Temperature (°C)</t>
  </si>
  <si>
    <t>Pressure (MPa, abs)</t>
  </si>
  <si>
    <t>V-L Molecular Weight</t>
  </si>
  <si>
    <t>V-L Flowrate (lb/hr)</t>
  </si>
  <si>
    <t>Solids Flowrate (lb/hr)</t>
  </si>
  <si>
    <t>Mol flow basis kmol/h</t>
  </si>
  <si>
    <t>Heat of combustion (LHV, kJ/mol)</t>
  </si>
  <si>
    <t>Heat of combustion (HHV, kJ/mol)</t>
  </si>
  <si>
    <t>dHf (g, kJ/mol)</t>
  </si>
  <si>
    <t>dHf (l, kJ/mol)</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</si>
  <si>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</si>
  <si>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 xml:space="preserve">Note 1: while the process flow shows compression past 300 psia, H2A model framework excludes compression for transmission and distribution. Hence, entailed analysis does not include capital or energy use for the product hydrogen compressor. </t>
  </si>
  <si>
    <t>Power Summary</t>
  </si>
  <si>
    <t>Auxiliary Load Summary</t>
  </si>
  <si>
    <t>Air Blower, kWe</t>
  </si>
  <si>
    <t>Circulating Water Pumps, kWe</t>
  </si>
  <si>
    <t>Cooling Tower Fans, kWe</t>
  </si>
  <si>
    <t>Feedwater Pumps, kWe</t>
  </si>
  <si>
    <t>Ground Water Pumps, kWe</t>
  </si>
  <si>
    <t>Hydrogen Compressor, kWe</t>
  </si>
  <si>
    <t>Transformer Losses, kWe</t>
  </si>
  <si>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</si>
  <si>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</si>
  <si>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</si>
  <si>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</si>
  <si>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</si>
  <si>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Hydrogen Production</t>
  </si>
  <si>
    <t>Instrumentation &amp; Control</t>
  </si>
  <si>
    <r>
      <t>Removed H</t>
    </r>
    <r>
      <rPr>
        <sz val="10"/>
        <rFont val="Calibri"/>
        <family val="2"/>
      </rPr>
      <t>₂</t>
    </r>
    <r>
      <rPr>
        <sz val="10"/>
        <rFont val="Arial"/>
        <family val="2"/>
      </rPr>
      <t xml:space="preserve"> compressor to pipeline pressure as it is out of scope for H2A production cases</t>
    </r>
  </si>
  <si>
    <t>Estimated based on site total cost in NETL report.</t>
  </si>
  <si>
    <t>feedstock Industrial Electricity Usage</t>
  </si>
  <si>
    <t>feedstockIndustrial_Electricity_Usage</t>
  </si>
  <si>
    <t>Using H2A default</t>
  </si>
  <si>
    <t>Administrative &amp; support labor</t>
  </si>
  <si>
    <t>Weighted average by sub-component list</t>
  </si>
  <si>
    <t>Cooling Water System</t>
  </si>
  <si>
    <t>https://netl.doe.gov/projects/files/QualityGuidelinesforEnergySystemStudiesCapitalCostScalingMethodologyRevision4Report_110719.pdf</t>
  </si>
  <si>
    <t>Includes buildings and other site improvements</t>
  </si>
  <si>
    <t>Project contingency ($)</t>
  </si>
  <si>
    <t>Process contingency ($)</t>
  </si>
  <si>
    <t>Maintenance labor</t>
  </si>
  <si>
    <r>
      <t>Miscellaneous Balance of Plant</t>
    </r>
    <r>
      <rPr>
        <vertAlign val="superscript"/>
        <sz val="10"/>
        <color rgb="FF383838"/>
        <rFont val="Calibri"/>
        <family val="2"/>
      </rPr>
      <t>A</t>
    </r>
    <r>
      <rPr>
        <sz val="10"/>
        <color rgb="FF383838"/>
        <rFont val="Calibri"/>
        <family val="2"/>
      </rPr>
      <t>, kWe</t>
    </r>
  </si>
  <si>
    <t>https://edx.netl.doe.gov/dataset/fe-netl-co2-saline-storage-cost-model-2017</t>
  </si>
  <si>
    <t>CO₂ Mass Flowrate (metric tonnes/day)</t>
  </si>
  <si>
    <t>CO₂ Mass Flowrate (million metric tonnes/year)</t>
  </si>
  <si>
    <t>CO₂ Produced from Feedstock (metric tonnes CO₂/year)</t>
  </si>
  <si>
    <t>CO₂ Produced from Feedstock (kg CO₂/kg H2)</t>
  </si>
  <si>
    <t>CO₂ capture credit ($/metric ton CO₂ captured)</t>
  </si>
  <si>
    <t>Corporate ownership, with 1.5 debt to equity financing capital structure.</t>
  </si>
  <si>
    <t>Note 2: CO₂ transport and sequestration are modeled explicitly in the "Carbon Sequestration" tab of this model, which is based on NETL's CO₂ transport and storage model. Thus, CO₂ compressor specified in the source study is preempted by H2A explicit transport and sequestration calculations.</t>
  </si>
  <si>
    <t>Key parameters</t>
  </si>
  <si>
    <t>Steam/carbon ratio (mol/mol)</t>
  </si>
  <si>
    <t>Feed rate (kJ/h)</t>
  </si>
  <si>
    <t>LHV, HHV</t>
  </si>
  <si>
    <t>Feed rate (kW)</t>
  </si>
  <si>
    <t>Feed rate (mmBTU/h)</t>
  </si>
  <si>
    <t>Product rate (kJ/h)</t>
  </si>
  <si>
    <t>Product rate (kW)</t>
  </si>
  <si>
    <t>Product rate (kg/day)</t>
  </si>
  <si>
    <t>Carbon feed rate (mol/h)</t>
  </si>
  <si>
    <t>Carbon sequestering rate (mol/h)</t>
  </si>
  <si>
    <t>Carbon sequestration fraction (%)</t>
  </si>
  <si>
    <t>Shift CO conversion rate</t>
  </si>
  <si>
    <t>Fuel use (mmBTU, LHV/kg H₂)</t>
  </si>
  <si>
    <t>Raw water withdrawal (gal/min)</t>
  </si>
  <si>
    <r>
      <t>Raw water withdrawal (gal/kg H</t>
    </r>
    <r>
      <rPr>
        <sz val="10"/>
        <rFont val="Calibri"/>
        <family val="2"/>
      </rPr>
      <t>₂</t>
    </r>
    <r>
      <rPr>
        <sz val="10"/>
        <rFont val="Arial"/>
        <family val="2"/>
      </rPr>
      <t>)</t>
    </r>
  </si>
  <si>
    <t>Electricity use (kW)</t>
  </si>
  <si>
    <r>
      <t>Electricity use (kWh/kg H</t>
    </r>
    <r>
      <rPr>
        <sz val="10"/>
        <rFont val="Calibri"/>
        <family val="2"/>
      </rPr>
      <t>₂</t>
    </r>
    <r>
      <rPr>
        <sz val="10"/>
        <rFont val="Arial"/>
        <family val="2"/>
      </rPr>
      <t>)</t>
    </r>
  </si>
  <si>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</si>
  <si>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</si>
  <si>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</si>
  <si>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</si>
  <si>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</si>
  <si>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</si>
  <si>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</si>
  <si>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</si>
  <si>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</si>
  <si>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</si>
  <si>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</si>
  <si>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t>In-H2A scope</t>
  </si>
  <si>
    <r>
      <t>CO</t>
    </r>
    <r>
      <rPr>
        <vertAlign val="subscript"/>
        <sz val="10"/>
        <color rgb="FF383838"/>
        <rFont val="Calibri"/>
        <family val="2"/>
      </rPr>
      <t>2</t>
    </r>
    <r>
      <rPr>
        <sz val="10"/>
        <color rgb="FF383838"/>
        <rFont val="Calibri"/>
        <family val="2"/>
      </rPr>
      <t xml:space="preserve"> Capture/Removal Auxiliaries, kWe</t>
    </r>
  </si>
  <si>
    <t>Total Auxiliaries, kWe</t>
  </si>
  <si>
    <t>Price Conversion Factor (GJ/mmBtu)</t>
  </si>
  <si>
    <t>Price in Startup Year ($2016)/mmBtu</t>
  </si>
  <si>
    <t>Usage (mmBtu/kg H2)</t>
  </si>
  <si>
    <t>Accessory Electric Plant</t>
  </si>
  <si>
    <t>Flue Gas Cleanup</t>
  </si>
  <si>
    <t>Reformer &amp; Accessories</t>
  </si>
  <si>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</si>
  <si>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</si>
  <si>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</si>
  <si>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</si>
  <si>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</si>
  <si>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</si>
  <si>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</si>
  <si>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</si>
  <si>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</si>
  <si>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</si>
  <si>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</si>
  <si>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</si>
  <si>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</si>
  <si>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</si>
  <si>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</si>
  <si>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</si>
  <si>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</si>
  <si>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</si>
  <si>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</si>
  <si>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</si>
  <si>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</si>
  <si>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t>Lewis, E. et al. 2022. Comparison of commercial, state-of-the-art, fossil-based hydrogen production technologies. National Energy Technology Laboratory (NETL).</t>
  </si>
  <si>
    <t>Coefficients</t>
  </si>
  <si>
    <t>Transport</t>
  </si>
  <si>
    <t>Storage</t>
  </si>
  <si>
    <t>a</t>
  </si>
  <si>
    <t>Nominal cost in flow start year:</t>
  </si>
  <si>
    <t>Cost (nominal $/tonne CO₂)</t>
  </si>
  <si>
    <t>Transport model linearization coefficients</t>
  </si>
  <si>
    <r>
      <rPr>
        <b/>
        <sz val="10"/>
        <rFont val="Arial"/>
        <family val="2"/>
      </rPr>
      <t>A</t>
    </r>
    <r>
      <rPr>
        <sz val="10"/>
        <rFont val="Arial"/>
        <family val="2"/>
      </rPr>
      <t>: transport quantity (MMT/y)</t>
    </r>
  </si>
  <si>
    <r>
      <rPr>
        <b/>
        <sz val="10"/>
        <rFont val="Arial"/>
        <family val="2"/>
      </rPr>
      <t xml:space="preserve">B: </t>
    </r>
    <r>
      <rPr>
        <sz val="10"/>
        <rFont val="Arial"/>
        <family val="2"/>
      </rPr>
      <t xml:space="preserve">1/capacity factor </t>
    </r>
  </si>
  <si>
    <t>Term exponents</t>
  </si>
  <si>
    <t>Reference:</t>
  </si>
  <si>
    <t>https://www.netl.doe.gov/energy-analysis/details?id=b37414b7-20d3-4fb2-bca6-b6146b26198a</t>
  </si>
  <si>
    <r>
      <t>CO</t>
    </r>
    <r>
      <rPr>
        <sz val="11"/>
        <rFont val="Calibri"/>
        <family val="2"/>
      </rPr>
      <t>₂</t>
    </r>
    <r>
      <rPr>
        <sz val="11"/>
        <rFont val="Arial"/>
        <family val="2"/>
      </rPr>
      <t xml:space="preserve"> Transport</t>
    </r>
  </si>
  <si>
    <r>
      <t>CO</t>
    </r>
    <r>
      <rPr>
        <sz val="11"/>
        <rFont val="Calibri"/>
        <family val="2"/>
      </rPr>
      <t>₂</t>
    </r>
    <r>
      <rPr>
        <sz val="11"/>
        <rFont val="Arial"/>
        <family val="2"/>
      </rPr>
      <t xml:space="preserve"> Injection</t>
    </r>
  </si>
  <si>
    <t>CCS credit</t>
  </si>
  <si>
    <t>Carbon transport and sequestration capacity factor</t>
  </si>
  <si>
    <t xml:space="preserve">Updated CO₂ Sequestration tab to be based on:
* FE/NETL CO₂ Transport Cost Model (2022)
* FE/NETL CO₂ Saline Storage Cost Model (2017)
See links below
</t>
  </si>
  <si>
    <t>Coefficients linearizing CO₂ injection cost per metric tonne based on * FE/NETL CO₂ Saline Storage Cost Model (2017) with the following adjustments:
- Injection formation = Woodbine1 (in East Texas)
- Operating life = 40 years
- First transport year = 2015
- System capacity factor = variable; linearized between 10% and 100%
- CO₂ flow = variable; linearized between 0.1 and 12 million metric tonnes / year
- Cost per transported tonne of CO₂ were linearized on 2015 nominal $ basis</t>
  </si>
  <si>
    <t>Saline storage model linearization coefficients</t>
  </si>
  <si>
    <t>Coefficients linearizing CO₂  transport cost per metric tonne-mile based on FE/NETL CO₂ Transport Cost Model (2022) with the following adjustments:
- Operating life = 40 years
- First transport year = 2015
- System capacity factor = variable; linearized between 10% and 100%
- CO₂ flow = variable; linearized between 0.1 and 12 million metric tonnes / year
- Linearization validity is for transport distance of 30 to 1,000 miles
- Cost per transported tonne of CO₂ were linearized on 2015 nominal $ basis</t>
  </si>
  <si>
    <t>Costs for carbon (CO₂) transport to the sequestration site and injection are calculated in this section. Costs for CO₂ compression to 2,200psia are to be included in the capital and operating costs for the production facility and are not included here. In scope of the sheet below is pipeline transport to an saline geologic formation, pumping to compensate for CO₂ pressure loss, injection into formation, and post-injection site care. Detailed description and accounting can be found in the referenced models by FE/NETL.</t>
  </si>
  <si>
    <r>
      <t xml:space="preserve">Based on Case 2 of NETL 2022 Comparison of Commercial, State-of-the-Art, Fossil-Based Hydrogen Production Technologies </t>
    </r>
    <r>
      <rPr>
        <sz val="10"/>
        <rFont val="Calibri"/>
        <family val="2"/>
      </rPr>
      <t>↓</t>
    </r>
  </si>
  <si>
    <t>Current Central Hydrogen Production from Steam Methane Reforming (SMR) of Natural Gas</t>
  </si>
  <si>
    <r>
      <t>Natural gas desulfurization, steam-methane-reformer, shift, pressure swing absorption, methyl diethanolamine CO</t>
    </r>
    <r>
      <rPr>
        <sz val="10"/>
        <rFont val="Calibri"/>
        <family val="2"/>
      </rPr>
      <t>₂</t>
    </r>
    <r>
      <rPr>
        <sz val="10"/>
        <rFont val="Arial"/>
        <family val="2"/>
      </rPr>
      <t xml:space="preserve"> separation</t>
    </r>
  </si>
  <si>
    <t>Steam methane reforming (SMR) of natural gas continues to be the most efficient, economical, and widely used process for production of hydrogen and hydrogen/carbon monoxide mixtures.  The purpose of this analysis is to assess the economic production of hydrogen from the steam reforming of natural gas while sequestering 96.3% of the carbon as CO2.</t>
  </si>
  <si>
    <t xml:space="preserve">Natural gas is fed into the steam methane reformer (SMR) plant via a pipeline at 435 psia. The gas is desulfurized, and mixed with steam at 395°C. The reformer reactor is fed with an overall steam to carbon (H₂O/C) ratio of 2.45. The endothermic steam methane reforming reaction is performed on the cold side of a tube-shell heat exchanger and heat is supplied on the hot side of the heat exchanger by combustion of pressure swing adsorber (PSA) effluent and supplemental natural gas. Product syngas exits the reactor at 870°C and is chilled to 204°C before entering a shift reactor. In the shift reactor, carbon monoxide from the syngas reacts with steam to produce more hydrogen and carbon dioxide. Shift effluent is cooled, and flown through an acid gas removal system which uses methyl diethanolamine (MDEA) to separate carbon dioxide. Overall carbon capture rate is 96%. Lastly, the resulting hydrogen rich product is further purified through a PSA system resulting in pure hydrogen at 340 psia. </t>
  </si>
  <si>
    <t>SMR carbon reforming rate</t>
  </si>
  <si>
    <r>
      <t>CH</t>
    </r>
    <r>
      <rPr>
        <vertAlign val="subscript"/>
        <sz val="8"/>
        <rFont val="Calibri"/>
        <family val="2"/>
      </rPr>
      <t>4</t>
    </r>
  </si>
  <si>
    <r>
      <t>CH</t>
    </r>
    <r>
      <rPr>
        <vertAlign val="subscript"/>
        <sz val="8"/>
        <rFont val="Calibri"/>
        <family val="2"/>
      </rPr>
      <t>4</t>
    </r>
    <r>
      <rPr>
        <sz val="8"/>
        <rFont val="Calibri"/>
        <family val="2"/>
      </rPr>
      <t>S</t>
    </r>
  </si>
  <si>
    <r>
      <t>C</t>
    </r>
    <r>
      <rPr>
        <vertAlign val="subscript"/>
        <sz val="8"/>
        <rFont val="Calibri"/>
        <family val="2"/>
      </rPr>
      <t>2</t>
    </r>
    <r>
      <rPr>
        <sz val="8"/>
        <rFont val="Calibri"/>
        <family val="2"/>
      </rPr>
      <t>H</t>
    </r>
    <r>
      <rPr>
        <vertAlign val="subscript"/>
        <sz val="8"/>
        <rFont val="Calibri"/>
        <family val="2"/>
      </rPr>
      <t>6</t>
    </r>
  </si>
  <si>
    <r>
      <t>C</t>
    </r>
    <r>
      <rPr>
        <vertAlign val="subscript"/>
        <sz val="8"/>
        <rFont val="Calibri"/>
        <family val="2"/>
      </rPr>
      <t>3</t>
    </r>
    <r>
      <rPr>
        <sz val="8"/>
        <rFont val="Calibri"/>
        <family val="2"/>
      </rPr>
      <t>H</t>
    </r>
    <r>
      <rPr>
        <vertAlign val="subscript"/>
        <sz val="8"/>
        <rFont val="Calibri"/>
        <family val="2"/>
      </rPr>
      <t>8</t>
    </r>
  </si>
  <si>
    <r>
      <t>C</t>
    </r>
    <r>
      <rPr>
        <vertAlign val="subscript"/>
        <sz val="8"/>
        <rFont val="Calibri"/>
        <family val="2"/>
      </rPr>
      <t>4</t>
    </r>
    <r>
      <rPr>
        <sz val="8"/>
        <rFont val="Calibri"/>
        <family val="2"/>
      </rPr>
      <t>H</t>
    </r>
    <r>
      <rPr>
        <vertAlign val="subscript"/>
        <sz val="8"/>
        <rFont val="Calibri"/>
        <family val="2"/>
      </rPr>
      <t>10</t>
    </r>
  </si>
  <si>
    <r>
      <t>CO</t>
    </r>
    <r>
      <rPr>
        <vertAlign val="subscript"/>
        <sz val="8"/>
        <rFont val="Calibri"/>
        <family val="2"/>
      </rPr>
      <t>2</t>
    </r>
  </si>
  <si>
    <r>
      <t>H</t>
    </r>
    <r>
      <rPr>
        <vertAlign val="subscript"/>
        <sz val="8"/>
        <rFont val="Calibri"/>
        <family val="2"/>
      </rPr>
      <t>2</t>
    </r>
  </si>
  <si>
    <r>
      <t>H</t>
    </r>
    <r>
      <rPr>
        <vertAlign val="subscript"/>
        <sz val="8"/>
        <rFont val="Calibri"/>
        <family val="2"/>
      </rPr>
      <t>2</t>
    </r>
    <r>
      <rPr>
        <sz val="8"/>
        <rFont val="Calibri"/>
        <family val="2"/>
      </rPr>
      <t>O</t>
    </r>
  </si>
  <si>
    <r>
      <t>N</t>
    </r>
    <r>
      <rPr>
        <vertAlign val="subscript"/>
        <sz val="8"/>
        <rFont val="Calibri"/>
        <family val="2"/>
      </rPr>
      <t>2</t>
    </r>
  </si>
  <si>
    <r>
      <t>O</t>
    </r>
    <r>
      <rPr>
        <vertAlign val="subscript"/>
        <sz val="8"/>
        <rFont val="Calibri"/>
        <family val="2"/>
      </rPr>
      <t>2</t>
    </r>
  </si>
  <si>
    <r>
      <t>SO</t>
    </r>
    <r>
      <rPr>
        <vertAlign val="subscript"/>
        <sz val="8"/>
        <rFont val="Calibri"/>
        <family val="2"/>
      </rPr>
      <t>2</t>
    </r>
  </si>
  <si>
    <r>
      <t>V-L Flowrate (kg</t>
    </r>
    <r>
      <rPr>
        <vertAlign val="subscript"/>
        <sz val="8"/>
        <rFont val="Calibri"/>
        <family val="2"/>
      </rPr>
      <t>mol</t>
    </r>
    <r>
      <rPr>
        <sz val="8"/>
        <rFont val="Calibri"/>
        <family val="2"/>
      </rPr>
      <t>/hr)</t>
    </r>
  </si>
  <si>
    <r>
      <t>Steam Table Enthalpy (kJ/kg)</t>
    </r>
    <r>
      <rPr>
        <vertAlign val="superscript"/>
        <sz val="8"/>
        <rFont val="Calibri"/>
        <family val="2"/>
      </rPr>
      <t>A</t>
    </r>
  </si>
  <si>
    <r>
      <t>AspenPlus Enthalpy (kJ/kg)</t>
    </r>
    <r>
      <rPr>
        <vertAlign val="superscript"/>
        <sz val="8"/>
        <rFont val="Calibri"/>
        <family val="2"/>
      </rPr>
      <t>B</t>
    </r>
  </si>
  <si>
    <r>
      <t>Density (kg/m</t>
    </r>
    <r>
      <rPr>
        <vertAlign val="superscript"/>
        <sz val="8"/>
        <rFont val="Calibri"/>
        <family val="2"/>
      </rPr>
      <t>3</t>
    </r>
    <r>
      <rPr>
        <sz val="8"/>
        <rFont val="Calibri"/>
        <family val="2"/>
      </rPr>
      <t>)</t>
    </r>
  </si>
  <si>
    <r>
      <t>V-L Flowrate (lb</t>
    </r>
    <r>
      <rPr>
        <vertAlign val="subscript"/>
        <sz val="8"/>
        <rFont val="Calibri"/>
        <family val="2"/>
      </rPr>
      <t>mol</t>
    </r>
    <r>
      <rPr>
        <sz val="8"/>
        <rFont val="Calibri"/>
        <family val="2"/>
      </rPr>
      <t>/hr)</t>
    </r>
  </si>
  <si>
    <r>
      <t>Steam Table Enthalpy (Btu/lb)</t>
    </r>
    <r>
      <rPr>
        <vertAlign val="superscript"/>
        <sz val="8"/>
        <rFont val="Calibri"/>
        <family val="2"/>
      </rPr>
      <t>A</t>
    </r>
  </si>
  <si>
    <r>
      <t>AspenPlus Enthalpy (Btu/lb)</t>
    </r>
    <r>
      <rPr>
        <vertAlign val="superscript"/>
        <sz val="8"/>
        <rFont val="Calibri"/>
        <family val="2"/>
      </rPr>
      <t>B</t>
    </r>
  </si>
  <si>
    <r>
      <t>Density (lb/ft</t>
    </r>
    <r>
      <rPr>
        <vertAlign val="superscript"/>
        <sz val="8"/>
        <rFont val="Calibri"/>
        <family val="2"/>
      </rPr>
      <t>3</t>
    </r>
    <r>
      <rPr>
        <sz val="8"/>
        <rFont val="Calibri"/>
        <family val="2"/>
      </rPr>
      <t>)</t>
    </r>
  </si>
  <si>
    <r>
      <t>CO</t>
    </r>
    <r>
      <rPr>
        <vertAlign val="subscript"/>
        <sz val="10"/>
        <rFont val="Calibri"/>
        <family val="2"/>
      </rPr>
      <t>2</t>
    </r>
    <r>
      <rPr>
        <sz val="10"/>
        <rFont val="Calibri"/>
        <family val="2"/>
      </rPr>
      <t xml:space="preserve"> Compression, kWe</t>
    </r>
  </si>
  <si>
    <t>Syngas Cleanup</t>
  </si>
  <si>
    <t>Current Central Hydrogen Production from Natural Gas Steam Methane Reforming with CO₂ Capture and Sequestration.</t>
  </si>
  <si>
    <t>Pipeline Length (km)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</si>
</sst>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quot;$&quot;* #,##0.0_);_(&quot;$&quot;* \(#,##0.0\);_(&quot;$&quot;* &quot;-&quot;??_);_(@_)"/>
  </numFmts>
  <fonts count="85" x14ac:knownFonts="1">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b/>
      <sz val="14"/>
      <color indexed="12"/>
      <name val="Arial Black"/>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sz val="8"/>
      <color rgb="FF000000"/>
      <name val="Segoe UI"/>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sz val="10"/>
      <color rgb="FF383838"/>
      <name val="Calibri"/>
      <family val="2"/>
    </font>
    <font>
      <vertAlign val="superscript"/>
      <sz val="10"/>
      <color rgb="FF383838"/>
      <name val="Calibri"/>
      <family val="2"/>
    </font>
    <font>
      <vertAlign val="subscript"/>
      <sz val="10"/>
      <color rgb="FF383838"/>
      <name val="Calibri"/>
      <family val="2"/>
    </font>
    <font>
      <b/>
      <sz val="10"/>
      <color rgb="FF383838"/>
      <name val="Calibri"/>
      <family val="2"/>
    </font>
    <font>
      <sz val="11"/>
      <name val="Calibri"/>
      <family val="2"/>
    </font>
    <font>
      <b/>
      <sz val="14"/>
      <name val="Arial Black"/>
      <family val="2"/>
    </font>
    <font>
      <sz val="10"/>
      <color theme="0" tint="-0.14999847407452621"/>
      <name val="Arial"/>
      <family val="2"/>
    </font>
    <font>
      <sz val="8"/>
      <color rgb="FFFFFFFF"/>
      <name val="Calibri"/>
      <family val="2"/>
    </font>
    <font>
      <sz val="8"/>
      <color rgb="FF383838"/>
      <name val="Calibri"/>
      <family val="2"/>
    </font>
    <font>
      <vertAlign val="subscript"/>
      <sz val="8"/>
      <color rgb="FF383838"/>
      <name val="Calibri"/>
      <family val="2"/>
    </font>
    <font>
      <sz val="10"/>
      <color theme="1"/>
      <name val="Arial"/>
      <family val="2"/>
    </font>
    <font>
      <sz val="10"/>
      <color theme="0"/>
      <name val="Arial"/>
      <family val="2"/>
    </font>
    <font>
      <b/>
      <vertAlign val="subscript"/>
      <sz val="10"/>
      <color rgb="FFFFFFFF"/>
      <name val="Calibri"/>
      <family val="2"/>
    </font>
    <font>
      <sz val="8"/>
      <name val="Calibri"/>
      <family val="2"/>
    </font>
    <font>
      <vertAlign val="subscript"/>
      <sz val="8"/>
      <name val="Calibri"/>
      <family val="2"/>
    </font>
    <font>
      <b/>
      <sz val="8"/>
      <name val="Calibri"/>
      <family val="2"/>
    </font>
    <font>
      <vertAlign val="superscript"/>
      <sz val="8"/>
      <name val="Calibri"/>
      <family val="2"/>
    </font>
    <font>
      <vertAlign val="subscript"/>
      <sz val="10"/>
      <name val="Calibri"/>
      <family val="2"/>
    </font>
  </fonts>
  <fills count="30">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
      <patternFill patternType="solid">
        <fgColor rgb="FF00B050"/>
        <bgColor indexed="64"/>
      </patternFill>
    </fill>
  </fills>
  <borders count="18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style="medium">
        <color rgb="FF8A8C8E"/>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style="medium">
        <color rgb="FF8A8C8E"/>
      </top>
      <bottom style="medium">
        <color rgb="FF8A8C8E"/>
      </bottom>
      <diagonal/>
    </border>
    <border>
      <left style="thin">
        <color indexed="64"/>
      </left>
      <right style="thin">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22">
    <xf numFmtId="0" fontId="0" fillId="0" borderId="0"/>
    <xf numFmtId="43" fontId="2" fillId="0" borderId="0" applyFont="0" applyFill="0" applyBorder="0" applyAlignment="0" applyProtection="0"/>
    <xf numFmtId="43" fontId="50" fillId="0" borderId="0" applyFont="0" applyFill="0" applyBorder="0" applyAlignment="0" applyProtection="0"/>
    <xf numFmtId="44" fontId="2" fillId="0" borderId="0" applyFont="0" applyFill="0" applyBorder="0" applyAlignment="0" applyProtection="0"/>
    <xf numFmtId="44"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73" fontId="42" fillId="0" borderId="0"/>
    <xf numFmtId="173" fontId="42" fillId="0" borderId="0"/>
    <xf numFmtId="0" fontId="12" fillId="0" borderId="0"/>
    <xf numFmtId="0" fontId="12" fillId="0" borderId="0"/>
    <xf numFmtId="173"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653">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Border="1" applyAlignment="1">
      <alignment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Border="1" applyAlignment="1">
      <alignment horizontal="left" vertical="center" wrapText="1"/>
    </xf>
    <xf numFmtId="1" fontId="8" fillId="2"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0" fontId="8" fillId="2" borderId="4" xfId="0" applyFont="1" applyFill="1" applyBorder="1" applyAlignment="1">
      <alignment vertical="center" wrapText="1"/>
    </xf>
    <xf numFmtId="0" fontId="9" fillId="2" borderId="0" xfId="0" applyFont="1" applyFill="1" applyBorder="1" applyAlignment="1">
      <alignment vertical="center" wrapText="1"/>
    </xf>
    <xf numFmtId="3" fontId="8" fillId="2" borderId="0" xfId="0" applyNumberFormat="1" applyFont="1" applyFill="1" applyBorder="1" applyAlignment="1">
      <alignment horizontal="center" vertical="center"/>
    </xf>
    <xf numFmtId="166" fontId="8" fillId="2" borderId="0" xfId="0" applyNumberFormat="1" applyFont="1" applyFill="1" applyBorder="1" applyAlignment="1">
      <alignment horizontal="center" vertical="center"/>
    </xf>
    <xf numFmtId="3" fontId="8" fillId="2" borderId="0" xfId="0" applyNumberFormat="1" applyFont="1" applyFill="1" applyBorder="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Border="1" applyAlignment="1">
      <alignment vertical="center"/>
    </xf>
    <xf numFmtId="3" fontId="8" fillId="2" borderId="0" xfId="0" quotePrefix="1" applyNumberFormat="1" applyFont="1" applyFill="1" applyBorder="1" applyAlignment="1">
      <alignment horizontal="center" vertical="center" wrapText="1"/>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0" fillId="0" borderId="0" xfId="0" applyFill="1"/>
    <xf numFmtId="0" fontId="12" fillId="0" borderId="0" xfId="0" applyFont="1" applyAlignment="1">
      <alignment vertical="top" wrapText="1"/>
    </xf>
    <xf numFmtId="0" fontId="12" fillId="3" borderId="8" xfId="0" applyFont="1" applyFill="1" applyBorder="1" applyAlignment="1" applyProtection="1">
      <alignment horizontal="left" vertical="center" wrapText="1"/>
    </xf>
    <xf numFmtId="0" fontId="17" fillId="0" borderId="0" xfId="0" applyFont="1" applyProtection="1"/>
    <xf numFmtId="0" fontId="0" fillId="0" borderId="0" xfId="0" applyProtection="1"/>
    <xf numFmtId="0" fontId="0" fillId="0" borderId="0" xfId="0" applyFill="1" applyProtection="1"/>
    <xf numFmtId="0" fontId="12" fillId="0" borderId="0" xfId="0" applyFont="1" applyFill="1" applyBorder="1" applyAlignment="1" applyProtection="1">
      <alignment horizontal="left" vertical="center" wrapText="1"/>
    </xf>
    <xf numFmtId="0" fontId="4" fillId="0" borderId="0" xfId="0" quotePrefix="1" applyFont="1" applyFill="1" applyBorder="1" applyAlignment="1" applyProtection="1">
      <alignment horizontal="left" vertical="center"/>
    </xf>
    <xf numFmtId="0" fontId="13" fillId="4" borderId="0" xfId="0" applyFont="1" applyFill="1" applyProtection="1"/>
    <xf numFmtId="0" fontId="12" fillId="4" borderId="0" xfId="0" applyFont="1" applyFill="1" applyProtection="1"/>
    <xf numFmtId="0" fontId="12" fillId="0" borderId="0" xfId="0" applyFont="1" applyFill="1" applyProtection="1"/>
    <xf numFmtId="0" fontId="0" fillId="0" borderId="0" xfId="0" applyFill="1" applyBorder="1" applyProtection="1"/>
    <xf numFmtId="0" fontId="12" fillId="5" borderId="8" xfId="0" applyFont="1" applyFill="1" applyBorder="1" applyAlignment="1" applyProtection="1">
      <alignment horizontal="left" vertical="center" wrapText="1"/>
    </xf>
    <xf numFmtId="0" fontId="12" fillId="6" borderId="8" xfId="0" applyFont="1" applyFill="1" applyBorder="1" applyAlignment="1" applyProtection="1">
      <alignment horizontal="left" vertical="center" wrapText="1"/>
    </xf>
    <xf numFmtId="0" fontId="0" fillId="4" borderId="8" xfId="0" applyFill="1" applyBorder="1" applyProtection="1"/>
    <xf numFmtId="173" fontId="18" fillId="0" borderId="9" xfId="16" applyFont="1" applyBorder="1" applyAlignment="1" applyProtection="1"/>
    <xf numFmtId="173" fontId="18"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2" fillId="0" borderId="0" xfId="16" applyFont="1" applyProtection="1"/>
    <xf numFmtId="173" fontId="4" fillId="0" borderId="13" xfId="16" applyFont="1" applyBorder="1" applyAlignment="1" applyProtection="1">
      <alignment horizontal="center"/>
    </xf>
    <xf numFmtId="173" fontId="4" fillId="0" borderId="14" xfId="16" applyFont="1" applyBorder="1" applyAlignment="1" applyProtection="1">
      <alignment horizontal="center"/>
    </xf>
    <xf numFmtId="173" fontId="4" fillId="0" borderId="15" xfId="16" applyFont="1" applyBorder="1" applyAlignment="1" applyProtection="1">
      <alignment horizontal="center"/>
    </xf>
    <xf numFmtId="173" fontId="4" fillId="0" borderId="16" xfId="16" applyFont="1" applyBorder="1" applyAlignment="1" applyProtection="1">
      <alignment horizontal="center"/>
    </xf>
    <xf numFmtId="173" fontId="12" fillId="3" borderId="17" xfId="16" applyFont="1" applyFill="1" applyBorder="1" applyProtection="1"/>
    <xf numFmtId="170" fontId="12" fillId="3" borderId="8" xfId="16" applyNumberFormat="1" applyFont="1" applyFill="1" applyBorder="1" applyProtection="1"/>
    <xf numFmtId="170" fontId="12" fillId="3" borderId="19" xfId="16" applyNumberFormat="1" applyFont="1" applyFill="1" applyBorder="1" applyProtection="1"/>
    <xf numFmtId="173" fontId="12" fillId="3" borderId="20" xfId="16" applyFont="1" applyFill="1" applyBorder="1" applyProtection="1"/>
    <xf numFmtId="170" fontId="12" fillId="3" borderId="23" xfId="16" applyNumberFormat="1" applyFont="1" applyFill="1" applyBorder="1" applyProtection="1"/>
    <xf numFmtId="0" fontId="18"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8"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8"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4" fillId="3" borderId="13" xfId="0" applyFont="1" applyFill="1" applyBorder="1" applyProtection="1"/>
    <xf numFmtId="0" fontId="4" fillId="3" borderId="15" xfId="0" applyFont="1" applyFill="1" applyBorder="1" applyProtection="1"/>
    <xf numFmtId="0" fontId="4" fillId="3" borderId="16" xfId="0" applyFont="1" applyFill="1" applyBorder="1" applyAlignment="1" applyProtection="1">
      <alignment wrapText="1"/>
    </xf>
    <xf numFmtId="5" fontId="2"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2" fillId="3" borderId="38" xfId="3" applyNumberFormat="1" applyFill="1" applyBorder="1" applyProtection="1"/>
    <xf numFmtId="0" fontId="4" fillId="3" borderId="25" xfId="0" applyFont="1" applyFill="1" applyBorder="1" applyProtection="1"/>
    <xf numFmtId="170" fontId="4" fillId="3" borderId="26" xfId="0" applyNumberFormat="1" applyFont="1" applyFill="1" applyBorder="1" applyProtection="1"/>
    <xf numFmtId="5" fontId="4" fillId="3" borderId="27" xfId="3" applyNumberFormat="1" applyFont="1" applyFill="1" applyBorder="1" applyProtection="1"/>
    <xf numFmtId="0" fontId="4" fillId="0" borderId="0" xfId="0" applyFont="1" applyFill="1" applyBorder="1" applyProtection="1"/>
    <xf numFmtId="170" fontId="4" fillId="0" borderId="0" xfId="0" applyNumberFormat="1" applyFont="1" applyFill="1" applyBorder="1" applyProtection="1"/>
    <xf numFmtId="5" fontId="4" fillId="0" borderId="0" xfId="3" applyNumberFormat="1" applyFont="1" applyFill="1" applyBorder="1" applyProtection="1"/>
    <xf numFmtId="0" fontId="4" fillId="3" borderId="20" xfId="0" applyFont="1" applyFill="1" applyBorder="1" applyAlignment="1" applyProtection="1">
      <alignment wrapText="1"/>
    </xf>
    <xf numFmtId="0" fontId="4" fillId="3" borderId="23" xfId="0" applyFont="1" applyFill="1" applyBorder="1" applyAlignment="1" applyProtection="1">
      <alignment wrapText="1"/>
    </xf>
    <xf numFmtId="0" fontId="0" fillId="3" borderId="39" xfId="0" applyFill="1" applyBorder="1" applyProtection="1"/>
    <xf numFmtId="170" fontId="4" fillId="3" borderId="27" xfId="0" applyNumberFormat="1" applyFont="1" applyFill="1" applyBorder="1" applyProtection="1"/>
    <xf numFmtId="173" fontId="17" fillId="0" borderId="0" xfId="16" applyFont="1" applyAlignment="1" applyProtection="1">
      <alignment horizontal="left"/>
    </xf>
    <xf numFmtId="173" fontId="12" fillId="0" borderId="0" xfId="16" applyFont="1" applyFill="1" applyBorder="1" applyProtection="1"/>
    <xf numFmtId="173" fontId="8" fillId="0" borderId="0" xfId="16" applyFont="1" applyFill="1" applyProtection="1"/>
    <xf numFmtId="173" fontId="20" fillId="0" borderId="0" xfId="16" applyFont="1" applyProtection="1"/>
    <xf numFmtId="173" fontId="21" fillId="0" borderId="0" xfId="16" applyFont="1" applyAlignment="1" applyProtection="1">
      <alignment horizontal="left"/>
    </xf>
    <xf numFmtId="173" fontId="12" fillId="0" borderId="17" xfId="16" applyFont="1" applyBorder="1" applyAlignment="1" applyProtection="1">
      <alignment wrapText="1"/>
    </xf>
    <xf numFmtId="173" fontId="12" fillId="0" borderId="17" xfId="16" applyFont="1" applyBorder="1" applyProtection="1"/>
    <xf numFmtId="164" fontId="12" fillId="3" borderId="19" xfId="16" applyNumberFormat="1" applyFont="1" applyFill="1" applyBorder="1" applyAlignment="1" applyProtection="1">
      <alignment horizontal="center"/>
    </xf>
    <xf numFmtId="173" fontId="12" fillId="0" borderId="36" xfId="16" applyFont="1" applyBorder="1" applyProtection="1"/>
    <xf numFmtId="164" fontId="12" fillId="3" borderId="38" xfId="16" applyNumberFormat="1" applyFont="1" applyFill="1" applyBorder="1" applyAlignment="1" applyProtection="1">
      <alignment horizontal="center"/>
    </xf>
    <xf numFmtId="0" fontId="20" fillId="0" borderId="0" xfId="0" applyFont="1" applyFill="1" applyBorder="1" applyAlignment="1" applyProtection="1">
      <alignment horizontal="left" vertical="center"/>
    </xf>
    <xf numFmtId="173" fontId="12" fillId="0" borderId="36" xfId="16" applyFont="1" applyBorder="1" applyAlignment="1" applyProtection="1">
      <alignment wrapText="1"/>
    </xf>
    <xf numFmtId="165" fontId="12" fillId="3" borderId="38" xfId="16" applyNumberFormat="1" applyFont="1" applyFill="1" applyBorder="1" applyAlignment="1" applyProtection="1">
      <alignment horizontal="center"/>
    </xf>
    <xf numFmtId="173" fontId="12" fillId="0" borderId="20" xfId="16" applyFont="1" applyBorder="1" applyProtection="1"/>
    <xf numFmtId="173" fontId="12" fillId="0" borderId="0" xfId="16" applyFont="1" applyBorder="1" applyProtection="1"/>
    <xf numFmtId="173" fontId="12" fillId="0" borderId="0" xfId="16" applyFont="1" applyFill="1" applyProtection="1"/>
    <xf numFmtId="0" fontId="18" fillId="0" borderId="10" xfId="0" applyFont="1" applyBorder="1" applyAlignment="1" applyProtection="1">
      <alignment wrapText="1"/>
    </xf>
    <xf numFmtId="173" fontId="12" fillId="0" borderId="11" xfId="16" applyFont="1" applyBorder="1" applyProtection="1"/>
    <xf numFmtId="10" fontId="12" fillId="0" borderId="0" xfId="17" applyNumberFormat="1" applyFont="1" applyFill="1" applyBorder="1" applyProtection="1"/>
    <xf numFmtId="173" fontId="4" fillId="0" borderId="40" xfId="16" applyFont="1" applyBorder="1" applyAlignment="1" applyProtection="1">
      <alignment horizontal="center"/>
    </xf>
    <xf numFmtId="164" fontId="12" fillId="3" borderId="31" xfId="16" applyNumberFormat="1" applyFont="1" applyFill="1" applyBorder="1" applyProtection="1"/>
    <xf numFmtId="164" fontId="12" fillId="3" borderId="19" xfId="16" applyNumberFormat="1" applyFont="1" applyFill="1" applyBorder="1" applyProtection="1"/>
    <xf numFmtId="173" fontId="18" fillId="0" borderId="9" xfId="16" applyFont="1" applyBorder="1" applyAlignment="1" applyProtection="1">
      <alignment horizontal="left"/>
    </xf>
    <xf numFmtId="173" fontId="22" fillId="0" borderId="17" xfId="16" applyFont="1" applyBorder="1" applyAlignment="1" applyProtection="1">
      <alignment horizontal="left"/>
    </xf>
    <xf numFmtId="173" fontId="12" fillId="0" borderId="19" xfId="16" applyFont="1" applyBorder="1" applyProtection="1"/>
    <xf numFmtId="173" fontId="12" fillId="0" borderId="17" xfId="16" applyFont="1" applyBorder="1" applyAlignment="1" applyProtection="1">
      <alignment horizontal="left" wrapText="1"/>
    </xf>
    <xf numFmtId="3" fontId="12" fillId="3" borderId="19" xfId="16" applyNumberFormat="1" applyFont="1" applyFill="1" applyBorder="1" applyProtection="1"/>
    <xf numFmtId="173" fontId="12" fillId="0" borderId="17" xfId="16" applyFont="1" applyBorder="1" applyAlignment="1" applyProtection="1">
      <alignment horizontal="left"/>
    </xf>
    <xf numFmtId="0" fontId="12" fillId="0" borderId="17" xfId="0" applyFont="1" applyFill="1" applyBorder="1" applyAlignment="1" applyProtection="1">
      <alignment horizontal="left" vertical="center"/>
    </xf>
    <xf numFmtId="2" fontId="12" fillId="3" borderId="19" xfId="16" applyNumberFormat="1" applyFont="1" applyFill="1" applyBorder="1" applyProtection="1"/>
    <xf numFmtId="173" fontId="12" fillId="0" borderId="19" xfId="16" applyFont="1" applyFill="1" applyBorder="1" applyProtection="1"/>
    <xf numFmtId="1" fontId="12" fillId="3" borderId="19" xfId="16" applyNumberFormat="1" applyFont="1" applyFill="1" applyBorder="1" applyProtection="1"/>
    <xf numFmtId="173" fontId="23" fillId="0" borderId="0" xfId="16" applyFont="1" applyFill="1" applyProtection="1"/>
    <xf numFmtId="0" fontId="0" fillId="0" borderId="0" xfId="0" applyBorder="1" applyProtection="1"/>
    <xf numFmtId="9" fontId="12" fillId="3" borderId="19" xfId="16" applyNumberFormat="1" applyFont="1" applyFill="1" applyBorder="1" applyProtection="1"/>
    <xf numFmtId="9" fontId="12" fillId="3" borderId="7" xfId="16" applyNumberFormat="1" applyFont="1" applyFill="1" applyBorder="1" applyProtection="1"/>
    <xf numFmtId="164" fontId="12" fillId="0" borderId="19" xfId="16" applyNumberFormat="1" applyFont="1" applyFill="1" applyBorder="1" applyProtection="1"/>
    <xf numFmtId="173" fontId="22" fillId="0" borderId="17" xfId="16" applyFont="1" applyBorder="1" applyProtection="1"/>
    <xf numFmtId="9" fontId="12" fillId="0" borderId="19" xfId="16" applyNumberFormat="1" applyFont="1" applyFill="1" applyBorder="1" applyProtection="1"/>
    <xf numFmtId="10" fontId="12" fillId="3" borderId="19" xfId="16" applyNumberFormat="1" applyFont="1" applyFill="1" applyBorder="1" applyProtection="1"/>
    <xf numFmtId="7" fontId="12" fillId="0" borderId="0" xfId="3" applyNumberFormat="1" applyFont="1" applyFill="1" applyBorder="1" applyProtection="1"/>
    <xf numFmtId="1" fontId="12" fillId="3" borderId="19" xfId="16" applyNumberFormat="1" applyFont="1" applyFill="1" applyBorder="1" applyAlignment="1" applyProtection="1">
      <alignment horizontal="right"/>
    </xf>
    <xf numFmtId="170" fontId="12" fillId="3" borderId="19" xfId="16" applyNumberFormat="1" applyFont="1" applyFill="1" applyBorder="1" applyAlignment="1" applyProtection="1">
      <alignment horizontal="right"/>
    </xf>
    <xf numFmtId="173" fontId="12" fillId="0" borderId="20" xfId="16" applyFont="1" applyBorder="1" applyAlignment="1" applyProtection="1">
      <alignment wrapText="1"/>
    </xf>
    <xf numFmtId="0" fontId="0" fillId="0" borderId="10" xfId="0" applyBorder="1" applyAlignment="1" applyProtection="1">
      <alignment wrapText="1"/>
    </xf>
    <xf numFmtId="173" fontId="4" fillId="0" borderId="0" xfId="16" applyFont="1" applyFill="1" applyBorder="1" applyAlignment="1" applyProtection="1">
      <alignment horizontal="center" wrapText="1"/>
    </xf>
    <xf numFmtId="173" fontId="12" fillId="3" borderId="13" xfId="16" applyFont="1" applyFill="1" applyBorder="1" applyProtection="1"/>
    <xf numFmtId="173" fontId="12" fillId="3" borderId="15" xfId="16" applyFont="1" applyFill="1" applyBorder="1" applyProtection="1"/>
    <xf numFmtId="165" fontId="12" fillId="3" borderId="15" xfId="16" applyNumberFormat="1" applyFont="1" applyFill="1" applyBorder="1" applyProtection="1"/>
    <xf numFmtId="170" fontId="12" fillId="3" borderId="15" xfId="16" applyNumberFormat="1" applyFont="1" applyFill="1" applyBorder="1" applyProtection="1"/>
    <xf numFmtId="6" fontId="12" fillId="3" borderId="15" xfId="16" applyNumberFormat="1" applyFont="1" applyFill="1" applyBorder="1" applyProtection="1"/>
    <xf numFmtId="164" fontId="2" fillId="3" borderId="15" xfId="17" applyNumberFormat="1" applyFill="1" applyBorder="1" applyProtection="1"/>
    <xf numFmtId="173" fontId="12" fillId="3" borderId="8" xfId="16" applyFont="1" applyFill="1" applyBorder="1" applyProtection="1"/>
    <xf numFmtId="165" fontId="12" fillId="3" borderId="8" xfId="16" applyNumberFormat="1" applyFont="1" applyFill="1" applyBorder="1" applyProtection="1"/>
    <xf numFmtId="6" fontId="12" fillId="3" borderId="8" xfId="16" applyNumberFormat="1" applyFont="1" applyFill="1" applyBorder="1" applyProtection="1"/>
    <xf numFmtId="164" fontId="2" fillId="3" borderId="8" xfId="17" applyNumberFormat="1" applyFill="1" applyBorder="1" applyProtection="1"/>
    <xf numFmtId="173" fontId="12" fillId="3" borderId="22" xfId="16" applyFont="1" applyFill="1" applyBorder="1" applyProtection="1"/>
    <xf numFmtId="6" fontId="12" fillId="3" borderId="22" xfId="16" applyNumberFormat="1" applyFont="1" applyFill="1" applyBorder="1" applyProtection="1"/>
    <xf numFmtId="173" fontId="12" fillId="0" borderId="0" xfId="16" applyFont="1" applyAlignment="1" applyProtection="1">
      <alignment horizontal="right"/>
    </xf>
    <xf numFmtId="170" fontId="12" fillId="0" borderId="0" xfId="16" applyNumberFormat="1" applyFont="1" applyFill="1" applyProtection="1"/>
    <xf numFmtId="0" fontId="18" fillId="0" borderId="11" xfId="0" applyFont="1" applyBorder="1" applyAlignment="1" applyProtection="1">
      <alignment wrapText="1"/>
    </xf>
    <xf numFmtId="173" fontId="12" fillId="3" borderId="17" xfId="16" applyFont="1" applyFill="1" applyBorder="1" applyAlignment="1" applyProtection="1">
      <alignment horizontal="right"/>
    </xf>
    <xf numFmtId="10" fontId="12" fillId="3" borderId="8" xfId="16" applyNumberFormat="1" applyFont="1" applyFill="1" applyBorder="1" applyProtection="1"/>
    <xf numFmtId="169" fontId="12" fillId="3" borderId="19" xfId="16" applyNumberFormat="1" applyFont="1" applyFill="1" applyBorder="1" applyAlignment="1" applyProtection="1">
      <alignment horizontal="right"/>
    </xf>
    <xf numFmtId="173" fontId="12" fillId="3" borderId="20" xfId="16" applyFont="1" applyFill="1" applyBorder="1" applyAlignment="1" applyProtection="1">
      <alignment horizontal="right" wrapText="1"/>
    </xf>
    <xf numFmtId="10" fontId="12" fillId="3" borderId="22" xfId="16" applyNumberFormat="1" applyFont="1" applyFill="1" applyBorder="1" applyProtection="1"/>
    <xf numFmtId="169" fontId="12" fillId="3" borderId="23" xfId="16" applyNumberFormat="1" applyFont="1" applyFill="1" applyBorder="1" applyAlignment="1" applyProtection="1">
      <alignment horizontal="right"/>
    </xf>
    <xf numFmtId="173" fontId="18" fillId="0" borderId="46" xfId="16" applyFont="1" applyFill="1" applyBorder="1" applyAlignment="1" applyProtection="1"/>
    <xf numFmtId="0" fontId="0" fillId="0" borderId="47" xfId="0" applyBorder="1" applyAlignment="1" applyProtection="1">
      <alignment wrapText="1"/>
    </xf>
    <xf numFmtId="173" fontId="18" fillId="0" borderId="9" xfId="16" applyFont="1" applyFill="1" applyBorder="1" applyAlignment="1" applyProtection="1">
      <alignment wrapText="1"/>
    </xf>
    <xf numFmtId="0" fontId="18" fillId="0" borderId="9" xfId="0" applyFont="1" applyBorder="1" applyAlignment="1" applyProtection="1">
      <alignment wrapText="1"/>
    </xf>
    <xf numFmtId="173" fontId="4" fillId="0" borderId="48" xfId="16" applyFont="1" applyFill="1" applyBorder="1" applyAlignment="1" applyProtection="1">
      <alignment horizontal="center"/>
    </xf>
    <xf numFmtId="173" fontId="12" fillId="3" borderId="49" xfId="16" applyFont="1" applyFill="1" applyBorder="1" applyProtection="1"/>
    <xf numFmtId="169" fontId="12" fillId="3" borderId="17" xfId="16" applyNumberFormat="1" applyFont="1" applyFill="1" applyBorder="1" applyProtection="1"/>
    <xf numFmtId="169" fontId="12" fillId="3" borderId="8" xfId="16" applyNumberFormat="1" applyFont="1" applyFill="1" applyBorder="1" applyProtection="1"/>
    <xf numFmtId="173" fontId="12"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2" fillId="0" borderId="0" xfId="0" applyFont="1" applyFill="1" applyProtection="1">
      <protection locked="0"/>
    </xf>
    <xf numFmtId="0" fontId="4" fillId="0" borderId="0" xfId="0" applyFont="1" applyFill="1" applyProtection="1"/>
    <xf numFmtId="0" fontId="4"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2"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2"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2"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7" fillId="0" borderId="25" xfId="0" applyFont="1" applyBorder="1" applyAlignment="1" applyProtection="1">
      <alignment wrapText="1"/>
    </xf>
    <xf numFmtId="0" fontId="27" fillId="0" borderId="51" xfId="0" applyFont="1" applyFill="1" applyBorder="1" applyAlignment="1" applyProtection="1">
      <alignment horizontal="center" wrapText="1"/>
    </xf>
    <xf numFmtId="0" fontId="27" fillId="0" borderId="52" xfId="0" applyFont="1" applyFill="1" applyBorder="1" applyAlignment="1" applyProtection="1">
      <alignment horizontal="center" wrapText="1"/>
    </xf>
    <xf numFmtId="0" fontId="27" fillId="0" borderId="53" xfId="0" applyFont="1" applyFill="1" applyBorder="1" applyAlignment="1" applyProtection="1">
      <alignment horizontal="center" wrapText="1"/>
    </xf>
    <xf numFmtId="0" fontId="27" fillId="0" borderId="54" xfId="0" applyFont="1" applyFill="1" applyBorder="1" applyAlignment="1" applyProtection="1">
      <alignment horizontal="center" wrapText="1"/>
    </xf>
    <xf numFmtId="173" fontId="4" fillId="0" borderId="0" xfId="16" applyFont="1" applyAlignment="1" applyProtection="1">
      <alignment vertical="top" wrapText="1"/>
    </xf>
    <xf numFmtId="0" fontId="12"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2" fillId="3" borderId="18" xfId="16" applyNumberFormat="1" applyFont="1" applyFill="1" applyBorder="1" applyProtection="1"/>
    <xf numFmtId="0" fontId="18" fillId="0" borderId="25" xfId="0" applyFont="1" applyBorder="1" applyAlignment="1" applyProtection="1">
      <alignment wrapText="1"/>
    </xf>
    <xf numFmtId="169" fontId="12" fillId="3" borderId="55" xfId="16" applyNumberFormat="1" applyFont="1" applyFill="1" applyBorder="1" applyProtection="1"/>
    <xf numFmtId="169" fontId="12" fillId="3" borderId="19" xfId="16" applyNumberFormat="1" applyFont="1" applyFill="1" applyBorder="1" applyProtection="1"/>
    <xf numFmtId="173" fontId="12" fillId="0" borderId="56" xfId="16" applyFont="1" applyBorder="1" applyProtection="1"/>
    <xf numFmtId="173" fontId="4" fillId="0" borderId="34" xfId="16" applyFont="1" applyFill="1" applyBorder="1" applyAlignment="1" applyProtection="1">
      <alignment horizontal="center" wrapText="1"/>
    </xf>
    <xf numFmtId="173" fontId="4" fillId="7" borderId="34" xfId="16" applyFont="1" applyFill="1" applyBorder="1" applyAlignment="1" applyProtection="1">
      <alignment horizontal="center" wrapText="1"/>
    </xf>
    <xf numFmtId="169" fontId="12" fillId="7" borderId="17" xfId="16" applyNumberFormat="1" applyFont="1" applyFill="1" applyBorder="1" applyProtection="1"/>
    <xf numFmtId="174" fontId="12" fillId="7" borderId="17" xfId="16" applyNumberFormat="1" applyFont="1" applyFill="1" applyBorder="1" applyProtection="1"/>
    <xf numFmtId="174" fontId="12" fillId="7" borderId="20" xfId="16" applyNumberFormat="1" applyFont="1" applyFill="1" applyBorder="1" applyProtection="1"/>
    <xf numFmtId="0" fontId="4"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5"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1" xfId="0" applyFont="1" applyFill="1" applyBorder="1"/>
    <xf numFmtId="0" fontId="0" fillId="7" borderId="2" xfId="0" applyFill="1" applyBorder="1"/>
    <xf numFmtId="0" fontId="4"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2" fillId="14" borderId="63" xfId="0" applyFont="1" applyFill="1" applyBorder="1" applyProtection="1"/>
    <xf numFmtId="0" fontId="12" fillId="14" borderId="17" xfId="0" applyFont="1" applyFill="1" applyBorder="1" applyProtection="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3"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4" fillId="0" borderId="17" xfId="16" applyFont="1" applyBorder="1" applyAlignment="1" applyProtection="1">
      <alignment wrapText="1"/>
    </xf>
    <xf numFmtId="0" fontId="26" fillId="2" borderId="0" xfId="0" applyFont="1" applyFill="1" applyBorder="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pplyProtection="1">
      <alignment horizontal="left"/>
    </xf>
    <xf numFmtId="3" fontId="4" fillId="2" borderId="65" xfId="0" applyNumberFormat="1" applyFont="1" applyFill="1" applyBorder="1" applyAlignment="1" applyProtection="1">
      <alignment vertical="center" wrapText="1"/>
    </xf>
    <xf numFmtId="0" fontId="4" fillId="2" borderId="65" xfId="0" applyFont="1" applyFill="1" applyBorder="1" applyAlignment="1" applyProtection="1">
      <alignment horizontal="left" vertical="center" wrapText="1"/>
    </xf>
    <xf numFmtId="0" fontId="12" fillId="2" borderId="65" xfId="0" applyFont="1" applyFill="1" applyBorder="1" applyAlignment="1" applyProtection="1">
      <alignment horizontal="left" vertical="center" wrapText="1"/>
    </xf>
    <xf numFmtId="0" fontId="0" fillId="2" borderId="66" xfId="0" applyFill="1" applyBorder="1" applyProtection="1"/>
    <xf numFmtId="0" fontId="14" fillId="2" borderId="25" xfId="0" applyFont="1" applyFill="1" applyBorder="1" applyAlignment="1" applyProtection="1">
      <alignment horizontal="left"/>
    </xf>
    <xf numFmtId="3" fontId="4" fillId="2" borderId="42" xfId="0" applyNumberFormat="1" applyFont="1" applyFill="1" applyBorder="1" applyAlignment="1" applyProtection="1">
      <alignment vertical="center" wrapText="1"/>
    </xf>
    <xf numFmtId="0" fontId="4" fillId="2" borderId="26" xfId="0" applyFont="1" applyFill="1" applyBorder="1" applyAlignment="1" applyProtection="1">
      <alignment horizontal="left" vertical="center" wrapText="1"/>
    </xf>
    <xf numFmtId="0" fontId="4" fillId="2" borderId="27" xfId="0" applyFont="1" applyFill="1" applyBorder="1" applyAlignment="1" applyProtection="1">
      <alignment vertical="center"/>
    </xf>
    <xf numFmtId="0" fontId="12" fillId="2" borderId="67" xfId="0" applyFont="1" applyFill="1" applyBorder="1" applyAlignment="1" applyProtection="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pplyProtection="1">
      <alignment wrapText="1"/>
    </xf>
    <xf numFmtId="0" fontId="4" fillId="2" borderId="25" xfId="0" applyFont="1" applyFill="1" applyBorder="1" applyAlignment="1" applyProtection="1">
      <alignment horizontal="center"/>
    </xf>
    <xf numFmtId="0" fontId="4" fillId="2" borderId="69" xfId="0" applyFont="1" applyFill="1" applyBorder="1" applyAlignment="1" applyProtection="1">
      <alignment horizontal="center" wrapText="1"/>
    </xf>
    <xf numFmtId="0" fontId="4" fillId="2" borderId="26" xfId="0" applyFont="1" applyFill="1" applyBorder="1" applyAlignment="1" applyProtection="1">
      <alignment horizontal="center" wrapText="1"/>
    </xf>
    <xf numFmtId="0" fontId="4" fillId="2" borderId="26" xfId="0" applyFont="1" applyFill="1" applyBorder="1" applyAlignment="1" applyProtection="1">
      <alignment wrapText="1"/>
    </xf>
    <xf numFmtId="0" fontId="4" fillId="2" borderId="27" xfId="0" applyFont="1" applyFill="1" applyBorder="1" applyAlignment="1" applyProtection="1">
      <alignment wrapText="1"/>
    </xf>
    <xf numFmtId="0" fontId="4" fillId="2" borderId="41" xfId="0" applyFont="1" applyFill="1" applyBorder="1" applyAlignment="1" applyProtection="1">
      <alignment horizontal="center"/>
    </xf>
    <xf numFmtId="0" fontId="4" fillId="2" borderId="42" xfId="0" applyFont="1" applyFill="1" applyBorder="1" applyAlignment="1" applyProtection="1">
      <alignment horizontal="center" wrapText="1"/>
    </xf>
    <xf numFmtId="0" fontId="4" fillId="2" borderId="42" xfId="0" applyFont="1" applyFill="1" applyBorder="1" applyAlignment="1" applyProtection="1">
      <alignment wrapText="1"/>
    </xf>
    <xf numFmtId="0" fontId="4" fillId="2" borderId="71" xfId="0" applyFont="1" applyFill="1" applyBorder="1" applyAlignment="1" applyProtection="1">
      <alignment wrapText="1"/>
    </xf>
    <xf numFmtId="170" fontId="12" fillId="2" borderId="15" xfId="0" applyNumberFormat="1" applyFont="1" applyFill="1" applyBorder="1" applyAlignment="1" applyProtection="1">
      <alignment horizontal="right" vertical="center" wrapText="1"/>
      <protection locked="0"/>
    </xf>
    <xf numFmtId="171" fontId="12" fillId="2" borderId="15" xfId="0" applyNumberFormat="1" applyFont="1" applyFill="1" applyBorder="1" applyAlignment="1" applyProtection="1">
      <alignment horizontal="right" vertical="center" wrapText="1"/>
      <protection locked="0"/>
    </xf>
    <xf numFmtId="3"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0" fontId="12" fillId="2" borderId="8" xfId="0" applyNumberFormat="1" applyFont="1" applyFill="1" applyBorder="1" applyAlignment="1" applyProtection="1">
      <alignment horizontal="right" vertical="center" wrapText="1"/>
      <protection locked="0"/>
    </xf>
    <xf numFmtId="171"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0" fontId="12" fillId="2" borderId="22" xfId="0" applyNumberFormat="1" applyFont="1" applyFill="1" applyBorder="1" applyAlignment="1" applyProtection="1">
      <alignment horizontal="right" vertical="center" wrapText="1"/>
      <protection locked="0"/>
    </xf>
    <xf numFmtId="171"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8" fillId="0" borderId="72" xfId="16" applyFont="1" applyFill="1" applyBorder="1" applyAlignment="1" applyProtection="1">
      <alignment wrapText="1"/>
    </xf>
    <xf numFmtId="173" fontId="18" fillId="0" borderId="73" xfId="16" applyFont="1" applyFill="1" applyBorder="1" applyAlignment="1" applyProtection="1">
      <alignment wrapText="1"/>
    </xf>
    <xf numFmtId="173" fontId="18" fillId="0" borderId="74" xfId="16" applyFont="1" applyFill="1" applyBorder="1" applyAlignment="1" applyProtection="1">
      <alignment wrapText="1"/>
    </xf>
    <xf numFmtId="173" fontId="13" fillId="3" borderId="75" xfId="16" applyFont="1" applyFill="1" applyBorder="1" applyAlignment="1" applyProtection="1">
      <alignment wrapText="1"/>
    </xf>
    <xf numFmtId="0" fontId="13" fillId="3" borderId="76" xfId="0" applyFont="1" applyFill="1" applyBorder="1" applyAlignment="1" applyProtection="1">
      <alignment wrapText="1"/>
    </xf>
    <xf numFmtId="0" fontId="13" fillId="3" borderId="75" xfId="0" applyFont="1" applyFill="1" applyBorder="1" applyAlignment="1" applyProtection="1">
      <alignment wrapText="1"/>
    </xf>
    <xf numFmtId="0" fontId="13" fillId="3" borderId="76" xfId="0" quotePrefix="1" applyFont="1" applyFill="1" applyBorder="1" applyAlignment="1" applyProtection="1">
      <alignment wrapText="1"/>
    </xf>
    <xf numFmtId="0" fontId="18" fillId="3" borderId="76" xfId="0" applyFont="1" applyFill="1" applyBorder="1" applyAlignment="1" applyProtection="1">
      <alignment wrapText="1"/>
    </xf>
    <xf numFmtId="0" fontId="18" fillId="3" borderId="77" xfId="0" applyFont="1" applyFill="1" applyBorder="1" applyAlignment="1" applyProtection="1">
      <alignment wrapText="1"/>
    </xf>
    <xf numFmtId="173" fontId="13" fillId="3" borderId="78" xfId="16" applyFont="1" applyFill="1" applyBorder="1" applyAlignment="1" applyProtection="1">
      <alignment wrapText="1"/>
    </xf>
    <xf numFmtId="0" fontId="13" fillId="3" borderId="79" xfId="0" applyFont="1" applyFill="1" applyBorder="1" applyAlignment="1" applyProtection="1">
      <alignment wrapText="1"/>
    </xf>
    <xf numFmtId="0" fontId="13" fillId="3" borderId="78" xfId="0" applyFont="1" applyFill="1" applyBorder="1" applyAlignment="1" applyProtection="1">
      <alignment wrapText="1"/>
    </xf>
    <xf numFmtId="0" fontId="13" fillId="3" borderId="79" xfId="0" quotePrefix="1" applyFont="1" applyFill="1" applyBorder="1" applyAlignment="1" applyProtection="1">
      <alignment wrapText="1"/>
    </xf>
    <xf numFmtId="0" fontId="18" fillId="3" borderId="79" xfId="0" applyFont="1" applyFill="1" applyBorder="1" applyAlignment="1" applyProtection="1">
      <alignment wrapText="1"/>
    </xf>
    <xf numFmtId="0" fontId="18" fillId="3" borderId="80" xfId="0" applyFont="1" applyFill="1" applyBorder="1" applyAlignment="1" applyProtection="1">
      <alignment wrapText="1"/>
    </xf>
    <xf numFmtId="173" fontId="13" fillId="3" borderId="81" xfId="16" applyFont="1" applyFill="1" applyBorder="1" applyAlignment="1" applyProtection="1">
      <alignment wrapText="1"/>
    </xf>
    <xf numFmtId="0" fontId="13" fillId="3" borderId="2" xfId="0" applyFont="1" applyFill="1" applyBorder="1" applyAlignment="1" applyProtection="1">
      <alignment wrapText="1"/>
    </xf>
    <xf numFmtId="0" fontId="13" fillId="3" borderId="81" xfId="0" applyFont="1" applyFill="1" applyBorder="1" applyAlignment="1" applyProtection="1">
      <alignment wrapText="1"/>
    </xf>
    <xf numFmtId="0" fontId="13" fillId="3" borderId="2" xfId="0" quotePrefix="1" applyFont="1" applyFill="1" applyBorder="1" applyAlignment="1" applyProtection="1">
      <alignment wrapText="1"/>
    </xf>
    <xf numFmtId="0" fontId="18" fillId="3" borderId="2" xfId="0" applyFont="1" applyFill="1" applyBorder="1" applyAlignment="1" applyProtection="1">
      <alignment wrapText="1"/>
    </xf>
    <xf numFmtId="0" fontId="18" fillId="3" borderId="82" xfId="0" applyFont="1" applyFill="1" applyBorder="1" applyAlignment="1" applyProtection="1">
      <alignment wrapText="1"/>
    </xf>
    <xf numFmtId="0" fontId="18" fillId="0" borderId="41" xfId="0" applyFont="1" applyFill="1" applyBorder="1" applyAlignment="1" applyProtection="1">
      <alignment wrapText="1"/>
    </xf>
    <xf numFmtId="0" fontId="18" fillId="0" borderId="13" xfId="0" applyFont="1" applyFill="1" applyBorder="1" applyAlignment="1" applyProtection="1">
      <alignment wrapText="1"/>
    </xf>
    <xf numFmtId="0" fontId="18" fillId="0" borderId="17" xfId="0" applyFont="1" applyFill="1" applyBorder="1" applyAlignment="1" applyProtection="1">
      <alignment wrapText="1"/>
    </xf>
    <xf numFmtId="0" fontId="18" fillId="0" borderId="20" xfId="0" applyFont="1" applyFill="1" applyBorder="1" applyAlignment="1" applyProtection="1">
      <alignment wrapText="1"/>
    </xf>
    <xf numFmtId="0" fontId="18" fillId="0" borderId="83" xfId="0" applyFont="1" applyFill="1" applyBorder="1" applyAlignment="1" applyProtection="1">
      <alignment wrapText="1"/>
    </xf>
    <xf numFmtId="0" fontId="18" fillId="3" borderId="42" xfId="0" applyFont="1" applyFill="1" applyBorder="1" applyAlignment="1" applyProtection="1">
      <alignment wrapText="1"/>
    </xf>
    <xf numFmtId="0" fontId="18" fillId="3" borderId="71" xfId="0" applyFont="1" applyFill="1" applyBorder="1" applyAlignment="1" applyProtection="1">
      <alignment wrapText="1"/>
    </xf>
    <xf numFmtId="0" fontId="18" fillId="3" borderId="15" xfId="0" applyFont="1" applyFill="1" applyBorder="1" applyAlignment="1" applyProtection="1">
      <alignment wrapText="1"/>
    </xf>
    <xf numFmtId="0" fontId="18" fillId="3" borderId="16" xfId="0" applyFont="1" applyFill="1" applyBorder="1" applyAlignment="1" applyProtection="1">
      <alignment wrapText="1"/>
    </xf>
    <xf numFmtId="0" fontId="18" fillId="3" borderId="8" xfId="0" applyFont="1" applyFill="1" applyBorder="1" applyAlignment="1" applyProtection="1">
      <alignment wrapText="1"/>
    </xf>
    <xf numFmtId="0" fontId="18" fillId="3" borderId="19" xfId="0" applyFont="1" applyFill="1" applyBorder="1" applyAlignment="1" applyProtection="1">
      <alignment wrapText="1"/>
    </xf>
    <xf numFmtId="0" fontId="18" fillId="3" borderId="22" xfId="0" applyFont="1" applyFill="1" applyBorder="1" applyAlignment="1" applyProtection="1">
      <alignment wrapText="1"/>
    </xf>
    <xf numFmtId="0" fontId="18" fillId="3" borderId="23" xfId="0" applyFont="1" applyFill="1" applyBorder="1" applyAlignment="1" applyProtection="1">
      <alignment wrapText="1"/>
    </xf>
    <xf numFmtId="0" fontId="18" fillId="3" borderId="84" xfId="0" applyFont="1" applyFill="1" applyBorder="1" applyAlignment="1" applyProtection="1">
      <alignment wrapText="1"/>
    </xf>
    <xf numFmtId="0" fontId="18" fillId="3" borderId="45" xfId="0" applyFont="1" applyFill="1" applyBorder="1" applyAlignment="1" applyProtection="1">
      <alignment wrapText="1"/>
    </xf>
    <xf numFmtId="173" fontId="18" fillId="0" borderId="6" xfId="16" applyFont="1" applyFill="1" applyBorder="1" applyAlignment="1" applyProtection="1">
      <alignment wrapText="1"/>
    </xf>
    <xf numFmtId="173" fontId="18" fillId="3" borderId="10" xfId="16" applyFont="1" applyFill="1" applyBorder="1" applyAlignment="1" applyProtection="1">
      <alignment wrapText="1"/>
    </xf>
    <xf numFmtId="173" fontId="12" fillId="3" borderId="11" xfId="16" applyFont="1" applyFill="1" applyBorder="1" applyProtection="1"/>
    <xf numFmtId="173" fontId="18" fillId="3" borderId="22" xfId="16" applyFont="1" applyFill="1" applyBorder="1" applyAlignment="1" applyProtection="1">
      <alignment wrapText="1"/>
    </xf>
    <xf numFmtId="173" fontId="12" fillId="3" borderId="23" xfId="16" applyFont="1" applyFill="1" applyBorder="1" applyProtection="1"/>
    <xf numFmtId="173" fontId="18" fillId="3" borderId="0" xfId="16" applyFont="1" applyFill="1" applyBorder="1" applyAlignment="1" applyProtection="1">
      <alignment wrapText="1"/>
    </xf>
    <xf numFmtId="173" fontId="12" fillId="3" borderId="7" xfId="16" applyFont="1" applyFill="1" applyBorder="1" applyProtection="1"/>
    <xf numFmtId="173" fontId="6" fillId="3" borderId="0" xfId="16" applyFont="1" applyFill="1" applyAlignment="1" applyProtection="1">
      <alignment horizontal="center" vertical="center"/>
    </xf>
    <xf numFmtId="173" fontId="18" fillId="0" borderId="85" xfId="16" applyFont="1" applyFill="1" applyBorder="1" applyAlignment="1" applyProtection="1">
      <alignment wrapText="1"/>
    </xf>
    <xf numFmtId="0" fontId="18" fillId="3" borderId="47" xfId="0" applyFont="1" applyFill="1" applyBorder="1" applyAlignment="1" applyProtection="1">
      <alignment wrapText="1"/>
    </xf>
    <xf numFmtId="0" fontId="18" fillId="3" borderId="56" xfId="0" applyFont="1" applyFill="1" applyBorder="1" applyAlignment="1" applyProtection="1">
      <alignment wrapText="1"/>
    </xf>
    <xf numFmtId="0" fontId="18" fillId="0" borderId="86" xfId="0" applyFont="1" applyFill="1" applyBorder="1" applyAlignment="1" applyProtection="1">
      <alignment wrapText="1"/>
    </xf>
    <xf numFmtId="173" fontId="18" fillId="0" borderId="86" xfId="16" applyFont="1" applyFill="1" applyBorder="1" applyAlignment="1" applyProtection="1">
      <alignment wrapText="1"/>
    </xf>
    <xf numFmtId="173" fontId="18" fillId="3" borderId="47" xfId="16" applyFont="1" applyFill="1" applyBorder="1" applyAlignment="1" applyProtection="1">
      <alignment wrapText="1"/>
    </xf>
    <xf numFmtId="173" fontId="12" fillId="3" borderId="56" xfId="16" applyFont="1" applyFill="1" applyBorder="1" applyProtection="1"/>
    <xf numFmtId="2" fontId="13" fillId="3" borderId="86" xfId="16" applyNumberFormat="1" applyFont="1" applyFill="1" applyBorder="1" applyAlignment="1" applyProtection="1">
      <alignment wrapText="1"/>
    </xf>
    <xf numFmtId="2" fontId="13" fillId="3" borderId="47" xfId="16" applyNumberFormat="1" applyFont="1" applyFill="1" applyBorder="1" applyAlignment="1" applyProtection="1">
      <alignment wrapText="1"/>
    </xf>
    <xf numFmtId="2" fontId="13" fillId="3" borderId="56" xfId="16" applyNumberFormat="1" applyFont="1" applyFill="1" applyBorder="1" applyAlignment="1" applyProtection="1">
      <alignment wrapText="1"/>
    </xf>
    <xf numFmtId="173" fontId="18" fillId="0" borderId="75" xfId="16" applyFont="1" applyBorder="1" applyProtection="1"/>
    <xf numFmtId="173" fontId="12" fillId="0" borderId="76" xfId="16" applyFont="1" applyBorder="1" applyProtection="1"/>
    <xf numFmtId="173" fontId="4" fillId="0" borderId="16" xfId="16" applyFont="1" applyBorder="1" applyAlignment="1" applyProtection="1">
      <alignment horizontal="center" wrapText="1"/>
    </xf>
    <xf numFmtId="173" fontId="32" fillId="0" borderId="0" xfId="16" applyFont="1" applyAlignment="1" applyProtection="1">
      <alignment horizontal="left"/>
    </xf>
    <xf numFmtId="0" fontId="6" fillId="0" borderId="4" xfId="0" applyFont="1" applyFill="1" applyBorder="1" applyAlignment="1">
      <alignment vertical="top" wrapText="1"/>
    </xf>
    <xf numFmtId="0" fontId="0" fillId="0" borderId="0" xfId="0" applyFill="1" applyBorder="1" applyAlignment="1">
      <alignment vertical="top" wrapText="1"/>
    </xf>
    <xf numFmtId="0" fontId="6" fillId="0" borderId="0" xfId="0" applyFont="1" applyFill="1" applyBorder="1" applyAlignment="1">
      <alignment vertical="top" wrapText="1"/>
    </xf>
    <xf numFmtId="0" fontId="6" fillId="0" borderId="4" xfId="0" applyFont="1" applyFill="1" applyBorder="1" applyAlignment="1">
      <alignment vertical="center" wrapText="1"/>
    </xf>
    <xf numFmtId="0" fontId="6" fillId="0" borderId="0" xfId="0" applyFont="1" applyFill="1" applyBorder="1" applyAlignment="1">
      <alignment vertical="center" wrapText="1"/>
    </xf>
    <xf numFmtId="0" fontId="6"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6" fillId="3" borderId="57" xfId="0" applyFont="1" applyFill="1" applyBorder="1" applyAlignment="1">
      <alignment vertical="center" wrapText="1"/>
    </xf>
    <xf numFmtId="0" fontId="6" fillId="0" borderId="4" xfId="0" applyFont="1" applyFill="1" applyBorder="1" applyAlignment="1">
      <alignment horizontal="right" vertical="center" wrapText="1"/>
    </xf>
    <xf numFmtId="0" fontId="6" fillId="0" borderId="4" xfId="0" applyFont="1" applyFill="1" applyBorder="1" applyAlignment="1">
      <alignment horizontal="right" vertical="top" wrapText="1"/>
    </xf>
    <xf numFmtId="0" fontId="0" fillId="0" borderId="5" xfId="0" applyFill="1" applyBorder="1"/>
    <xf numFmtId="0" fontId="6" fillId="0" borderId="58" xfId="0" applyFont="1" applyFill="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Border="1" applyAlignment="1">
      <alignment horizontal="center" vertical="top" wrapText="1"/>
    </xf>
    <xf numFmtId="170" fontId="4" fillId="3" borderId="0" xfId="0" applyNumberFormat="1" applyFont="1" applyFill="1" applyBorder="1" applyAlignment="1">
      <alignment horizontal="center" vertical="top" wrapText="1"/>
    </xf>
    <xf numFmtId="0" fontId="4" fillId="3" borderId="5" xfId="0" applyFont="1" applyFill="1" applyBorder="1" applyAlignment="1">
      <alignment vertical="top"/>
    </xf>
    <xf numFmtId="170" fontId="15" fillId="3" borderId="89" xfId="0" applyNumberFormat="1" applyFont="1" applyFill="1" applyBorder="1" applyAlignment="1">
      <alignment vertical="center" wrapText="1"/>
    </xf>
    <xf numFmtId="0" fontId="12" fillId="0" borderId="0" xfId="0" applyFont="1"/>
    <xf numFmtId="0" fontId="33" fillId="0" borderId="0" xfId="0" applyFont="1" applyFill="1" applyAlignment="1">
      <alignment vertical="top" wrapText="1"/>
    </xf>
    <xf numFmtId="0" fontId="0" fillId="6" borderId="0" xfId="0" applyFill="1"/>
    <xf numFmtId="176" fontId="15"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4" fillId="2" borderId="20" xfId="0" applyFont="1" applyFill="1" applyBorder="1" applyAlignment="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Fill="1" applyBorder="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42"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Border="1" applyAlignment="1" applyProtection="1">
      <alignment wrapText="1"/>
    </xf>
    <xf numFmtId="0" fontId="18" fillId="3" borderId="7" xfId="0" applyFont="1" applyFill="1" applyBorder="1" applyAlignment="1" applyProtection="1">
      <alignment wrapText="1"/>
    </xf>
    <xf numFmtId="0" fontId="18" fillId="0" borderId="6" xfId="0" applyFont="1" applyFill="1" applyBorder="1" applyAlignment="1" applyProtection="1">
      <alignment wrapText="1"/>
    </xf>
    <xf numFmtId="173" fontId="18" fillId="0" borderId="104" xfId="16" applyFont="1" applyFill="1" applyBorder="1" applyAlignment="1" applyProtection="1">
      <alignment wrapText="1"/>
    </xf>
    <xf numFmtId="2" fontId="13" fillId="3" borderId="78" xfId="16" applyNumberFormat="1" applyFont="1" applyFill="1" applyBorder="1" applyAlignment="1" applyProtection="1">
      <alignment wrapText="1"/>
    </xf>
    <xf numFmtId="2" fontId="13" fillId="3" borderId="79" xfId="16" applyNumberFormat="1" applyFont="1" applyFill="1" applyBorder="1" applyAlignment="1" applyProtection="1">
      <alignment wrapText="1"/>
    </xf>
    <xf numFmtId="2" fontId="13" fillId="3" borderId="80" xfId="16" applyNumberFormat="1" applyFont="1" applyFill="1" applyBorder="1" applyAlignment="1" applyProtection="1">
      <alignment wrapText="1"/>
    </xf>
    <xf numFmtId="0" fontId="10"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6" fillId="0" borderId="0" xfId="0" applyFont="1" applyAlignment="1"/>
    <xf numFmtId="0" fontId="0" fillId="0" borderId="0" xfId="0" applyAlignment="1"/>
    <xf numFmtId="0" fontId="0" fillId="0" borderId="0" xfId="0" applyFill="1" applyAlignment="1"/>
    <xf numFmtId="165" fontId="8" fillId="2" borderId="0" xfId="0" applyNumberFormat="1" applyFont="1" applyFill="1" applyBorder="1" applyAlignment="1">
      <alignment horizontal="center" vertical="center"/>
    </xf>
    <xf numFmtId="166" fontId="8" fillId="0" borderId="5" xfId="0" applyNumberFormat="1" applyFont="1" applyFill="1" applyBorder="1" applyAlignment="1">
      <alignment horizontal="center" vertical="center" wrapText="1"/>
    </xf>
    <xf numFmtId="1" fontId="8" fillId="2" borderId="0" xfId="0" applyNumberFormat="1" applyFont="1" applyFill="1" applyBorder="1" applyAlignment="1">
      <alignment horizontal="center" vertical="center" wrapText="1"/>
    </xf>
    <xf numFmtId="2" fontId="8" fillId="2" borderId="0" xfId="0" applyNumberFormat="1" applyFont="1" applyFill="1" applyBorder="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Fill="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pplyProtection="1">
      <alignment horizontal="left" vertical="center"/>
    </xf>
    <xf numFmtId="173" fontId="12" fillId="0" borderId="112" xfId="16" applyFont="1" applyBorder="1" applyAlignment="1" applyProtection="1">
      <alignment wrapText="1"/>
    </xf>
    <xf numFmtId="165" fontId="12" fillId="3" borderId="113" xfId="16" applyNumberFormat="1" applyFont="1" applyFill="1" applyBorder="1" applyProtection="1"/>
    <xf numFmtId="173" fontId="12" fillId="0" borderId="114" xfId="16" applyFont="1" applyBorder="1" applyProtection="1"/>
    <xf numFmtId="173" fontId="12" fillId="0" borderId="115" xfId="16" applyFont="1" applyBorder="1" applyAlignment="1" applyProtection="1">
      <alignment wrapText="1"/>
    </xf>
    <xf numFmtId="165" fontId="12" fillId="3" borderId="98" xfId="16" applyNumberFormat="1" applyFont="1" applyFill="1" applyBorder="1" applyProtection="1"/>
    <xf numFmtId="173" fontId="12" fillId="0" borderId="116" xfId="16" applyFont="1" applyBorder="1" applyProtection="1"/>
    <xf numFmtId="173" fontId="12" fillId="0" borderId="117" xfId="16" applyFont="1" applyBorder="1" applyAlignment="1" applyProtection="1">
      <alignment wrapText="1"/>
    </xf>
    <xf numFmtId="165" fontId="12" fillId="3" borderId="118" xfId="16" applyNumberFormat="1" applyFont="1" applyFill="1" applyBorder="1" applyProtection="1"/>
    <xf numFmtId="173" fontId="12" fillId="0" borderId="119" xfId="16" applyFont="1" applyBorder="1" applyProtection="1"/>
    <xf numFmtId="165" fontId="4" fillId="0" borderId="0" xfId="16" applyNumberFormat="1" applyFont="1" applyFill="1" applyBorder="1" applyProtection="1"/>
    <xf numFmtId="0" fontId="4" fillId="0" borderId="58" xfId="0" applyFont="1" applyBorder="1"/>
    <xf numFmtId="0" fontId="4" fillId="0" borderId="59" xfId="0" applyFont="1" applyFill="1" applyBorder="1" applyProtection="1"/>
    <xf numFmtId="0" fontId="4" fillId="0" borderId="87" xfId="0" applyFont="1" applyFill="1" applyBorder="1" applyProtection="1"/>
    <xf numFmtId="173" fontId="12" fillId="0" borderId="106" xfId="16" applyFont="1" applyBorder="1" applyProtection="1"/>
    <xf numFmtId="170" fontId="12" fillId="0" borderId="107" xfId="16" applyNumberFormat="1" applyFont="1" applyFill="1" applyBorder="1" applyAlignment="1" applyProtection="1">
      <alignment horizontal="center"/>
    </xf>
    <xf numFmtId="173" fontId="12" fillId="0" borderId="98" xfId="16" applyFont="1" applyBorder="1" applyProtection="1"/>
    <xf numFmtId="173" fontId="12" fillId="0" borderId="108" xfId="16" applyFont="1" applyBorder="1" applyProtection="1"/>
    <xf numFmtId="173" fontId="12" fillId="0" borderId="120" xfId="16" applyFont="1" applyBorder="1" applyProtection="1"/>
    <xf numFmtId="173" fontId="12" fillId="0" borderId="111" xfId="16" applyFont="1" applyBorder="1" applyProtection="1"/>
    <xf numFmtId="173" fontId="6" fillId="0" borderId="40" xfId="16" applyFont="1" applyBorder="1" applyProtection="1"/>
    <xf numFmtId="173" fontId="5" fillId="0" borderId="63" xfId="5" applyNumberFormat="1" applyBorder="1" applyAlignment="1" applyProtection="1"/>
    <xf numFmtId="173" fontId="5" fillId="0" borderId="109" xfId="5" applyNumberFormat="1" applyBorder="1" applyAlignment="1" applyProtection="1"/>
    <xf numFmtId="0" fontId="18" fillId="0" borderId="10" xfId="0" quotePrefix="1" applyFont="1" applyBorder="1" applyAlignment="1" applyProtection="1">
      <alignment wrapText="1"/>
    </xf>
    <xf numFmtId="173" fontId="4" fillId="0" borderId="40" xfId="16" applyFont="1" applyFill="1" applyBorder="1" applyAlignment="1" applyProtection="1">
      <alignment horizontal="center" wrapText="1"/>
    </xf>
    <xf numFmtId="0" fontId="13" fillId="3" borderId="122" xfId="0" applyFont="1" applyFill="1" applyBorder="1" applyAlignment="1" applyProtection="1">
      <alignment wrapText="1"/>
    </xf>
    <xf numFmtId="0" fontId="13" fillId="3" borderId="123" xfId="0" applyFont="1" applyFill="1" applyBorder="1" applyAlignment="1" applyProtection="1">
      <alignment wrapText="1"/>
    </xf>
    <xf numFmtId="0" fontId="13" fillId="3" borderId="124" xfId="0" applyFont="1" applyFill="1" applyBorder="1" applyAlignment="1" applyProtection="1">
      <alignment wrapText="1"/>
    </xf>
    <xf numFmtId="173" fontId="4" fillId="0" borderId="107" xfId="16" applyFont="1" applyFill="1" applyBorder="1" applyAlignment="1" applyProtection="1">
      <alignment horizontal="center" wrapText="1"/>
    </xf>
    <xf numFmtId="169" fontId="12" fillId="3" borderId="108" xfId="16" applyNumberFormat="1" applyFont="1" applyFill="1" applyBorder="1" applyProtection="1"/>
    <xf numFmtId="173" fontId="4" fillId="0" borderId="125" xfId="16" applyFont="1" applyFill="1" applyBorder="1" applyAlignment="1" applyProtection="1">
      <alignment horizontal="center" wrapText="1"/>
    </xf>
    <xf numFmtId="0" fontId="13" fillId="3" borderId="77" xfId="0" quotePrefix="1" applyFont="1" applyFill="1" applyBorder="1" applyAlignment="1" applyProtection="1">
      <alignment horizontal="left" wrapText="1"/>
    </xf>
    <xf numFmtId="0" fontId="13" fillId="3" borderId="80" xfId="0" quotePrefix="1" applyFont="1" applyFill="1" applyBorder="1" applyAlignment="1" applyProtection="1">
      <alignment wrapText="1"/>
    </xf>
    <xf numFmtId="0" fontId="13" fillId="3" borderId="80" xfId="0" quotePrefix="1" applyFont="1" applyFill="1" applyBorder="1" applyAlignment="1" applyProtection="1">
      <alignment horizontal="center" wrapText="1"/>
    </xf>
    <xf numFmtId="0" fontId="4" fillId="0" borderId="3" xfId="0" applyFont="1" applyBorder="1" applyAlignment="1">
      <alignment wrapText="1"/>
    </xf>
    <xf numFmtId="0" fontId="4" fillId="0" borderId="87" xfId="0" applyFont="1" applyBorder="1"/>
    <xf numFmtId="0" fontId="4" fillId="0" borderId="59" xfId="0" applyFont="1" applyBorder="1"/>
    <xf numFmtId="0" fontId="0" fillId="0" borderId="113" xfId="0" applyBorder="1"/>
    <xf numFmtId="0" fontId="0" fillId="0" borderId="98" xfId="0" applyBorder="1"/>
    <xf numFmtId="0" fontId="0" fillId="0" borderId="116" xfId="0" applyBorder="1"/>
    <xf numFmtId="173" fontId="18" fillId="0" borderId="76" xfId="16" applyFont="1" applyBorder="1" applyAlignment="1" applyProtection="1">
      <alignment horizontal="left"/>
    </xf>
    <xf numFmtId="164" fontId="13" fillId="0" borderId="76" xfId="16" applyNumberFormat="1" applyFont="1" applyFill="1" applyBorder="1" applyProtection="1"/>
    <xf numFmtId="173" fontId="12" fillId="0" borderId="6" xfId="16" applyFont="1" applyBorder="1" applyAlignment="1" applyProtection="1">
      <alignment wrapText="1"/>
    </xf>
    <xf numFmtId="173" fontId="4" fillId="0" borderId="6" xfId="16" applyFont="1" applyBorder="1" applyAlignment="1" applyProtection="1">
      <alignment wrapText="1"/>
    </xf>
    <xf numFmtId="173" fontId="12" fillId="0" borderId="67" xfId="16" applyFont="1" applyBorder="1" applyAlignment="1" applyProtection="1">
      <alignment wrapText="1"/>
    </xf>
    <xf numFmtId="0" fontId="0" fillId="0" borderId="77" xfId="0" applyBorder="1"/>
    <xf numFmtId="173" fontId="6" fillId="0" borderId="78" xfId="16" applyFont="1" applyBorder="1" applyAlignment="1" applyProtection="1">
      <alignment vertical="center" wrapText="1"/>
    </xf>
    <xf numFmtId="173" fontId="6" fillId="0" borderId="79" xfId="16" applyFont="1" applyBorder="1" applyAlignment="1" applyProtection="1">
      <alignment horizontal="center" vertical="center" wrapText="1"/>
    </xf>
    <xf numFmtId="165" fontId="6" fillId="0" borderId="79" xfId="16" applyNumberFormat="1" applyFont="1" applyFill="1" applyBorder="1" applyAlignment="1" applyProtection="1">
      <alignment horizontal="center" vertical="center" wrapText="1"/>
    </xf>
    <xf numFmtId="165" fontId="6" fillId="0" borderId="80" xfId="16" applyNumberFormat="1" applyFont="1" applyFill="1" applyBorder="1" applyAlignment="1" applyProtection="1">
      <alignment horizontal="center" vertical="center" wrapText="1"/>
    </xf>
    <xf numFmtId="173" fontId="12" fillId="3" borderId="0" xfId="16" applyFont="1" applyFill="1" applyBorder="1" applyAlignment="1" applyProtection="1">
      <alignment horizontal="center"/>
    </xf>
    <xf numFmtId="173" fontId="12" fillId="3" borderId="7" xfId="16" applyFont="1" applyFill="1" applyBorder="1" applyAlignment="1" applyProtection="1">
      <alignment horizontal="center"/>
    </xf>
    <xf numFmtId="165" fontId="12" fillId="3" borderId="0" xfId="16" applyNumberFormat="1" applyFont="1" applyFill="1" applyBorder="1" applyAlignment="1" applyProtection="1">
      <alignment horizontal="center"/>
    </xf>
    <xf numFmtId="165" fontId="12" fillId="0" borderId="2" xfId="16" applyNumberFormat="1" applyFont="1" applyFill="1" applyBorder="1" applyAlignment="1" applyProtection="1">
      <alignment horizontal="center"/>
    </xf>
    <xf numFmtId="173" fontId="12" fillId="0" borderId="2" xfId="16" applyFont="1" applyFill="1" applyBorder="1" applyAlignment="1" applyProtection="1">
      <alignment horizontal="center"/>
    </xf>
    <xf numFmtId="173" fontId="12" fillId="0" borderId="82" xfId="16" applyFont="1" applyFill="1" applyBorder="1" applyAlignment="1" applyProtection="1">
      <alignment horizontal="center"/>
    </xf>
    <xf numFmtId="173" fontId="12" fillId="0" borderId="63" xfId="16" applyFont="1" applyFill="1" applyBorder="1" applyAlignment="1" applyProtection="1">
      <alignment horizontal="right"/>
    </xf>
    <xf numFmtId="173" fontId="12" fillId="0" borderId="63" xfId="16" applyFont="1" applyFill="1" applyBorder="1" applyAlignment="1" applyProtection="1">
      <alignment horizontal="right" wrapText="1"/>
    </xf>
    <xf numFmtId="173" fontId="4" fillId="0" borderId="109" xfId="16" applyFont="1" applyFill="1" applyBorder="1" applyProtection="1"/>
    <xf numFmtId="173" fontId="18" fillId="0" borderId="77" xfId="16" applyFont="1" applyBorder="1" applyAlignment="1" applyProtection="1">
      <alignment horizontal="left"/>
    </xf>
    <xf numFmtId="165" fontId="4" fillId="0" borderId="7" xfId="16" applyNumberFormat="1" applyFont="1" applyFill="1" applyBorder="1" applyProtection="1"/>
    <xf numFmtId="0" fontId="0" fillId="0" borderId="9" xfId="0" applyBorder="1"/>
    <xf numFmtId="0" fontId="0" fillId="0" borderId="11"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Fill="1" applyBorder="1" applyAlignment="1">
      <alignment vertical="top" wrapText="1"/>
    </xf>
    <xf numFmtId="0" fontId="6" fillId="0" borderId="40" xfId="0" applyFont="1" applyFill="1" applyBorder="1" applyAlignment="1">
      <alignment vertical="top" wrapText="1"/>
    </xf>
    <xf numFmtId="0" fontId="6"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pplyProtection="1">
      <alignment horizontal="center"/>
    </xf>
    <xf numFmtId="0" fontId="4" fillId="0" borderId="76" xfId="0" applyFont="1" applyFill="1" applyBorder="1" applyAlignment="1" applyProtection="1">
      <alignment horizontal="center"/>
    </xf>
    <xf numFmtId="0" fontId="4" fillId="0" borderId="77" xfId="0" applyFont="1" applyFill="1" applyBorder="1" applyAlignment="1" applyProtection="1">
      <alignment horizontal="center"/>
    </xf>
    <xf numFmtId="2" fontId="12" fillId="3" borderId="113" xfId="16" applyNumberFormat="1" applyFont="1" applyFill="1" applyBorder="1" applyAlignment="1" applyProtection="1">
      <alignment horizontal="center" vertical="center" wrapText="1"/>
    </xf>
    <xf numFmtId="2" fontId="12" fillId="3" borderId="128" xfId="16" applyNumberFormat="1" applyFont="1" applyFill="1" applyBorder="1" applyAlignment="1" applyProtection="1">
      <alignment horizontal="center" vertical="center" wrapText="1"/>
    </xf>
    <xf numFmtId="3" fontId="12" fillId="3" borderId="98" xfId="16" applyNumberFormat="1" applyFont="1" applyFill="1" applyBorder="1" applyAlignment="1" applyProtection="1">
      <alignment horizontal="center" vertical="center" wrapText="1"/>
    </xf>
    <xf numFmtId="3" fontId="12" fillId="3" borderId="108" xfId="16" applyNumberFormat="1" applyFont="1" applyFill="1" applyBorder="1" applyAlignment="1" applyProtection="1">
      <alignment horizontal="center" vertical="center" wrapText="1"/>
    </xf>
    <xf numFmtId="2" fontId="12" fillId="3" borderId="98" xfId="16" applyNumberFormat="1" applyFont="1" applyFill="1" applyBorder="1" applyAlignment="1" applyProtection="1">
      <alignment horizontal="center" vertical="center" wrapText="1"/>
    </xf>
    <xf numFmtId="2" fontId="12" fillId="3" borderId="108" xfId="16" applyNumberFormat="1" applyFont="1" applyFill="1" applyBorder="1" applyAlignment="1" applyProtection="1">
      <alignment horizontal="center" vertical="center" wrapText="1"/>
    </xf>
    <xf numFmtId="3" fontId="12" fillId="3" borderId="120" xfId="16" applyNumberFormat="1" applyFont="1" applyFill="1" applyBorder="1" applyAlignment="1" applyProtection="1">
      <alignment horizontal="center" vertical="center" wrapText="1"/>
    </xf>
    <xf numFmtId="3" fontId="12" fillId="3" borderId="111" xfId="16" applyNumberFormat="1" applyFont="1" applyFill="1" applyBorder="1" applyAlignment="1" applyProtection="1">
      <alignment horizontal="center" vertical="center" wrapText="1"/>
    </xf>
    <xf numFmtId="173" fontId="4" fillId="0" borderId="127" xfId="16" applyFont="1" applyBorder="1" applyAlignment="1" applyProtection="1">
      <alignment wrapText="1"/>
    </xf>
    <xf numFmtId="173" fontId="12" fillId="0" borderId="63" xfId="16" applyFont="1" applyBorder="1" applyAlignment="1" applyProtection="1">
      <alignment wrapText="1"/>
    </xf>
    <xf numFmtId="173" fontId="12" fillId="0" borderId="109" xfId="16" applyFont="1" applyBorder="1" applyAlignment="1" applyProtection="1">
      <alignment wrapText="1"/>
    </xf>
    <xf numFmtId="165" fontId="4" fillId="0" borderId="113" xfId="16" applyNumberFormat="1" applyFont="1" applyFill="1" applyBorder="1" applyAlignment="1" applyProtection="1">
      <alignment horizontal="center"/>
    </xf>
    <xf numFmtId="165" fontId="4" fillId="0" borderId="128" xfId="16" applyNumberFormat="1" applyFont="1" applyFill="1" applyBorder="1" applyAlignment="1" applyProtection="1">
      <alignment horizontal="center"/>
    </xf>
    <xf numFmtId="165" fontId="12" fillId="3" borderId="98" xfId="16" applyNumberFormat="1" applyFont="1" applyFill="1" applyBorder="1" applyAlignment="1" applyProtection="1">
      <alignment horizontal="center"/>
    </xf>
    <xf numFmtId="173" fontId="12" fillId="0" borderId="121" xfId="16" applyFont="1" applyBorder="1" applyAlignment="1" applyProtection="1">
      <alignment wrapText="1"/>
    </xf>
    <xf numFmtId="0" fontId="4" fillId="0" borderId="86" xfId="0" applyFont="1" applyBorder="1"/>
    <xf numFmtId="165" fontId="12"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2" fillId="3" borderId="98" xfId="16" applyNumberFormat="1" applyFont="1" applyFill="1" applyBorder="1" applyAlignment="1" applyProtection="1">
      <alignment horizontal="center"/>
    </xf>
    <xf numFmtId="11" fontId="12"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2" fillId="3" borderId="108" xfId="16" applyNumberFormat="1" applyFont="1" applyFill="1" applyBorder="1" applyAlignment="1" applyProtection="1">
      <alignment horizontal="center"/>
    </xf>
    <xf numFmtId="165" fontId="12"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2" fillId="3" borderId="120" xfId="16" applyNumberFormat="1" applyFont="1" applyFill="1" applyBorder="1" applyAlignment="1" applyProtection="1">
      <alignment horizontal="center"/>
    </xf>
    <xf numFmtId="11" fontId="12" fillId="3" borderId="120" xfId="16" applyNumberFormat="1" applyFont="1" applyFill="1" applyBorder="1" applyAlignment="1" applyProtection="1">
      <alignment horizontal="center"/>
    </xf>
    <xf numFmtId="165" fontId="12" fillId="3" borderId="111" xfId="16" applyNumberFormat="1" applyFont="1" applyFill="1" applyBorder="1" applyAlignment="1" applyProtection="1">
      <alignment horizontal="center"/>
    </xf>
    <xf numFmtId="11" fontId="12" fillId="3" borderId="0" xfId="16" applyNumberFormat="1" applyFont="1" applyFill="1" applyBorder="1" applyProtection="1"/>
    <xf numFmtId="11" fontId="12" fillId="3" borderId="7" xfId="16" applyNumberFormat="1" applyFont="1" applyFill="1" applyBorder="1" applyProtection="1"/>
    <xf numFmtId="11" fontId="12" fillId="3" borderId="90" xfId="16" applyNumberFormat="1" applyFont="1" applyFill="1" applyBorder="1" applyProtection="1"/>
    <xf numFmtId="11" fontId="12" fillId="3" borderId="110" xfId="16" applyNumberFormat="1" applyFont="1" applyFill="1" applyBorder="1" applyProtection="1"/>
    <xf numFmtId="165" fontId="12" fillId="3" borderId="0" xfId="16" applyNumberFormat="1" applyFont="1" applyFill="1" applyBorder="1" applyAlignment="1" applyProtection="1">
      <alignment horizontal="center" wrapText="1"/>
    </xf>
    <xf numFmtId="165" fontId="4" fillId="3" borderId="0" xfId="16" applyNumberFormat="1" applyFont="1" applyFill="1" applyBorder="1" applyAlignment="1" applyProtection="1">
      <alignment horizontal="center" wrapText="1"/>
    </xf>
    <xf numFmtId="173" fontId="18" fillId="0" borderId="24" xfId="16" applyFont="1" applyBorder="1" applyProtection="1"/>
    <xf numFmtId="173" fontId="12" fillId="0" borderId="65" xfId="16" applyFont="1" applyBorder="1" applyProtection="1"/>
    <xf numFmtId="0" fontId="4" fillId="0" borderId="65" xfId="0" applyFont="1" applyBorder="1"/>
    <xf numFmtId="0" fontId="4" fillId="0" borderId="65" xfId="0" applyFont="1" applyFill="1" applyBorder="1" applyProtection="1"/>
    <xf numFmtId="0" fontId="4" fillId="0" borderId="66" xfId="0" applyFont="1" applyFill="1" applyBorder="1" applyProtection="1"/>
    <xf numFmtId="0" fontId="0" fillId="0" borderId="7" xfId="0" applyBorder="1"/>
    <xf numFmtId="2" fontId="12" fillId="3" borderId="113" xfId="16" applyNumberFormat="1" applyFont="1" applyFill="1" applyBorder="1" applyAlignment="1" applyProtection="1">
      <alignment vertical="center" wrapText="1"/>
    </xf>
    <xf numFmtId="3" fontId="12" fillId="3" borderId="98" xfId="16" applyNumberFormat="1" applyFont="1" applyFill="1" applyBorder="1" applyAlignment="1" applyProtection="1">
      <alignment vertical="center" wrapText="1"/>
    </xf>
    <xf numFmtId="2" fontId="12" fillId="3" borderId="98" xfId="16" applyNumberFormat="1" applyFont="1" applyFill="1" applyBorder="1" applyAlignment="1" applyProtection="1">
      <alignment vertical="center" wrapText="1"/>
    </xf>
    <xf numFmtId="3" fontId="12"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pplyProtection="1">
      <alignment wrapText="1"/>
    </xf>
    <xf numFmtId="173" fontId="6" fillId="0" borderId="76" xfId="16" applyFont="1" applyFill="1" applyBorder="1" applyAlignment="1" applyProtection="1">
      <alignment horizontal="center" wrapText="1"/>
    </xf>
    <xf numFmtId="173" fontId="6" fillId="0" borderId="76" xfId="16" applyFont="1" applyBorder="1" applyAlignment="1" applyProtection="1">
      <alignment horizontal="center" vertical="center" wrapText="1"/>
    </xf>
    <xf numFmtId="165" fontId="6" fillId="0" borderId="76" xfId="16" applyNumberFormat="1" applyFont="1" applyFill="1" applyBorder="1" applyAlignment="1" applyProtection="1">
      <alignment horizontal="center" vertical="center" wrapText="1"/>
    </xf>
    <xf numFmtId="165" fontId="6" fillId="0" borderId="77" xfId="16" applyNumberFormat="1" applyFont="1" applyFill="1" applyBorder="1" applyAlignment="1" applyProtection="1">
      <alignment horizontal="center" vertical="center" wrapText="1"/>
    </xf>
    <xf numFmtId="173" fontId="12" fillId="0" borderId="127" xfId="16" applyFont="1" applyBorder="1" applyAlignment="1" applyProtection="1">
      <alignment wrapText="1"/>
    </xf>
    <xf numFmtId="165" fontId="12" fillId="3" borderId="113" xfId="16" applyNumberFormat="1" applyFont="1" applyFill="1" applyBorder="1" applyAlignment="1" applyProtection="1">
      <alignment horizontal="center" wrapText="1"/>
    </xf>
    <xf numFmtId="165" fontId="12" fillId="3" borderId="113" xfId="16" applyNumberFormat="1" applyFont="1" applyFill="1" applyBorder="1" applyAlignment="1" applyProtection="1">
      <alignment horizontal="center"/>
    </xf>
    <xf numFmtId="173" fontId="12" fillId="3" borderId="113" xfId="16" applyFont="1" applyFill="1" applyBorder="1" applyAlignment="1" applyProtection="1">
      <alignment horizontal="center"/>
    </xf>
    <xf numFmtId="165" fontId="12" fillId="3" borderId="98" xfId="16" applyNumberFormat="1" applyFont="1" applyFill="1" applyBorder="1" applyAlignment="1" applyProtection="1">
      <alignment horizontal="center" wrapText="1"/>
    </xf>
    <xf numFmtId="173" fontId="12" fillId="3" borderId="98" xfId="16" applyFont="1" applyFill="1" applyBorder="1" applyAlignment="1" applyProtection="1">
      <alignment horizontal="center"/>
    </xf>
    <xf numFmtId="173" fontId="12" fillId="3" borderId="108" xfId="16" applyFont="1" applyFill="1" applyBorder="1" applyAlignment="1" applyProtection="1">
      <alignment horizontal="center"/>
    </xf>
    <xf numFmtId="173" fontId="12" fillId="0" borderId="131" xfId="16" applyFont="1" applyBorder="1" applyAlignment="1" applyProtection="1">
      <alignment wrapText="1"/>
    </xf>
    <xf numFmtId="165" fontId="12" fillId="3" borderId="118" xfId="16" applyNumberFormat="1" applyFont="1" applyFill="1" applyBorder="1" applyAlignment="1" applyProtection="1">
      <alignment horizontal="center" wrapText="1"/>
    </xf>
    <xf numFmtId="165" fontId="12" fillId="3" borderId="118" xfId="16" applyNumberFormat="1" applyFont="1" applyFill="1" applyBorder="1" applyAlignment="1" applyProtection="1">
      <alignment horizontal="center"/>
    </xf>
    <xf numFmtId="173" fontId="12" fillId="3" borderId="118" xfId="16" applyFont="1" applyFill="1" applyBorder="1" applyAlignment="1" applyProtection="1">
      <alignment horizontal="center"/>
    </xf>
    <xf numFmtId="173" fontId="6" fillId="0" borderId="81" xfId="16" applyFont="1" applyFill="1" applyBorder="1" applyAlignment="1" applyProtection="1">
      <alignment wrapText="1"/>
    </xf>
    <xf numFmtId="165" fontId="4" fillId="0" borderId="2" xfId="16" applyNumberFormat="1" applyFont="1" applyFill="1" applyBorder="1" applyAlignment="1" applyProtection="1">
      <alignment horizontal="center" wrapText="1"/>
    </xf>
    <xf numFmtId="165" fontId="12" fillId="3" borderId="120" xfId="16" applyNumberFormat="1" applyFont="1" applyFill="1" applyBorder="1" applyAlignment="1" applyProtection="1">
      <alignment horizontal="center" wrapText="1"/>
    </xf>
    <xf numFmtId="173" fontId="12" fillId="3" borderId="120" xfId="16" applyFont="1" applyFill="1" applyBorder="1" applyAlignment="1" applyProtection="1">
      <alignment horizontal="center"/>
    </xf>
    <xf numFmtId="173" fontId="12" fillId="3" borderId="111" xfId="16" applyFont="1" applyFill="1" applyBorder="1" applyAlignment="1" applyProtection="1">
      <alignment horizontal="center"/>
    </xf>
    <xf numFmtId="11" fontId="12" fillId="0" borderId="0" xfId="16" applyNumberFormat="1" applyFont="1" applyFill="1" applyBorder="1" applyProtection="1"/>
    <xf numFmtId="11" fontId="12" fillId="0" borderId="7" xfId="16" applyNumberFormat="1" applyFont="1" applyFill="1" applyBorder="1" applyProtection="1"/>
    <xf numFmtId="173" fontId="4" fillId="0" borderId="6" xfId="16" applyFont="1" applyFill="1" applyBorder="1" applyAlignment="1" applyProtection="1">
      <alignment wrapText="1"/>
    </xf>
    <xf numFmtId="173" fontId="4" fillId="0" borderId="63" xfId="16" applyFont="1" applyFill="1" applyBorder="1" applyAlignment="1" applyProtection="1">
      <alignment wrapText="1"/>
    </xf>
    <xf numFmtId="165" fontId="12" fillId="0" borderId="98" xfId="16" applyNumberFormat="1" applyFont="1" applyFill="1" applyBorder="1" applyAlignment="1" applyProtection="1">
      <alignment horizontal="center"/>
    </xf>
    <xf numFmtId="11" fontId="12" fillId="0" borderId="98" xfId="16" applyNumberFormat="1" applyFont="1" applyFill="1" applyBorder="1" applyAlignment="1" applyProtection="1">
      <alignment horizontal="center"/>
    </xf>
    <xf numFmtId="165" fontId="12" fillId="0" borderId="108" xfId="16" applyNumberFormat="1" applyFont="1" applyFill="1" applyBorder="1" applyAlignment="1" applyProtection="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42" fontId="12" fillId="3" borderId="69" xfId="1" applyNumberFormat="1" applyFont="1" applyFill="1" applyBorder="1" applyAlignment="1" applyProtection="1">
      <alignment wrapText="1"/>
      <protection locked="0"/>
    </xf>
    <xf numFmtId="42" fontId="12" fillId="3" borderId="135" xfId="0" applyNumberFormat="1" applyFont="1" applyFill="1" applyBorder="1" applyAlignment="1" applyProtection="1">
      <alignment wrapText="1"/>
      <protection locked="0"/>
    </xf>
    <xf numFmtId="42" fontId="12" fillId="3" borderId="135" xfId="1" applyNumberFormat="1" applyFont="1" applyFill="1" applyBorder="1" applyAlignment="1" applyProtection="1">
      <alignment wrapText="1"/>
      <protection locked="0"/>
    </xf>
    <xf numFmtId="42" fontId="12" fillId="3" borderId="8" xfId="0" applyNumberFormat="1" applyFont="1" applyFill="1" applyBorder="1" applyAlignment="1" applyProtection="1">
      <alignment wrapText="1"/>
      <protection locked="0"/>
    </xf>
    <xf numFmtId="42"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6" xfId="0" applyNumberFormat="1" applyFont="1" applyFill="1" applyBorder="1" applyAlignment="1" applyProtection="1">
      <alignment wrapText="1"/>
      <protection locked="0"/>
    </xf>
    <xf numFmtId="42" fontId="12" fillId="3" borderId="136" xfId="0" applyNumberFormat="1" applyFont="1" applyFill="1" applyBorder="1" applyAlignment="1" applyProtection="1">
      <alignment wrapText="1"/>
      <protection locked="0"/>
    </xf>
    <xf numFmtId="42" fontId="12" fillId="3" borderId="136" xfId="1" applyNumberFormat="1" applyFont="1" applyFill="1" applyBorder="1" applyAlignment="1" applyProtection="1">
      <alignment wrapText="1"/>
      <protection locked="0"/>
    </xf>
    <xf numFmtId="0" fontId="12" fillId="6" borderId="136" xfId="0" applyFont="1" applyFill="1" applyBorder="1" applyAlignment="1" applyProtection="1">
      <alignment wrapText="1"/>
      <protection locked="0"/>
    </xf>
    <xf numFmtId="0" fontId="12" fillId="3" borderId="137" xfId="0" applyFont="1" applyFill="1" applyBorder="1" applyAlignment="1" applyProtection="1">
      <alignment horizontal="left" wrapText="1"/>
      <protection locked="0"/>
    </xf>
    <xf numFmtId="0" fontId="12" fillId="3" borderId="138" xfId="0" applyFont="1" applyFill="1" applyBorder="1" applyAlignment="1" applyProtection="1">
      <alignment horizontal="left" wrapText="1"/>
      <protection locked="0"/>
    </xf>
    <xf numFmtId="2" fontId="12" fillId="3" borderId="135"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Fill="1" applyBorder="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Border="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0" fontId="0" fillId="5" borderId="0" xfId="0" applyFill="1"/>
    <xf numFmtId="0" fontId="0" fillId="3" borderId="0" xfId="0" applyFill="1"/>
    <xf numFmtId="0" fontId="0" fillId="4" borderId="0" xfId="0" applyFill="1"/>
    <xf numFmtId="173" fontId="40" fillId="0" borderId="0" xfId="16" applyFont="1" applyAlignment="1">
      <alignment horizontal="left"/>
    </xf>
    <xf numFmtId="0" fontId="4" fillId="0" borderId="0" xfId="0" applyFont="1" applyProtection="1">
      <protection locked="0"/>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ont="1"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Fill="1" applyBorder="1" applyAlignment="1" applyProtection="1">
      <alignment horizontal="right"/>
      <protection locked="0"/>
    </xf>
    <xf numFmtId="0" fontId="20" fillId="0" borderId="0" xfId="0" applyFont="1" applyAlignment="1" applyProtection="1">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0" xfId="0" applyFont="1" applyAlignment="1" applyProtection="1">
      <alignment horizontal="right"/>
      <protection locked="0"/>
    </xf>
    <xf numFmtId="0" fontId="4" fillId="0" borderId="8" xfId="0" applyFont="1" applyBorder="1" applyProtection="1">
      <protection locked="0"/>
    </xf>
    <xf numFmtId="0" fontId="40" fillId="0" borderId="0" xfId="0" applyFont="1" applyProtection="1"/>
    <xf numFmtId="0" fontId="4" fillId="0" borderId="0" xfId="0" applyFont="1" applyFill="1" applyBorder="1" applyAlignment="1" applyProtection="1">
      <alignment horizontal="left" vertical="center"/>
    </xf>
    <xf numFmtId="0" fontId="38" fillId="0" borderId="0" xfId="0" applyFont="1" applyAlignment="1">
      <alignment horizontal="right"/>
    </xf>
    <xf numFmtId="4" fontId="12" fillId="3" borderId="98" xfId="16" applyNumberFormat="1" applyFont="1" applyFill="1" applyBorder="1" applyAlignment="1" applyProtection="1">
      <alignment horizontal="center" vertical="center" wrapText="1"/>
    </xf>
    <xf numFmtId="4" fontId="12" fillId="3" borderId="108" xfId="16" applyNumberFormat="1" applyFont="1" applyFill="1" applyBorder="1" applyAlignment="1" applyProtection="1">
      <alignment horizontal="center" vertical="center" wrapText="1"/>
    </xf>
    <xf numFmtId="0" fontId="0" fillId="15" borderId="0" xfId="0" applyFill="1"/>
    <xf numFmtId="0" fontId="4" fillId="0" borderId="4" xfId="0" applyFont="1" applyFill="1" applyBorder="1" applyAlignment="1">
      <alignment vertical="center" wrapText="1"/>
    </xf>
    <xf numFmtId="169" fontId="12" fillId="3" borderId="140" xfId="16" applyNumberFormat="1" applyFont="1" applyFill="1" applyBorder="1" applyProtection="1"/>
    <xf numFmtId="169" fontId="4" fillId="3" borderId="22" xfId="16" applyNumberFormat="1" applyFont="1" applyFill="1" applyBorder="1" applyProtection="1"/>
    <xf numFmtId="0" fontId="0" fillId="0" borderId="47" xfId="0" quotePrefix="1" applyBorder="1" applyAlignment="1" applyProtection="1">
      <alignment wrapText="1"/>
    </xf>
    <xf numFmtId="173" fontId="12" fillId="0" borderId="0" xfId="16" quotePrefix="1" applyFont="1" applyProtection="1"/>
    <xf numFmtId="165" fontId="18" fillId="3" borderId="8" xfId="0" applyNumberFormat="1" applyFont="1" applyFill="1" applyBorder="1" applyAlignment="1" applyProtection="1">
      <alignment wrapText="1"/>
    </xf>
    <xf numFmtId="165" fontId="18"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2" fillId="6" borderId="6" xfId="7" applyFill="1" applyBorder="1" applyAlignment="1">
      <alignment horizontal="center"/>
    </xf>
    <xf numFmtId="0" fontId="41" fillId="0" borderId="0" xfId="0" applyFont="1"/>
    <xf numFmtId="0" fontId="4" fillId="0" borderId="24" xfId="0" applyFont="1" applyFill="1" applyBorder="1"/>
    <xf numFmtId="0" fontId="4"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2" fillId="0" borderId="6" xfId="0" applyFont="1" applyFill="1" applyBorder="1"/>
    <xf numFmtId="167" fontId="0" fillId="0" borderId="4" xfId="0" applyNumberFormat="1" applyFill="1" applyBorder="1"/>
    <xf numFmtId="0" fontId="12" fillId="0" borderId="67" xfId="0" applyFont="1" applyFill="1" applyBorder="1"/>
    <xf numFmtId="0" fontId="0" fillId="0" borderId="90" xfId="0" applyFill="1" applyBorder="1"/>
    <xf numFmtId="167" fontId="0" fillId="0" borderId="90" xfId="0" applyNumberFormat="1" applyFill="1" applyBorder="1"/>
    <xf numFmtId="0" fontId="12" fillId="16" borderId="65" xfId="0" applyFont="1" applyFill="1" applyBorder="1"/>
    <xf numFmtId="0" fontId="0" fillId="16" borderId="65" xfId="0" applyFill="1" applyBorder="1"/>
    <xf numFmtId="0" fontId="0" fillId="16" borderId="66" xfId="0" applyFill="1" applyBorder="1"/>
    <xf numFmtId="0" fontId="0" fillId="0" borderId="4" xfId="0" applyBorder="1"/>
    <xf numFmtId="0" fontId="0" fillId="0" borderId="142" xfId="0" applyBorder="1"/>
    <xf numFmtId="0" fontId="4" fillId="0" borderId="6" xfId="0" applyFont="1" applyFill="1" applyBorder="1"/>
    <xf numFmtId="0" fontId="4" fillId="0" borderId="0" xfId="0" applyFont="1" applyFill="1" applyBorder="1" applyAlignment="1">
      <alignment wrapText="1"/>
    </xf>
    <xf numFmtId="0" fontId="4" fillId="0" borderId="0" xfId="0" applyFont="1" applyFill="1" applyBorder="1"/>
    <xf numFmtId="0" fontId="4" fillId="0" borderId="7" xfId="0" applyFont="1" applyFill="1" applyBorder="1"/>
    <xf numFmtId="7" fontId="0" fillId="0" borderId="0" xfId="0" applyNumberFormat="1"/>
    <xf numFmtId="0" fontId="12" fillId="0" borderId="63" xfId="0" applyFont="1" applyFill="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Fill="1" applyBorder="1" applyAlignment="1">
      <alignment horizontal="left" vertical="top" wrapText="1"/>
    </xf>
    <xf numFmtId="167" fontId="12" fillId="0" borderId="0" xfId="0" applyNumberFormat="1" applyFont="1" applyFill="1" applyBorder="1"/>
    <xf numFmtId="0" fontId="27" fillId="0" borderId="90" xfId="0" applyFont="1" applyFill="1" applyBorder="1" applyAlignment="1" applyProtection="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Fill="1" applyBorder="1" applyAlignment="1">
      <alignment horizontal="right" vertical="center" wrapText="1"/>
    </xf>
    <xf numFmtId="170" fontId="15" fillId="0" borderId="0" xfId="0" applyNumberFormat="1" applyFont="1" applyFill="1" applyBorder="1" applyAlignment="1">
      <alignment horizontal="center" vertical="center" wrapText="1"/>
    </xf>
    <xf numFmtId="0" fontId="12" fillId="0" borderId="6" xfId="0" applyFont="1" applyFill="1" applyBorder="1" applyAlignment="1">
      <alignment horizontal="left"/>
    </xf>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44" fillId="0" borderId="1" xfId="0" applyFont="1" applyFill="1" applyBorder="1" applyAlignment="1">
      <alignment wrapText="1"/>
    </xf>
    <xf numFmtId="0" fontId="44" fillId="0" borderId="2" xfId="0" applyFont="1" applyFill="1" applyBorder="1" applyAlignment="1">
      <alignment horizontal="center"/>
    </xf>
    <xf numFmtId="0" fontId="44" fillId="0" borderId="2" xfId="0" applyFont="1" applyFill="1" applyBorder="1" applyAlignment="1">
      <alignment horizontal="center" wrapText="1"/>
    </xf>
    <xf numFmtId="0" fontId="44" fillId="0" borderId="3" xfId="0" applyFont="1" applyFill="1" applyBorder="1" applyAlignment="1">
      <alignment horizontal="center" wrapText="1"/>
    </xf>
    <xf numFmtId="0" fontId="45" fillId="0" borderId="4" xfId="0" applyFont="1" applyFill="1" applyBorder="1" applyAlignment="1">
      <alignment wrapText="1"/>
    </xf>
    <xf numFmtId="2" fontId="45" fillId="0" borderId="0" xfId="0" applyNumberFormat="1" applyFont="1" applyFill="1" applyBorder="1" applyAlignment="1">
      <alignment horizontal="center"/>
    </xf>
    <xf numFmtId="2" fontId="46" fillId="0" borderId="0" xfId="0" applyNumberFormat="1" applyFont="1" applyFill="1" applyBorder="1" applyAlignment="1">
      <alignment wrapText="1"/>
    </xf>
    <xf numFmtId="2" fontId="46" fillId="0" borderId="0" xfId="0" applyNumberFormat="1" applyFont="1" applyFill="1" applyBorder="1" applyAlignment="1"/>
    <xf numFmtId="2" fontId="46" fillId="0" borderId="0" xfId="0" applyNumberFormat="1" applyFont="1" applyFill="1" applyBorder="1"/>
    <xf numFmtId="2" fontId="46" fillId="0" borderId="5" xfId="0" applyNumberFormat="1" applyFont="1" applyFill="1" applyBorder="1"/>
    <xf numFmtId="0" fontId="45" fillId="0" borderId="4" xfId="0" applyFont="1" applyFill="1" applyBorder="1"/>
    <xf numFmtId="0" fontId="44" fillId="0" borderId="4" xfId="0" applyFont="1" applyFill="1" applyBorder="1"/>
    <xf numFmtId="2" fontId="45" fillId="0" borderId="5" xfId="0" applyNumberFormat="1" applyFont="1" applyFill="1" applyBorder="1" applyAlignment="1">
      <alignment horizontal="center"/>
    </xf>
    <xf numFmtId="2" fontId="46" fillId="0" borderId="5" xfId="0" applyNumberFormat="1" applyFont="1" applyFill="1" applyBorder="1" applyAlignment="1">
      <alignment wrapText="1"/>
    </xf>
    <xf numFmtId="0" fontId="45" fillId="0" borderId="58" xfId="0" applyFont="1" applyFill="1" applyBorder="1" applyAlignment="1">
      <alignment wrapText="1"/>
    </xf>
    <xf numFmtId="2" fontId="45" fillId="0" borderId="59" xfId="0" applyNumberFormat="1" applyFont="1" applyFill="1" applyBorder="1" applyAlignment="1">
      <alignment horizontal="center"/>
    </xf>
    <xf numFmtId="2" fontId="45" fillId="0" borderId="59" xfId="0" applyNumberFormat="1" applyFont="1" applyFill="1" applyBorder="1" applyAlignment="1">
      <alignment horizontal="center" wrapText="1"/>
    </xf>
    <xf numFmtId="2" fontId="45" fillId="0" borderId="87" xfId="0" applyNumberFormat="1" applyFont="1" applyFill="1" applyBorder="1" applyAlignment="1">
      <alignment horizontal="center" wrapText="1"/>
    </xf>
    <xf numFmtId="0" fontId="47" fillId="0" borderId="0" xfId="0" applyFont="1" applyFill="1" applyBorder="1" applyAlignment="1"/>
    <xf numFmtId="0" fontId="46" fillId="0" borderId="0" xfId="0" applyFont="1" applyFill="1"/>
    <xf numFmtId="0" fontId="47" fillId="0" borderId="0" xfId="0" applyFont="1" applyFill="1"/>
    <xf numFmtId="0" fontId="4" fillId="0" borderId="1" xfId="0" applyFont="1" applyFill="1" applyBorder="1" applyAlignment="1">
      <alignment vertical="center"/>
    </xf>
    <xf numFmtId="0" fontId="4" fillId="0" borderId="2" xfId="0" applyFont="1" applyFill="1" applyBorder="1" applyAlignment="1">
      <alignment horizontal="center" vertical="center" wrapText="1"/>
    </xf>
    <xf numFmtId="0" fontId="46" fillId="3" borderId="4" xfId="0" applyFont="1" applyFill="1" applyBorder="1"/>
    <xf numFmtId="165" fontId="46" fillId="3" borderId="0" xfId="0" applyNumberFormat="1" applyFont="1" applyFill="1" applyBorder="1" applyAlignment="1">
      <alignment horizontal="center"/>
    </xf>
    <xf numFmtId="0" fontId="46" fillId="0" borderId="4" xfId="0" applyFont="1" applyFill="1" applyBorder="1"/>
    <xf numFmtId="165" fontId="46" fillId="0" borderId="0" xfId="0" applyNumberFormat="1" applyFont="1" applyFill="1" applyBorder="1" applyAlignment="1">
      <alignment horizontal="center"/>
    </xf>
    <xf numFmtId="0" fontId="46" fillId="3" borderId="0" xfId="0" applyFont="1" applyFill="1" applyBorder="1" applyAlignment="1">
      <alignment horizontal="center"/>
    </xf>
    <xf numFmtId="0" fontId="46" fillId="3" borderId="5" xfId="0" applyFont="1" applyFill="1" applyBorder="1" applyAlignment="1">
      <alignment horizontal="center"/>
    </xf>
    <xf numFmtId="0" fontId="46" fillId="0" borderId="0" xfId="0" applyFont="1" applyFill="1" applyBorder="1" applyAlignment="1">
      <alignment horizontal="center"/>
    </xf>
    <xf numFmtId="0" fontId="46" fillId="0" borderId="5" xfId="0" applyFont="1" applyFill="1" applyBorder="1" applyAlignment="1">
      <alignment horizontal="center"/>
    </xf>
    <xf numFmtId="0" fontId="4" fillId="3" borderId="0" xfId="0" applyFont="1" applyFill="1" applyBorder="1" applyAlignment="1">
      <alignment horizontal="center"/>
    </xf>
    <xf numFmtId="0" fontId="46" fillId="3" borderId="0" xfId="0" applyFont="1" applyFill="1" applyBorder="1"/>
    <xf numFmtId="0" fontId="46" fillId="0" borderId="0" xfId="0" applyFont="1" applyFill="1" applyBorder="1"/>
    <xf numFmtId="0" fontId="19" fillId="0" borderId="5" xfId="0" applyFont="1" applyFill="1" applyBorder="1" applyAlignment="1">
      <alignment horizontal="center"/>
    </xf>
    <xf numFmtId="0" fontId="19" fillId="3" borderId="5" xfId="0" applyFont="1" applyFill="1" applyBorder="1" applyAlignment="1">
      <alignment horizontal="center"/>
    </xf>
    <xf numFmtId="0" fontId="46" fillId="0" borderId="0" xfId="0" applyFont="1"/>
    <xf numFmtId="0" fontId="46" fillId="0" borderId="4" xfId="0" applyFont="1" applyFill="1" applyBorder="1" applyAlignment="1">
      <alignment wrapText="1"/>
    </xf>
    <xf numFmtId="0" fontId="46" fillId="0" borderId="0" xfId="0" applyFont="1" applyFill="1" applyBorder="1" applyAlignment="1">
      <alignment wrapText="1"/>
    </xf>
    <xf numFmtId="0" fontId="4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46" fillId="3" borderId="2" xfId="0" applyNumberFormat="1" applyFont="1" applyFill="1" applyBorder="1" applyAlignment="1">
      <alignment horizontal="center"/>
    </xf>
    <xf numFmtId="165" fontId="46" fillId="3" borderId="82" xfId="0" applyNumberFormat="1" applyFont="1" applyFill="1" applyBorder="1" applyAlignment="1">
      <alignment horizontal="center"/>
    </xf>
    <xf numFmtId="165" fontId="46" fillId="3" borderId="7" xfId="0" applyNumberFormat="1" applyFont="1" applyFill="1" applyBorder="1" applyAlignment="1">
      <alignment horizontal="center"/>
    </xf>
    <xf numFmtId="0" fontId="12" fillId="0" borderId="4" xfId="0" applyFont="1" applyFill="1" applyBorder="1"/>
    <xf numFmtId="2" fontId="45" fillId="0" borderId="0" xfId="0" applyNumberFormat="1" applyFont="1" applyFill="1" applyBorder="1" applyAlignment="1">
      <alignment horizontal="center" wrapText="1"/>
    </xf>
    <xf numFmtId="2" fontId="45" fillId="0" borderId="7" xfId="0" applyNumberFormat="1" applyFont="1" applyFill="1" applyBorder="1" applyAlignment="1">
      <alignment horizontal="center" wrapText="1"/>
    </xf>
    <xf numFmtId="0" fontId="12" fillId="0" borderId="142" xfId="0" applyFont="1" applyFill="1" applyBorder="1"/>
    <xf numFmtId="165" fontId="46" fillId="3" borderId="90" xfId="0" applyNumberFormat="1" applyFont="1" applyFill="1" applyBorder="1" applyAlignment="1">
      <alignment horizontal="center"/>
    </xf>
    <xf numFmtId="165"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applyFill="1"/>
    <xf numFmtId="167" fontId="0" fillId="0" borderId="0" xfId="0" applyNumberFormat="1"/>
    <xf numFmtId="0" fontId="0" fillId="0" borderId="67" xfId="0" applyFill="1" applyBorder="1"/>
    <xf numFmtId="0" fontId="12" fillId="0" borderId="0" xfId="0" applyFont="1" applyFill="1" applyBorder="1"/>
    <xf numFmtId="0" fontId="12" fillId="0" borderId="1" xfId="0" applyFont="1" applyFill="1" applyBorder="1"/>
    <xf numFmtId="0" fontId="4" fillId="0" borderId="0" xfId="0" applyFont="1" applyAlignment="1">
      <alignment wrapText="1"/>
    </xf>
    <xf numFmtId="0" fontId="5" fillId="6" borderId="100" xfId="5" applyFill="1" applyBorder="1" applyAlignment="1" applyProtection="1">
      <alignment wrapText="1"/>
      <protection locked="0"/>
    </xf>
    <xf numFmtId="0" fontId="5" fillId="6" borderId="101"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12" fillId="6" borderId="98" xfId="0" applyNumberFormat="1" applyFont="1" applyFill="1" applyBorder="1" applyAlignment="1">
      <alignment horizontal="left" vertical="top" wrapText="1"/>
    </xf>
    <xf numFmtId="0" fontId="4" fillId="6" borderId="0" xfId="0" applyFont="1" applyFill="1" applyBorder="1" applyAlignment="1">
      <alignment vertical="top" wrapText="1"/>
    </xf>
    <xf numFmtId="0" fontId="4" fillId="6" borderId="5" xfId="0" applyFont="1" applyFill="1" applyBorder="1" applyAlignment="1">
      <alignment vertical="top" wrapText="1"/>
    </xf>
    <xf numFmtId="0" fontId="4" fillId="0" borderId="149" xfId="0" applyFont="1" applyBorder="1" applyAlignment="1">
      <alignment wrapText="1"/>
    </xf>
    <xf numFmtId="0" fontId="0" fillId="0" borderId="59" xfId="0" applyBorder="1"/>
    <xf numFmtId="0" fontId="28" fillId="0" borderId="146" xfId="0" applyFont="1" applyBorder="1"/>
    <xf numFmtId="43" fontId="12" fillId="3" borderId="151"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2" xfId="0" applyBorder="1" applyAlignment="1">
      <alignment horizontal="centerContinuous" vertical="top" wrapText="1"/>
    </xf>
    <xf numFmtId="39" fontId="51" fillId="6" borderId="7" xfId="9" applyNumberFormat="1" applyFill="1" applyBorder="1"/>
    <xf numFmtId="0" fontId="4" fillId="0" borderId="1" xfId="7" applyFont="1" applyFill="1" applyBorder="1"/>
    <xf numFmtId="0" fontId="12" fillId="0" borderId="2" xfId="7" applyFill="1" applyBorder="1"/>
    <xf numFmtId="167" fontId="12" fillId="0" borderId="2" xfId="7" applyNumberFormat="1" applyFill="1" applyBorder="1"/>
    <xf numFmtId="0" fontId="12" fillId="0" borderId="3" xfId="7" applyFill="1" applyBorder="1"/>
    <xf numFmtId="0" fontId="12" fillId="0" borderId="0" xfId="7"/>
    <xf numFmtId="0" fontId="19" fillId="0" borderId="4" xfId="7" applyFont="1" applyFill="1" applyBorder="1"/>
    <xf numFmtId="0" fontId="12" fillId="0" borderId="0" xfId="7" applyFill="1" applyBorder="1"/>
    <xf numFmtId="167" fontId="12" fillId="0" borderId="0" xfId="7" applyNumberFormat="1" applyFill="1" applyBorder="1"/>
    <xf numFmtId="0" fontId="12" fillId="0" borderId="5" xfId="7" applyFill="1" applyBorder="1"/>
    <xf numFmtId="0" fontId="12" fillId="0" borderId="4" xfId="7" applyFont="1" applyFill="1" applyBorder="1"/>
    <xf numFmtId="0" fontId="52" fillId="0" borderId="0" xfId="7" applyFont="1" applyFill="1" applyBorder="1"/>
    <xf numFmtId="0" fontId="12" fillId="0" borderId="4" xfId="7" applyFill="1" applyBorder="1"/>
    <xf numFmtId="0" fontId="53" fillId="0" borderId="5" xfId="7" applyFont="1" applyFill="1" applyBorder="1"/>
    <xf numFmtId="0" fontId="12" fillId="0" borderId="58" xfId="7" applyFont="1" applyFill="1" applyBorder="1"/>
    <xf numFmtId="0" fontId="12" fillId="0" borderId="59" xfId="7" applyFill="1" applyBorder="1"/>
    <xf numFmtId="167" fontId="12" fillId="0" borderId="59" xfId="7" applyNumberFormat="1" applyFill="1" applyBorder="1"/>
    <xf numFmtId="0" fontId="52" fillId="0" borderId="59" xfId="7" applyFont="1" applyFill="1" applyBorder="1"/>
    <xf numFmtId="0" fontId="12" fillId="0" borderId="87" xfId="7" applyFill="1" applyBorder="1"/>
    <xf numFmtId="0" fontId="4" fillId="0" borderId="0" xfId="7" applyFont="1" applyFill="1" applyBorder="1"/>
    <xf numFmtId="0" fontId="19" fillId="0" borderId="2" xfId="0" applyFont="1" applyFill="1" applyBorder="1"/>
    <xf numFmtId="0" fontId="19" fillId="0" borderId="0" xfId="0" applyFont="1" applyFill="1" applyBorder="1"/>
    <xf numFmtId="2" fontId="49" fillId="0" borderId="0" xfId="0" applyNumberFormat="1" applyFont="1" applyFill="1" applyBorder="1" applyAlignment="1">
      <alignment horizontal="center" wrapText="1"/>
    </xf>
    <xf numFmtId="0" fontId="19" fillId="0" borderId="90" xfId="0" applyFont="1" applyFill="1" applyBorder="1"/>
    <xf numFmtId="0" fontId="19" fillId="0" borderId="0" xfId="0" applyFont="1" applyBorder="1"/>
    <xf numFmtId="0" fontId="19" fillId="0" borderId="90" xfId="0" applyFont="1" applyBorder="1"/>
    <xf numFmtId="167" fontId="54" fillId="0" borderId="0" xfId="7" applyNumberFormat="1" applyFont="1" applyFill="1" applyBorder="1"/>
    <xf numFmtId="0" fontId="12" fillId="0" borderId="6" xfId="7" applyFont="1" applyFill="1" applyBorder="1" applyAlignment="1">
      <alignment horizontal="left"/>
    </xf>
    <xf numFmtId="165" fontId="12" fillId="3" borderId="0" xfId="0" applyNumberFormat="1" applyFont="1" applyFill="1" applyBorder="1" applyAlignment="1">
      <alignment horizontal="center"/>
    </xf>
    <xf numFmtId="165" fontId="12" fillId="3" borderId="2" xfId="0" applyNumberFormat="1" applyFont="1" applyFill="1" applyBorder="1" applyAlignment="1">
      <alignment horizontal="center"/>
    </xf>
    <xf numFmtId="165" fontId="12" fillId="3" borderId="82" xfId="0" applyNumberFormat="1" applyFont="1" applyFill="1" applyBorder="1" applyAlignment="1">
      <alignment horizontal="center"/>
    </xf>
    <xf numFmtId="165" fontId="12" fillId="3" borderId="7" xfId="0" applyNumberFormat="1" applyFont="1" applyFill="1" applyBorder="1" applyAlignment="1">
      <alignment horizontal="center"/>
    </xf>
    <xf numFmtId="165" fontId="12" fillId="3" borderId="90" xfId="0" applyNumberFormat="1" applyFont="1" applyFill="1" applyBorder="1" applyAlignment="1">
      <alignment horizontal="center"/>
    </xf>
    <xf numFmtId="165" fontId="12" fillId="3" borderId="110" xfId="0" applyNumberFormat="1" applyFont="1" applyFill="1" applyBorder="1" applyAlignment="1">
      <alignment horizontal="center"/>
    </xf>
    <xf numFmtId="173" fontId="2" fillId="0" borderId="0" xfId="16" applyFont="1" applyProtection="1"/>
    <xf numFmtId="10" fontId="0" fillId="0" borderId="0" xfId="0" applyNumberFormat="1" applyBorder="1" applyProtection="1"/>
    <xf numFmtId="182" fontId="12" fillId="3" borderId="23" xfId="16" applyNumberFormat="1" applyFont="1" applyFill="1" applyBorder="1" applyAlignment="1" applyProtection="1">
      <alignment horizontal="center"/>
    </xf>
    <xf numFmtId="181" fontId="12" fillId="3" borderId="19" xfId="16" applyNumberFormat="1" applyFont="1" applyFill="1" applyBorder="1" applyAlignment="1" applyProtection="1">
      <alignment horizontal="center"/>
      <protection locked="0"/>
    </xf>
    <xf numFmtId="173" fontId="4" fillId="0" borderId="0" xfId="16" applyFont="1" applyFill="1" applyBorder="1" applyProtection="1"/>
    <xf numFmtId="170" fontId="0" fillId="17" borderId="34" xfId="0" applyNumberFormat="1" applyFill="1" applyBorder="1" applyProtection="1"/>
    <xf numFmtId="170" fontId="0" fillId="17" borderId="32" xfId="0" applyNumberFormat="1" applyFill="1" applyBorder="1" applyProtection="1"/>
    <xf numFmtId="173" fontId="4" fillId="0" borderId="60" xfId="16" applyFont="1" applyBorder="1" applyAlignment="1" applyProtection="1">
      <alignment horizontal="center"/>
    </xf>
    <xf numFmtId="173" fontId="2" fillId="3" borderId="17" xfId="16" applyFont="1" applyFill="1" applyBorder="1" applyProtection="1"/>
    <xf numFmtId="173" fontId="2" fillId="3" borderId="8" xfId="16" applyFont="1" applyFill="1" applyBorder="1" applyProtection="1"/>
    <xf numFmtId="165" fontId="2" fillId="3" borderId="8" xfId="16" applyNumberFormat="1" applyFont="1" applyFill="1" applyBorder="1" applyProtection="1"/>
    <xf numFmtId="170" fontId="2" fillId="3" borderId="8" xfId="16" applyNumberFormat="1" applyFont="1" applyFill="1" applyBorder="1" applyProtection="1"/>
    <xf numFmtId="6" fontId="2" fillId="3" borderId="8" xfId="16" applyNumberFormat="1" applyFont="1" applyFill="1" applyBorder="1" applyProtection="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0" fontId="2" fillId="20" borderId="0" xfId="0"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Fill="1" applyBorder="1"/>
    <xf numFmtId="0" fontId="4" fillId="0" borderId="59" xfId="0" applyFont="1" applyFill="1" applyBorder="1" applyAlignment="1">
      <alignment wrapText="1"/>
    </xf>
    <xf numFmtId="0" fontId="4" fillId="0" borderId="59" xfId="0" applyFont="1" applyFill="1" applyBorder="1"/>
    <xf numFmtId="0" fontId="4" fillId="0" borderId="152" xfId="0" applyFont="1" applyFill="1" applyBorder="1"/>
    <xf numFmtId="44" fontId="4" fillId="20" borderId="0" xfId="3" applyFont="1" applyFill="1"/>
    <xf numFmtId="173" fontId="4" fillId="20" borderId="8" xfId="16" applyFont="1" applyFill="1" applyBorder="1" applyAlignment="1" applyProtection="1">
      <alignment horizontal="center" wrapText="1"/>
    </xf>
    <xf numFmtId="173" fontId="4" fillId="20" borderId="8" xfId="16" applyFont="1" applyFill="1" applyBorder="1" applyProtection="1"/>
    <xf numFmtId="3" fontId="12" fillId="3" borderId="8" xfId="16" applyNumberFormat="1" applyFont="1" applyFill="1" applyBorder="1" applyProtection="1"/>
    <xf numFmtId="2" fontId="12" fillId="3" borderId="8" xfId="16" applyNumberFormat="1" applyFont="1" applyFill="1" applyBorder="1" applyAlignment="1" applyProtection="1">
      <alignment horizontal="center"/>
    </xf>
    <xf numFmtId="178" fontId="12" fillId="3" borderId="8" xfId="3" applyNumberFormat="1" applyFont="1" applyFill="1" applyBorder="1" applyAlignment="1" applyProtection="1">
      <alignment horizontal="center"/>
      <protection locked="0"/>
    </xf>
    <xf numFmtId="173" fontId="2" fillId="20" borderId="2" xfId="16" applyFont="1" applyFill="1" applyBorder="1" applyProtection="1"/>
    <xf numFmtId="173" fontId="2" fillId="20" borderId="3" xfId="16" applyFont="1" applyFill="1" applyBorder="1" applyProtection="1"/>
    <xf numFmtId="173" fontId="2" fillId="20" borderId="4" xfId="16" applyFont="1" applyFill="1" applyBorder="1" applyProtection="1"/>
    <xf numFmtId="173" fontId="4" fillId="20" borderId="100" xfId="16" applyFont="1" applyFill="1" applyBorder="1" applyProtection="1"/>
    <xf numFmtId="173" fontId="2" fillId="20" borderId="138" xfId="16" applyFont="1" applyFill="1" applyBorder="1" applyProtection="1"/>
    <xf numFmtId="3" fontId="12" fillId="3" borderId="100" xfId="16" applyNumberFormat="1" applyFont="1" applyFill="1" applyBorder="1" applyProtection="1"/>
    <xf numFmtId="2" fontId="12" fillId="3" borderId="100" xfId="16" applyNumberFormat="1" applyFont="1" applyFill="1" applyBorder="1" applyAlignment="1" applyProtection="1">
      <alignment horizontal="center"/>
    </xf>
    <xf numFmtId="178" fontId="12" fillId="3" borderId="100" xfId="3" applyNumberFormat="1" applyFont="1" applyFill="1" applyBorder="1" applyAlignment="1" applyProtection="1">
      <alignment horizontal="center"/>
      <protection locked="0"/>
    </xf>
    <xf numFmtId="9" fontId="2" fillId="20" borderId="4" xfId="16" applyNumberFormat="1" applyFont="1" applyFill="1" applyBorder="1" applyProtection="1"/>
    <xf numFmtId="173" fontId="2" fillId="20" borderId="0" xfId="16" applyFont="1" applyFill="1" applyBorder="1" applyProtection="1"/>
    <xf numFmtId="173" fontId="2" fillId="20" borderId="5" xfId="16" applyFont="1" applyFill="1" applyBorder="1" applyProtection="1"/>
    <xf numFmtId="0" fontId="2" fillId="20" borderId="138" xfId="0" applyFont="1" applyFill="1" applyBorder="1" applyProtection="1"/>
    <xf numFmtId="173" fontId="2" fillId="20" borderId="143" xfId="16" applyFont="1" applyFill="1" applyBorder="1" applyProtection="1"/>
    <xf numFmtId="181" fontId="12" fillId="3" borderId="134" xfId="16" applyNumberFormat="1" applyFont="1" applyFill="1" applyBorder="1" applyAlignment="1" applyProtection="1">
      <alignment horizontal="center"/>
      <protection locked="0"/>
    </xf>
    <xf numFmtId="173" fontId="2" fillId="20" borderId="59" xfId="16" applyFont="1" applyFill="1" applyBorder="1" applyProtection="1"/>
    <xf numFmtId="173" fontId="2" fillId="20" borderId="87" xfId="16" applyFont="1" applyFill="1" applyBorder="1" applyProtection="1"/>
    <xf numFmtId="173" fontId="4" fillId="20" borderId="41" xfId="16" applyFont="1" applyFill="1" applyBorder="1" applyAlignment="1" applyProtection="1">
      <alignment horizontal="center" wrapText="1"/>
    </xf>
    <xf numFmtId="173" fontId="4" fillId="20" borderId="42" xfId="16" applyFont="1" applyFill="1" applyBorder="1" applyAlignment="1" applyProtection="1">
      <alignment horizontal="center"/>
    </xf>
    <xf numFmtId="173" fontId="4" fillId="20" borderId="42" xfId="16" applyFont="1" applyFill="1" applyBorder="1" applyAlignment="1" applyProtection="1">
      <alignment horizontal="center" wrapText="1"/>
    </xf>
    <xf numFmtId="173" fontId="4" fillId="20" borderId="43" xfId="16" applyFont="1" applyFill="1" applyBorder="1" applyAlignment="1" applyProtection="1">
      <alignment horizontal="center" wrapText="1"/>
    </xf>
    <xf numFmtId="173" fontId="4" fillId="20" borderId="85" xfId="16" applyFont="1" applyFill="1" applyBorder="1" applyAlignment="1" applyProtection="1">
      <alignment horizontal="center" wrapText="1"/>
    </xf>
    <xf numFmtId="173" fontId="4" fillId="20" borderId="148" xfId="16" applyFont="1" applyFill="1" applyBorder="1" applyAlignment="1" applyProtection="1">
      <alignment horizontal="center" wrapText="1"/>
    </xf>
    <xf numFmtId="6" fontId="12" fillId="3" borderId="157" xfId="16" applyNumberFormat="1" applyFont="1" applyFill="1" applyBorder="1" applyProtection="1"/>
    <xf numFmtId="6" fontId="12" fillId="3" borderId="100" xfId="16" applyNumberFormat="1" applyFont="1" applyFill="1" applyBorder="1" applyProtection="1"/>
    <xf numFmtId="6" fontId="2" fillId="3" borderId="100" xfId="16" applyNumberFormat="1" applyFont="1" applyFill="1" applyBorder="1" applyProtection="1"/>
    <xf numFmtId="6" fontId="12" fillId="3" borderId="101" xfId="16" applyNumberFormat="1" applyFont="1" applyFill="1" applyBorder="1" applyProtection="1"/>
    <xf numFmtId="172" fontId="12" fillId="3" borderId="48" xfId="1" applyNumberFormat="1" applyFont="1" applyFill="1" applyBorder="1" applyProtection="1"/>
    <xf numFmtId="172" fontId="12" fillId="3" borderId="49" xfId="1" applyNumberFormat="1" applyFont="1" applyFill="1" applyBorder="1" applyProtection="1"/>
    <xf numFmtId="172" fontId="2" fillId="3" borderId="49" xfId="1" applyNumberFormat="1" applyFont="1" applyFill="1" applyBorder="1" applyProtection="1"/>
    <xf numFmtId="172" fontId="12" fillId="3" borderId="50" xfId="1" applyNumberFormat="1" applyFont="1" applyFill="1" applyBorder="1" applyProtection="1"/>
    <xf numFmtId="165" fontId="12" fillId="3" borderId="37" xfId="16" applyNumberFormat="1" applyFont="1" applyFill="1" applyBorder="1" applyProtection="1"/>
    <xf numFmtId="170" fontId="12" fillId="3" borderId="37" xfId="16" applyNumberFormat="1" applyFont="1" applyFill="1" applyBorder="1" applyProtection="1"/>
    <xf numFmtId="6" fontId="12" fillId="3" borderId="37" xfId="16" applyNumberFormat="1" applyFont="1" applyFill="1" applyBorder="1" applyProtection="1"/>
    <xf numFmtId="164" fontId="2" fillId="3" borderId="37" xfId="17" applyNumberFormat="1" applyFill="1" applyBorder="1" applyProtection="1"/>
    <xf numFmtId="6" fontId="12" fillId="3" borderId="158" xfId="16" applyNumberFormat="1" applyFont="1" applyFill="1" applyBorder="1" applyProtection="1"/>
    <xf numFmtId="6" fontId="12" fillId="3" borderId="60" xfId="16" applyNumberFormat="1" applyFont="1" applyFill="1" applyBorder="1" applyProtection="1"/>
    <xf numFmtId="6" fontId="12" fillId="3" borderId="55" xfId="16" applyNumberFormat="1" applyFont="1" applyFill="1" applyBorder="1" applyProtection="1"/>
    <xf numFmtId="6" fontId="2" fillId="3" borderId="55" xfId="16" applyNumberFormat="1" applyFont="1" applyFill="1" applyBorder="1" applyProtection="1"/>
    <xf numFmtId="6" fontId="12" fillId="3" borderId="159"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4" fillId="20" borderId="160" xfId="16" applyFont="1" applyFill="1" applyBorder="1" applyAlignment="1" applyProtection="1">
      <alignment horizontal="center" wrapText="1"/>
    </xf>
    <xf numFmtId="173" fontId="4" fillId="20" borderId="161" xfId="16" applyFont="1" applyFill="1" applyBorder="1" applyAlignment="1" applyProtection="1">
      <alignment horizontal="center" wrapText="1"/>
    </xf>
    <xf numFmtId="173" fontId="4" fillId="20" borderId="156" xfId="16" applyFont="1" applyFill="1" applyBorder="1" applyAlignment="1" applyProtection="1">
      <alignment horizontal="center" wrapText="1"/>
    </xf>
    <xf numFmtId="6" fontId="12" fillId="3" borderId="162" xfId="16" applyNumberFormat="1" applyFont="1" applyFill="1" applyBorder="1" applyProtection="1"/>
    <xf numFmtId="6" fontId="12" fillId="3" borderId="138" xfId="16" applyNumberFormat="1" applyFont="1" applyFill="1" applyBorder="1" applyProtection="1"/>
    <xf numFmtId="6" fontId="2" fillId="3" borderId="138" xfId="16" applyNumberFormat="1" applyFont="1" applyFill="1" applyBorder="1" applyProtection="1"/>
    <xf numFmtId="6" fontId="12" fillId="3" borderId="163" xfId="16" applyNumberFormat="1" applyFont="1" applyFill="1" applyBorder="1" applyProtection="1"/>
    <xf numFmtId="165" fontId="12" fillId="0" borderId="137" xfId="16" applyNumberFormat="1" applyFont="1" applyFill="1" applyBorder="1" applyProtection="1"/>
    <xf numFmtId="170" fontId="12" fillId="3" borderId="135" xfId="16" applyNumberFormat="1" applyFont="1" applyFill="1" applyBorder="1" applyProtection="1"/>
    <xf numFmtId="170" fontId="12" fillId="3" borderId="99" xfId="16" applyNumberFormat="1" applyFont="1" applyFill="1" applyBorder="1" applyProtection="1"/>
    <xf numFmtId="173" fontId="12" fillId="0" borderId="163" xfId="16" applyFont="1" applyFill="1" applyBorder="1" applyProtection="1"/>
    <xf numFmtId="173" fontId="12" fillId="0" borderId="146" xfId="16" applyFont="1" applyFill="1" applyBorder="1" applyProtection="1"/>
    <xf numFmtId="6" fontId="12" fillId="3" borderId="147" xfId="16" applyNumberFormat="1" applyFont="1" applyFill="1" applyBorder="1" applyProtection="1"/>
    <xf numFmtId="6" fontId="12" fillId="3" borderId="151" xfId="16" applyNumberFormat="1" applyFont="1" applyFill="1" applyBorder="1" applyProtection="1"/>
    <xf numFmtId="173" fontId="12" fillId="0" borderId="123" xfId="16" applyFont="1" applyBorder="1" applyProtection="1"/>
    <xf numFmtId="43" fontId="12" fillId="3" borderId="147" xfId="1" applyFont="1" applyFill="1" applyBorder="1" applyProtection="1"/>
    <xf numFmtId="184" fontId="12" fillId="3" borderId="147" xfId="16" applyNumberFormat="1" applyFont="1" applyFill="1" applyBorder="1" applyProtection="1"/>
    <xf numFmtId="173" fontId="12" fillId="0" borderId="64" xfId="16" applyFont="1" applyBorder="1" applyProtection="1"/>
    <xf numFmtId="173" fontId="2" fillId="0" borderId="164" xfId="16" applyFont="1" applyFill="1" applyBorder="1" applyProtection="1"/>
    <xf numFmtId="173" fontId="2" fillId="0" borderId="143" xfId="16" applyFont="1" applyFill="1" applyBorder="1" applyProtection="1"/>
    <xf numFmtId="0" fontId="4" fillId="20" borderId="167"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85" fontId="12" fillId="3" borderId="30" xfId="16" applyNumberFormat="1" applyFont="1" applyFill="1" applyBorder="1" applyProtection="1"/>
    <xf numFmtId="185" fontId="12" fillId="3" borderId="165" xfId="16" applyNumberFormat="1" applyFont="1" applyFill="1" applyBorder="1" applyProtection="1"/>
    <xf numFmtId="185" fontId="12" fillId="0" borderId="29" xfId="16" applyNumberFormat="1" applyFont="1" applyBorder="1" applyProtection="1"/>
    <xf numFmtId="185" fontId="12" fillId="0" borderId="30" xfId="16" applyNumberFormat="1" applyFont="1" applyBorder="1" applyProtection="1"/>
    <xf numFmtId="185" fontId="12" fillId="3" borderId="136" xfId="16" applyNumberFormat="1" applyFont="1" applyFill="1" applyBorder="1" applyProtection="1"/>
    <xf numFmtId="185" fontId="12" fillId="3" borderId="101" xfId="16" applyNumberFormat="1" applyFont="1" applyFill="1" applyBorder="1" applyProtection="1"/>
    <xf numFmtId="185" fontId="12" fillId="0" borderId="103" xfId="16" applyNumberFormat="1" applyFont="1" applyBorder="1" applyProtection="1"/>
    <xf numFmtId="185" fontId="12" fillId="0" borderId="136" xfId="16" applyNumberFormat="1" applyFont="1" applyBorder="1" applyProtection="1"/>
    <xf numFmtId="174" fontId="4" fillId="3" borderId="19" xfId="16" applyNumberFormat="1" applyFont="1" applyFill="1" applyBorder="1" applyAlignment="1" applyProtection="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8" xfId="0" applyFill="1" applyBorder="1" applyAlignment="1">
      <alignment horizontal="center"/>
    </xf>
    <xf numFmtId="9" fontId="0" fillId="19" borderId="168" xfId="17" applyFont="1" applyFill="1" applyBorder="1"/>
    <xf numFmtId="0" fontId="0" fillId="20" borderId="167" xfId="0" applyFill="1" applyBorder="1"/>
    <xf numFmtId="44" fontId="2" fillId="19" borderId="168" xfId="3" applyFont="1" applyFill="1" applyBorder="1"/>
    <xf numFmtId="44" fontId="0" fillId="19" borderId="168" xfId="3" applyFont="1" applyFill="1" applyBorder="1"/>
    <xf numFmtId="0" fontId="2" fillId="20" borderId="8" xfId="0" applyFont="1" applyFill="1" applyBorder="1"/>
    <xf numFmtId="0" fontId="0" fillId="20" borderId="8" xfId="0" applyFill="1" applyBorder="1"/>
    <xf numFmtId="44" fontId="12" fillId="3" borderId="128" xfId="3" applyFont="1" applyFill="1" applyBorder="1" applyAlignment="1" applyProtection="1">
      <alignment horizontal="center"/>
    </xf>
    <xf numFmtId="44" fontId="12" fillId="3" borderId="108" xfId="3" applyFont="1" applyFill="1" applyBorder="1" applyAlignment="1" applyProtection="1">
      <alignment horizontal="center"/>
    </xf>
    <xf numFmtId="44" fontId="12" fillId="3" borderId="132" xfId="3" applyFont="1" applyFill="1" applyBorder="1" applyAlignment="1" applyProtection="1">
      <alignment horizontal="center"/>
    </xf>
    <xf numFmtId="44" fontId="12" fillId="0" borderId="82" xfId="3" applyFont="1" applyFill="1" applyBorder="1" applyAlignment="1" applyProtection="1">
      <alignment horizontal="center"/>
    </xf>
    <xf numFmtId="44"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2" xfId="0" applyFont="1" applyFill="1" applyBorder="1"/>
    <xf numFmtId="167" fontId="12" fillId="20" borderId="0" xfId="0" applyNumberFormat="1" applyFont="1" applyFill="1" applyBorder="1"/>
    <xf numFmtId="167" fontId="0" fillId="20" borderId="0" xfId="0" applyNumberFormat="1" applyFill="1" applyBorder="1"/>
    <xf numFmtId="167" fontId="12" fillId="20" borderId="2" xfId="7" applyNumberFormat="1" applyFill="1" applyBorder="1"/>
    <xf numFmtId="167" fontId="12" fillId="20" borderId="0" xfId="7" applyNumberFormat="1" applyFill="1" applyBorder="1"/>
    <xf numFmtId="167"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Fill="1" applyBorder="1" applyAlignment="1" applyProtection="1">
      <alignment wrapText="1"/>
      <protection locked="0"/>
    </xf>
    <xf numFmtId="0" fontId="2" fillId="6" borderId="8" xfId="0" applyFont="1" applyFill="1" applyBorder="1" applyAlignment="1" applyProtection="1">
      <alignment wrapText="1"/>
      <protection locked="0"/>
    </xf>
    <xf numFmtId="0" fontId="2" fillId="5" borderId="62" xfId="0" applyFont="1" applyFill="1" applyBorder="1" applyAlignment="1">
      <alignment vertical="top" wrapText="1"/>
    </xf>
    <xf numFmtId="169" fontId="15" fillId="3" borderId="57" xfId="0" applyNumberFormat="1" applyFont="1" applyFill="1" applyBorder="1" applyAlignment="1">
      <alignment vertical="center" wrapText="1"/>
    </xf>
    <xf numFmtId="0" fontId="2" fillId="5" borderId="138" xfId="0" applyFont="1" applyFill="1" applyBorder="1" applyAlignment="1" applyProtection="1">
      <alignment horizontal="left" wrapText="1"/>
      <protection locked="0"/>
    </xf>
    <xf numFmtId="2" fontId="2" fillId="5" borderId="139" xfId="0" applyNumberFormat="1" applyFont="1" applyFill="1" applyBorder="1" applyAlignment="1" applyProtection="1">
      <alignment wrapText="1"/>
      <protection locked="0"/>
    </xf>
    <xf numFmtId="0" fontId="6" fillId="2" borderId="98" xfId="0" applyFont="1" applyFill="1" applyBorder="1" applyAlignment="1">
      <alignment vertical="top" wrapText="1"/>
    </xf>
    <xf numFmtId="0" fontId="2" fillId="0" borderId="0" xfId="0" applyFont="1" applyAlignment="1">
      <alignment vertical="top" wrapText="1"/>
    </xf>
    <xf numFmtId="0" fontId="2" fillId="0" borderId="0" xfId="0" applyFont="1" applyAlignment="1">
      <alignment wrapText="1"/>
    </xf>
    <xf numFmtId="186" fontId="8" fillId="0" borderId="0" xfId="20" applyNumberFormat="1" applyFont="1" applyFill="1" applyAlignment="1">
      <alignment horizontal="right"/>
    </xf>
    <xf numFmtId="10" fontId="0" fillId="0" borderId="0" xfId="17" applyNumberFormat="1" applyFont="1"/>
    <xf numFmtId="186" fontId="8" fillId="0" borderId="0" xfId="20" applyNumberFormat="1" applyFont="1" applyFill="1" applyAlignment="1">
      <alignment horizontal="right"/>
    </xf>
    <xf numFmtId="169" fontId="15" fillId="5" borderId="8" xfId="0" applyNumberFormat="1" applyFont="1" applyFill="1" applyBorder="1" applyAlignment="1">
      <alignment vertical="top" wrapText="1"/>
    </xf>
    <xf numFmtId="0" fontId="54" fillId="0" borderId="0" xfId="0" applyFont="1"/>
    <xf numFmtId="170" fontId="60" fillId="0" borderId="0" xfId="0" applyNumberFormat="1" applyFont="1" applyFill="1" applyBorder="1" applyAlignment="1">
      <alignment vertical="top" wrapText="1"/>
    </xf>
    <xf numFmtId="187" fontId="8" fillId="0" borderId="0" xfId="20" applyNumberFormat="1" applyFont="1" applyFill="1" applyAlignment="1">
      <alignment horizontal="right"/>
    </xf>
    <xf numFmtId="0" fontId="2" fillId="0" borderId="0" xfId="0" applyFont="1" applyAlignment="1">
      <alignment horizontal="right"/>
    </xf>
    <xf numFmtId="165" fontId="15" fillId="3" borderId="22" xfId="0" applyNumberFormat="1" applyFont="1" applyFill="1" applyBorder="1" applyAlignment="1">
      <alignment vertical="top" wrapText="1"/>
    </xf>
    <xf numFmtId="0" fontId="0" fillId="0" borderId="0" xfId="0" applyBorder="1"/>
    <xf numFmtId="0" fontId="4" fillId="0" borderId="1" xfId="0" applyFont="1" applyFill="1" applyBorder="1"/>
    <xf numFmtId="0" fontId="4" fillId="0" borderId="2" xfId="0" applyFont="1" applyFill="1" applyBorder="1"/>
    <xf numFmtId="0" fontId="4" fillId="20" borderId="2" xfId="0" applyFont="1" applyFill="1" applyBorder="1"/>
    <xf numFmtId="0" fontId="0" fillId="0" borderId="2" xfId="0" applyBorder="1"/>
    <xf numFmtId="0" fontId="2" fillId="16" borderId="2" xfId="0" applyFont="1" applyFill="1" applyBorder="1"/>
    <xf numFmtId="0" fontId="0" fillId="16" borderId="2" xfId="0" applyFill="1" applyBorder="1"/>
    <xf numFmtId="0" fontId="0" fillId="16" borderId="3" xfId="0" applyFill="1" applyBorder="1"/>
    <xf numFmtId="0" fontId="4" fillId="0" borderId="58" xfId="0" applyFont="1" applyFill="1" applyBorder="1"/>
    <xf numFmtId="0" fontId="4" fillId="0" borderId="5" xfId="0" applyFont="1" applyFill="1" applyBorder="1"/>
    <xf numFmtId="0" fontId="0" fillId="0" borderId="141" xfId="0" applyFill="1" applyBorder="1"/>
    <xf numFmtId="0" fontId="0" fillId="0" borderId="3" xfId="0" applyFill="1" applyBorder="1"/>
    <xf numFmtId="0" fontId="4" fillId="0" borderId="4" xfId="0" applyFont="1" applyFill="1" applyBorder="1"/>
    <xf numFmtId="0" fontId="12" fillId="0" borderId="4" xfId="0" applyFont="1" applyFill="1" applyBorder="1" applyAlignment="1">
      <alignment horizontal="left"/>
    </xf>
    <xf numFmtId="0" fontId="12" fillId="0" borderId="58" xfId="0" applyFont="1" applyFill="1" applyBorder="1"/>
    <xf numFmtId="167" fontId="0" fillId="0" borderId="59" xfId="0" applyNumberFormat="1" applyFill="1" applyBorder="1"/>
    <xf numFmtId="0" fontId="12" fillId="20" borderId="58" xfId="0" applyFont="1" applyFill="1" applyBorder="1"/>
    <xf numFmtId="0" fontId="0" fillId="0" borderId="58" xfId="0" applyBorder="1"/>
    <xf numFmtId="0" fontId="19" fillId="0" borderId="59" xfId="0" applyFont="1" applyFill="1" applyBorder="1"/>
    <xf numFmtId="39" fontId="4" fillId="6" borderId="7" xfId="0" applyNumberFormat="1" applyFont="1" applyFill="1" applyBorder="1"/>
    <xf numFmtId="0" fontId="2" fillId="0" borderId="0" xfId="0" applyFont="1" applyFill="1" applyBorder="1"/>
    <xf numFmtId="0" fontId="0" fillId="23" borderId="0" xfId="0" applyFill="1" applyBorder="1"/>
    <xf numFmtId="0" fontId="4" fillId="23"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4" fillId="0" borderId="4" xfId="0" applyFont="1" applyBorder="1"/>
    <xf numFmtId="0" fontId="4" fillId="0" borderId="0" xfId="0" applyFont="1" applyBorder="1"/>
    <xf numFmtId="0" fontId="4" fillId="0" borderId="5" xfId="0" applyFont="1" applyBorder="1"/>
    <xf numFmtId="0" fontId="0" fillId="24" borderId="137" xfId="0" applyFill="1" applyBorder="1"/>
    <xf numFmtId="0" fontId="0" fillId="24" borderId="169"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3" xfId="0" applyFill="1" applyBorder="1"/>
    <xf numFmtId="0" fontId="0" fillId="24" borderId="170" xfId="0" applyFill="1" applyBorder="1"/>
    <xf numFmtId="0" fontId="0" fillId="24" borderId="136"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Fill="1" applyBorder="1" applyProtection="1"/>
    <xf numFmtId="0" fontId="0" fillId="3" borderId="112" xfId="0" applyFill="1" applyBorder="1"/>
    <xf numFmtId="165" fontId="0" fillId="3" borderId="144" xfId="0" applyNumberFormat="1" applyFill="1" applyBorder="1"/>
    <xf numFmtId="0" fontId="0" fillId="3" borderId="115" xfId="0" applyFill="1" applyBorder="1"/>
    <xf numFmtId="165" fontId="0" fillId="3" borderId="139" xfId="0" applyNumberFormat="1" applyFill="1" applyBorder="1"/>
    <xf numFmtId="0" fontId="2" fillId="3" borderId="115" xfId="0" applyFont="1" applyFill="1" applyBorder="1"/>
    <xf numFmtId="165" fontId="2" fillId="3" borderId="139"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5" xfId="0" applyNumberFormat="1" applyFill="1" applyBorder="1"/>
    <xf numFmtId="0" fontId="6" fillId="0" borderId="141"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Fill="1" applyBorder="1" applyAlignment="1" applyProtection="1">
      <alignment horizontal="left" wrapText="1"/>
      <protection locked="0"/>
    </xf>
    <xf numFmtId="0" fontId="2" fillId="0" borderId="0" xfId="0" applyFont="1" applyFill="1" applyBorder="1" applyProtection="1">
      <protection locked="0"/>
    </xf>
    <xf numFmtId="0" fontId="2" fillId="0" borderId="0" xfId="0" applyFont="1" applyProtection="1">
      <protection locked="0"/>
    </xf>
    <xf numFmtId="0" fontId="2" fillId="6" borderId="8" xfId="0" applyFont="1" applyFill="1" applyBorder="1" applyProtection="1">
      <protection locked="0"/>
    </xf>
    <xf numFmtId="0" fontId="4" fillId="0" borderId="138" xfId="0" applyFont="1" applyBorder="1" applyProtection="1">
      <protection locked="0"/>
    </xf>
    <xf numFmtId="0" fontId="4" fillId="0" borderId="100" xfId="0" applyFont="1" applyBorder="1" applyAlignment="1" applyProtection="1">
      <alignment wrapText="1"/>
      <protection locked="0"/>
    </xf>
    <xf numFmtId="15" fontId="2"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0" fillId="19" borderId="8" xfId="17" applyNumberFormat="1" applyFont="1" applyFill="1" applyBorder="1"/>
    <xf numFmtId="9" fontId="2" fillId="25" borderId="8" xfId="17" applyNumberFormat="1" applyFont="1" applyFill="1" applyBorder="1"/>
    <xf numFmtId="183" fontId="2" fillId="25" borderId="8" xfId="1" applyNumberFormat="1" applyFont="1" applyFill="1" applyBorder="1"/>
    <xf numFmtId="0" fontId="61" fillId="20" borderId="0" xfId="0" applyFont="1" applyFill="1"/>
    <xf numFmtId="14" fontId="2" fillId="6" borderId="136" xfId="0" applyNumberFormat="1" applyFont="1" applyFill="1" applyBorder="1" applyAlignment="1" applyProtection="1">
      <alignment wrapText="1"/>
      <protection locked="0"/>
    </xf>
    <xf numFmtId="173" fontId="18" fillId="0" borderId="12" xfId="16" applyFont="1" applyBorder="1" applyAlignment="1" applyProtection="1"/>
    <xf numFmtId="173" fontId="2" fillId="3" borderId="18" xfId="16" applyFont="1" applyFill="1" applyBorder="1" applyProtection="1"/>
    <xf numFmtId="170" fontId="2" fillId="3" borderId="19" xfId="16" applyNumberFormat="1" applyFont="1" applyFill="1" applyBorder="1" applyProtection="1"/>
    <xf numFmtId="173" fontId="2" fillId="3" borderId="20" xfId="16" applyFont="1" applyFill="1" applyBorder="1" applyProtection="1"/>
    <xf numFmtId="173" fontId="2" fillId="3" borderId="21" xfId="16" applyFont="1" applyFill="1" applyBorder="1" applyProtection="1"/>
    <xf numFmtId="170" fontId="2" fillId="3" borderId="22" xfId="16" applyNumberFormat="1" applyFont="1" applyFill="1" applyBorder="1" applyProtection="1"/>
    <xf numFmtId="170" fontId="2" fillId="3" borderId="23" xfId="16" applyNumberFormat="1" applyFont="1" applyFill="1" applyBorder="1" applyProtection="1"/>
    <xf numFmtId="0" fontId="0" fillId="17" borderId="0" xfId="0" applyFill="1"/>
    <xf numFmtId="0" fontId="19" fillId="4" borderId="0" xfId="0" applyFont="1" applyFill="1" applyBorder="1" applyAlignment="1">
      <alignment horizontal="center" vertical="top" wrapText="1"/>
    </xf>
    <xf numFmtId="0" fontId="4" fillId="0" borderId="0" xfId="0" applyFont="1" applyAlignment="1" applyProtection="1">
      <alignment horizontal="left" vertical="center" wrapText="1"/>
      <protection locked="0"/>
    </xf>
    <xf numFmtId="0" fontId="2" fillId="0" borderId="0" xfId="0" applyFont="1" applyAlignment="1" applyProtection="1">
      <alignment wrapText="1"/>
      <protection locked="0"/>
    </xf>
    <xf numFmtId="14" fontId="4" fillId="6" borderId="138" xfId="0" applyNumberFormat="1" applyFont="1" applyFill="1" applyBorder="1" applyAlignment="1" applyProtection="1">
      <alignment wrapText="1"/>
      <protection locked="0"/>
    </xf>
    <xf numFmtId="14" fontId="2" fillId="6" borderId="100" xfId="0" applyNumberFormat="1" applyFont="1" applyFill="1" applyBorder="1" applyAlignment="1" applyProtection="1">
      <alignment wrapText="1"/>
      <protection locked="0"/>
    </xf>
    <xf numFmtId="14" fontId="2" fillId="6" borderId="138" xfId="0" applyNumberFormat="1" applyFont="1" applyFill="1" applyBorder="1" applyAlignment="1" applyProtection="1">
      <alignment wrapText="1"/>
      <protection locked="0"/>
    </xf>
    <xf numFmtId="14" fontId="2" fillId="6" borderId="143" xfId="0" applyNumberFormat="1" applyFont="1" applyFill="1" applyBorder="1" applyAlignment="1" applyProtection="1">
      <alignment wrapText="1"/>
      <protection locked="0"/>
    </xf>
    <xf numFmtId="14" fontId="2" fillId="6" borderId="101" xfId="0" applyNumberFormat="1" applyFont="1" applyFill="1" applyBorder="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40" fillId="20" borderId="0" xfId="16" applyFont="1" applyFill="1" applyAlignment="1">
      <alignment horizontal="left"/>
    </xf>
    <xf numFmtId="166" fontId="0" fillId="20" borderId="8" xfId="0" applyNumberFormat="1" applyFill="1" applyBorder="1"/>
    <xf numFmtId="166" fontId="2" fillId="20" borderId="8" xfId="0" applyNumberFormat="1" applyFont="1" applyFill="1" applyBorder="1"/>
    <xf numFmtId="166" fontId="2" fillId="22" borderId="8" xfId="0" applyNumberFormat="1" applyFont="1" applyFill="1" applyBorder="1"/>
    <xf numFmtId="0" fontId="64" fillId="6" borderId="67" xfId="7" applyFont="1" applyFill="1" applyBorder="1" applyAlignment="1">
      <alignment horizontal="center"/>
    </xf>
    <xf numFmtId="4" fontId="64" fillId="6" borderId="110" xfId="14" applyNumberFormat="1" applyFont="1" applyFill="1" applyBorder="1"/>
    <xf numFmtId="0" fontId="64" fillId="6" borderId="6" xfId="7" applyFont="1" applyFill="1" applyBorder="1" applyAlignment="1">
      <alignment horizontal="center"/>
    </xf>
    <xf numFmtId="4" fontId="65" fillId="6" borderId="7" xfId="14" applyNumberFormat="1" applyFont="1" applyFill="1" applyBorder="1"/>
    <xf numFmtId="0" fontId="5" fillId="0" borderId="0" xfId="5" applyAlignment="1" applyProtection="1"/>
    <xf numFmtId="39" fontId="66" fillId="6" borderId="7" xfId="9" applyNumberFormat="1" applyFont="1" applyFill="1" applyBorder="1"/>
    <xf numFmtId="39" fontId="66" fillId="6" borderId="110" xfId="9" applyNumberFormat="1" applyFont="1" applyFill="1" applyBorder="1"/>
    <xf numFmtId="0" fontId="64" fillId="6" borderId="6" xfId="0" applyFont="1" applyFill="1" applyBorder="1" applyAlignment="1">
      <alignment horizontal="center"/>
    </xf>
    <xf numFmtId="180" fontId="64" fillId="6" borderId="7" xfId="0" applyNumberFormat="1" applyFont="1" applyFill="1" applyBorder="1" applyAlignment="1">
      <alignment horizontal="center"/>
    </xf>
    <xf numFmtId="0" fontId="64" fillId="6" borderId="67" xfId="0" applyFont="1" applyFill="1" applyBorder="1" applyAlignment="1">
      <alignment horizontal="center"/>
    </xf>
    <xf numFmtId="180" fontId="64" fillId="6" borderId="110" xfId="0" applyNumberFormat="1" applyFont="1" applyFill="1" applyBorder="1" applyAlignment="1">
      <alignment horizontal="center"/>
    </xf>
    <xf numFmtId="0" fontId="5" fillId="0" borderId="0" xfId="5" applyFill="1" applyBorder="1" applyAlignment="1" applyProtection="1"/>
    <xf numFmtId="166" fontId="64" fillId="6" borderId="7" xfId="9" applyNumberFormat="1" applyFont="1" applyFill="1" applyBorder="1"/>
    <xf numFmtId="166" fontId="64"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22" borderId="8" xfId="0" applyFont="1" applyFill="1" applyBorder="1"/>
    <xf numFmtId="0" fontId="2" fillId="6" borderId="0" xfId="0" applyFont="1" applyFill="1" applyBorder="1" applyAlignment="1">
      <alignment vertical="top" wrapText="1"/>
    </xf>
    <xf numFmtId="0" fontId="2" fillId="6" borderId="135" xfId="0" applyFont="1" applyFill="1" applyBorder="1" applyAlignment="1" applyProtection="1">
      <alignment wrapText="1"/>
      <protection locked="0"/>
    </xf>
    <xf numFmtId="44" fontId="0" fillId="0" borderId="0" xfId="0" applyNumberFormat="1" applyProtection="1">
      <protection locked="0"/>
    </xf>
    <xf numFmtId="170" fontId="2" fillId="5" borderId="137"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64" fontId="2" fillId="5" borderId="62" xfId="0" applyNumberFormat="1"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Border="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Border="1" applyAlignment="1">
      <alignment vertical="top" wrapText="1"/>
    </xf>
    <xf numFmtId="0" fontId="2" fillId="4" borderId="0" xfId="0" applyFont="1" applyFill="1" applyAlignment="1">
      <alignment vertical="top" wrapText="1"/>
    </xf>
    <xf numFmtId="0" fontId="4" fillId="2" borderId="0" xfId="0" applyFont="1" applyFill="1" applyBorder="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0" xfId="0" applyFont="1" applyFill="1" applyBorder="1" applyAlignment="1">
      <alignment vertical="top" wrapText="1"/>
    </xf>
    <xf numFmtId="0" fontId="2" fillId="0" borderId="5" xfId="0" applyFont="1" applyFill="1" applyBorder="1" applyAlignment="1">
      <alignment vertical="top" wrapText="1"/>
    </xf>
    <xf numFmtId="0" fontId="2" fillId="0" borderId="0" xfId="0" applyFont="1" applyFill="1" applyBorder="1" applyAlignment="1">
      <alignment vertical="center" wrapText="1"/>
    </xf>
    <xf numFmtId="0" fontId="2" fillId="0" borderId="0" xfId="0" applyFont="1" applyFill="1" applyBorder="1" applyAlignment="1">
      <alignment horizontal="center" vertical="center" wrapText="1"/>
    </xf>
    <xf numFmtId="0" fontId="2" fillId="0" borderId="59" xfId="0" applyFont="1" applyFill="1" applyBorder="1"/>
    <xf numFmtId="0" fontId="2" fillId="0" borderId="87" xfId="0" applyFont="1" applyFill="1" applyBorder="1"/>
    <xf numFmtId="0" fontId="2" fillId="2" borderId="0" xfId="0" applyFont="1" applyFill="1" applyAlignment="1">
      <alignment vertical="top" wrapText="1"/>
    </xf>
    <xf numFmtId="0" fontId="2" fillId="2" borderId="0" xfId="0" applyFont="1" applyFill="1"/>
    <xf numFmtId="0" fontId="2" fillId="2" borderId="0" xfId="0" applyFont="1" applyFill="1" applyBorder="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2" fillId="2" borderId="0" xfId="0" applyFont="1" applyFill="1" applyBorder="1" applyAlignment="1">
      <alignment vertical="top" wrapText="1"/>
    </xf>
    <xf numFmtId="0" fontId="13" fillId="20" borderId="0" xfId="0" applyFont="1" applyFill="1" applyBorder="1" applyAlignment="1">
      <alignment vertical="top" wrapText="1"/>
    </xf>
    <xf numFmtId="170" fontId="2" fillId="3" borderId="57" xfId="0" applyNumberFormat="1" applyFont="1" applyFill="1" applyBorder="1" applyAlignment="1">
      <alignment vertical="top" wrapText="1"/>
    </xf>
    <xf numFmtId="0" fontId="2" fillId="0" borderId="5" xfId="0" applyFont="1" applyFill="1" applyBorder="1"/>
    <xf numFmtId="2" fontId="2" fillId="3" borderId="135"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0" fontId="2" fillId="0" borderId="0" xfId="0" applyFont="1" applyFill="1" applyAlignment="1">
      <alignment vertical="top" wrapText="1"/>
    </xf>
    <xf numFmtId="2" fontId="2" fillId="3" borderId="136"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Border="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NumberFormat="1"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Border="1" applyAlignment="1">
      <alignment vertical="top" wrapText="1"/>
    </xf>
    <xf numFmtId="0" fontId="2" fillId="3" borderId="135" xfId="0" applyNumberFormat="1" applyFont="1" applyFill="1" applyBorder="1" applyAlignment="1">
      <alignment vertical="top" wrapText="1"/>
    </xf>
    <xf numFmtId="0" fontId="2" fillId="3" borderId="62" xfId="0" applyNumberFormat="1"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Border="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Fill="1" applyBorder="1" applyAlignment="1">
      <alignment horizontal="center" vertical="top" wrapText="1"/>
    </xf>
    <xf numFmtId="0" fontId="2" fillId="0" borderId="59" xfId="0" applyFont="1" applyFill="1" applyBorder="1" applyAlignment="1">
      <alignment horizontal="center" vertical="top" wrapText="1"/>
    </xf>
    <xf numFmtId="170" fontId="2" fillId="2" borderId="0" xfId="0" applyNumberFormat="1" applyFont="1" applyFill="1" applyBorder="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Border="1" applyAlignment="1">
      <alignment horizontal="right" vertical="top" wrapText="1"/>
    </xf>
    <xf numFmtId="0" fontId="2" fillId="2" borderId="96" xfId="0" applyFont="1" applyFill="1" applyBorder="1"/>
    <xf numFmtId="164" fontId="2" fillId="5" borderId="137"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0" xfId="0" applyFont="1" applyBorder="1"/>
    <xf numFmtId="0" fontId="2" fillId="0" borderId="59" xfId="0" applyFont="1" applyBorder="1"/>
    <xf numFmtId="0" fontId="2" fillId="0" borderId="87"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Border="1" applyAlignment="1">
      <alignment horizontal="right" vertical="center" wrapText="1"/>
    </xf>
    <xf numFmtId="0" fontId="13" fillId="0" borderId="0" xfId="0" applyFont="1" applyAlignment="1">
      <alignment horizontal="right"/>
    </xf>
    <xf numFmtId="0" fontId="2" fillId="3" borderId="138" xfId="0" applyNumberFormat="1" applyFont="1" applyFill="1" applyBorder="1" applyAlignment="1" applyProtection="1">
      <alignment wrapText="1"/>
      <protection locked="0"/>
    </xf>
    <xf numFmtId="165" fontId="2" fillId="3" borderId="138" xfId="0" applyNumberFormat="1" applyFont="1" applyFill="1" applyBorder="1" applyAlignment="1" applyProtection="1">
      <alignment wrapText="1"/>
      <protection locked="0"/>
    </xf>
    <xf numFmtId="165" fontId="2" fillId="3" borderId="143" xfId="0" applyNumberFormat="1" applyFont="1" applyFill="1" applyBorder="1" applyAlignment="1" applyProtection="1">
      <alignment wrapText="1"/>
      <protection locked="0"/>
    </xf>
    <xf numFmtId="0" fontId="13" fillId="2" borderId="9" xfId="0" applyFont="1" applyFill="1" applyBorder="1" applyAlignment="1" applyProtection="1">
      <protection locked="0"/>
    </xf>
    <xf numFmtId="0" fontId="13" fillId="2" borderId="10" xfId="0" applyFont="1" applyFill="1" applyBorder="1" applyAlignment="1" applyProtection="1">
      <protection locked="0"/>
    </xf>
    <xf numFmtId="0" fontId="13" fillId="2" borderId="11" xfId="0" applyFont="1" applyFill="1" applyBorder="1" applyAlignment="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5" borderId="139" xfId="0" applyFont="1" applyFill="1" applyBorder="1" applyAlignment="1" applyProtection="1">
      <alignment wrapText="1"/>
      <protection locked="0"/>
    </xf>
    <xf numFmtId="0" fontId="2" fillId="5" borderId="143"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4"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2" fontId="2" fillId="5" borderId="8" xfId="0" applyNumberFormat="1" applyFont="1" applyFill="1" applyBorder="1" applyAlignment="1" applyProtection="1">
      <alignment wrapText="1"/>
      <protection locked="0"/>
    </xf>
    <xf numFmtId="0" fontId="67" fillId="0" borderId="174" xfId="0" applyFont="1" applyBorder="1" applyAlignment="1">
      <alignment horizontal="left" vertical="center" wrapText="1"/>
    </xf>
    <xf numFmtId="0" fontId="70" fillId="0" borderId="174" xfId="0" applyFont="1" applyBorder="1" applyAlignment="1">
      <alignment horizontal="left" vertical="center" wrapText="1"/>
    </xf>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0" fontId="2" fillId="20" borderId="0" xfId="0" applyFont="1" applyFill="1" applyAlignment="1">
      <alignment vertical="top" wrapText="1"/>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0" fontId="13" fillId="20" borderId="0" xfId="0" applyFont="1" applyFill="1" applyAlignment="1">
      <alignment vertical="top" wrapText="1"/>
    </xf>
    <xf numFmtId="10" fontId="15" fillId="5" borderId="8" xfId="0" applyNumberFormat="1" applyFont="1" applyFill="1" applyBorder="1" applyAlignment="1">
      <alignment vertical="top" wrapText="1"/>
    </xf>
    <xf numFmtId="0" fontId="15" fillId="20" borderId="115" xfId="0" applyFont="1" applyFill="1" applyBorder="1" applyAlignment="1">
      <alignment vertical="top" wrapText="1"/>
    </xf>
    <xf numFmtId="0" fontId="15" fillId="20" borderId="117" xfId="0" applyFont="1" applyFill="1" applyBorder="1" applyAlignment="1">
      <alignment vertical="top" wrapText="1"/>
    </xf>
    <xf numFmtId="2" fontId="15" fillId="3" borderId="136" xfId="0" applyNumberFormat="1" applyFont="1" applyFill="1" applyBorder="1" applyAlignment="1">
      <alignment vertical="top" wrapText="1"/>
    </xf>
    <xf numFmtId="0" fontId="2" fillId="6" borderId="4" xfId="0" quotePrefix="1" applyFont="1" applyFill="1" applyBorder="1" applyAlignment="1">
      <alignment vertical="top" wrapText="1"/>
    </xf>
    <xf numFmtId="14" fontId="5" fillId="6" borderId="100" xfId="5" applyNumberFormat="1" applyFill="1" applyBorder="1" applyAlignment="1" applyProtection="1">
      <alignment wrapText="1"/>
      <protection locked="0"/>
    </xf>
    <xf numFmtId="14" fontId="2" fillId="6" borderId="100" xfId="0" applyNumberFormat="1" applyFont="1" applyFill="1" applyBorder="1" applyAlignment="1" applyProtection="1">
      <alignment vertical="top" wrapText="1"/>
      <protection locked="0"/>
    </xf>
    <xf numFmtId="0" fontId="2" fillId="6" borderId="5" xfId="0" applyFont="1" applyFill="1" applyBorder="1" applyAlignment="1">
      <alignment horizontal="left" vertical="top" wrapText="1"/>
    </xf>
    <xf numFmtId="0" fontId="4" fillId="6" borderId="0" xfId="0" applyFont="1" applyFill="1" applyBorder="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Border="1" applyAlignment="1">
      <alignment horizontal="left" vertical="top" wrapText="1"/>
    </xf>
    <xf numFmtId="0" fontId="2" fillId="6" borderId="0" xfId="0" quotePrefix="1" applyFont="1" applyFill="1" applyBorder="1" applyAlignment="1">
      <alignment horizontal="lef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172" fontId="15" fillId="5" borderId="8" xfId="1" applyNumberFormat="1" applyFont="1" applyFill="1" applyBorder="1" applyAlignment="1">
      <alignment vertical="top" wrapText="1"/>
    </xf>
    <xf numFmtId="0" fontId="26" fillId="2" borderId="4" xfId="0" applyFont="1" applyFill="1" applyBorder="1" applyAlignment="1">
      <alignment horizontal="center" vertical="center" wrapText="1"/>
    </xf>
    <xf numFmtId="0" fontId="72"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Border="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7" fontId="2" fillId="0" borderId="141" xfId="0" applyNumberFormat="1" applyFont="1" applyFill="1" applyBorder="1" applyAlignment="1">
      <alignment vertical="top" wrapText="1"/>
    </xf>
    <xf numFmtId="0" fontId="6" fillId="0" borderId="58" xfId="0" applyFont="1" applyFill="1" applyBorder="1"/>
    <xf numFmtId="0" fontId="2" fillId="5" borderId="137" xfId="0" applyNumberFormat="1"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Fill="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4" fontId="2" fillId="2" borderId="0" xfId="0" applyNumberFormat="1" applyFont="1" applyFill="1" applyBorder="1" applyAlignment="1">
      <alignment horizontal="center" vertical="top" wrapText="1"/>
    </xf>
    <xf numFmtId="0" fontId="2" fillId="2" borderId="4" xfId="0" applyFont="1" applyFill="1" applyBorder="1" applyAlignment="1">
      <alignment horizontal="left" vertical="top" wrapText="1"/>
    </xf>
    <xf numFmtId="0" fontId="73" fillId="20" borderId="8" xfId="0" applyFont="1" applyFill="1" applyBorder="1" applyAlignment="1">
      <alignment vertical="center" wrapText="1"/>
    </xf>
    <xf numFmtId="44" fontId="73" fillId="20" borderId="8" xfId="3" applyFont="1" applyFill="1" applyBorder="1" applyAlignment="1">
      <alignment vertical="center" wrapText="1"/>
    </xf>
    <xf numFmtId="0" fontId="2" fillId="5" borderId="137" xfId="0" applyFont="1" applyFill="1" applyBorder="1" applyAlignment="1" applyProtection="1">
      <alignment horizontal="left" wrapText="1"/>
      <protection locked="0"/>
    </xf>
    <xf numFmtId="178" fontId="2" fillId="5" borderId="99" xfId="3" applyNumberFormat="1" applyFont="1" applyFill="1" applyBorder="1" applyAlignment="1" applyProtection="1">
      <alignment wrapText="1"/>
      <protection locked="0"/>
    </xf>
    <xf numFmtId="2" fontId="2" fillId="5" borderId="144" xfId="0" applyNumberFormat="1" applyFont="1" applyFill="1" applyBorder="1" applyAlignment="1" applyProtection="1">
      <alignment wrapText="1"/>
      <protection locked="0"/>
    </xf>
    <xf numFmtId="172" fontId="2" fillId="5" borderId="146" xfId="1" applyNumberFormat="1" applyFont="1" applyFill="1" applyBorder="1" applyAlignment="1" applyProtection="1">
      <alignment wrapText="1"/>
      <protection locked="0"/>
    </xf>
    <xf numFmtId="0" fontId="2" fillId="5" borderId="105" xfId="0" applyNumberFormat="1" applyFont="1" applyFill="1" applyBorder="1" applyAlignment="1" applyProtection="1">
      <alignment wrapText="1"/>
      <protection locked="0"/>
    </xf>
    <xf numFmtId="2" fontId="2" fillId="5" borderId="135"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43" fontId="2" fillId="20" borderId="0" xfId="0" applyNumberFormat="1" applyFont="1" applyFill="1" applyAlignment="1">
      <alignment vertical="top" wrapText="1"/>
    </xf>
    <xf numFmtId="0" fontId="2" fillId="20" borderId="58" xfId="0" applyFont="1" applyFill="1" applyBorder="1" applyAlignment="1">
      <alignment vertical="top" wrapText="1"/>
    </xf>
    <xf numFmtId="172"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3" fontId="2" fillId="6" borderId="16" xfId="0" applyNumberFormat="1" applyFont="1" applyFill="1" applyBorder="1" applyAlignment="1" applyProtection="1">
      <alignment horizontal="left" wrapText="1"/>
      <protection locked="0"/>
    </xf>
    <xf numFmtId="3" fontId="2" fillId="5" borderId="57" xfId="0" applyNumberFormat="1" applyFont="1" applyFill="1" applyBorder="1" applyAlignment="1">
      <alignment vertical="top" wrapText="1"/>
    </xf>
    <xf numFmtId="172" fontId="2" fillId="22" borderId="8" xfId="1" applyNumberFormat="1" applyFont="1" applyFill="1" applyBorder="1"/>
    <xf numFmtId="0" fontId="74" fillId="26" borderId="172" xfId="0" applyFont="1" applyFill="1" applyBorder="1" applyAlignment="1">
      <alignment horizontal="left" vertical="center" wrapText="1"/>
    </xf>
    <xf numFmtId="0" fontId="74" fillId="26" borderId="173" xfId="0" applyFont="1" applyFill="1" applyBorder="1" applyAlignment="1">
      <alignment horizontal="center" vertical="center" wrapText="1"/>
    </xf>
    <xf numFmtId="0" fontId="74" fillId="26" borderId="172" xfId="0" applyFont="1" applyFill="1" applyBorder="1" applyAlignment="1">
      <alignment horizontal="center" vertical="center" wrapText="1"/>
    </xf>
    <xf numFmtId="0" fontId="0" fillId="22" borderId="8" xfId="0" applyFill="1" applyBorder="1"/>
    <xf numFmtId="0" fontId="2" fillId="0" borderId="8" xfId="0" applyFont="1" applyBorder="1"/>
    <xf numFmtId="0" fontId="0" fillId="28" borderId="8" xfId="0" applyFill="1" applyBorder="1"/>
    <xf numFmtId="167" fontId="4" fillId="3" borderId="0" xfId="0" applyNumberFormat="1" applyFont="1" applyFill="1" applyBorder="1" applyAlignment="1">
      <alignment horizontal="center" vertical="top" wrapText="1"/>
    </xf>
    <xf numFmtId="2" fontId="4" fillId="3" borderId="0" xfId="0" applyNumberFormat="1" applyFont="1" applyFill="1" applyBorder="1" applyAlignment="1">
      <alignment horizontal="center" vertical="top" wrapText="1"/>
    </xf>
    <xf numFmtId="0" fontId="2" fillId="5" borderId="138" xfId="1" applyNumberFormat="1" applyFont="1" applyFill="1" applyBorder="1" applyAlignment="1">
      <alignment vertical="top" wrapText="1"/>
    </xf>
    <xf numFmtId="170" fontId="0" fillId="5" borderId="137" xfId="0" applyNumberFormat="1" applyFill="1" applyBorder="1" applyAlignment="1">
      <alignment vertical="top" wrapText="1"/>
    </xf>
    <xf numFmtId="41" fontId="2" fillId="3" borderId="69" xfId="0" applyNumberFormat="1" applyFont="1" applyFill="1" applyBorder="1" applyAlignment="1" applyProtection="1">
      <alignment wrapText="1"/>
      <protection locked="0"/>
    </xf>
    <xf numFmtId="170" fontId="77" fillId="5" borderId="137" xfId="0" applyNumberFormat="1" applyFont="1" applyFill="1" applyBorder="1" applyAlignment="1">
      <alignment vertical="top" wrapText="1"/>
    </xf>
    <xf numFmtId="170" fontId="77" fillId="5" borderId="138" xfId="0" applyNumberFormat="1" applyFont="1" applyFill="1" applyBorder="1" applyAlignment="1">
      <alignment vertical="top" wrapText="1"/>
    </xf>
    <xf numFmtId="170" fontId="77" fillId="5" borderId="143" xfId="0" applyNumberFormat="1" applyFont="1" applyFill="1" applyBorder="1" applyAlignment="1">
      <alignment vertical="top" wrapText="1"/>
    </xf>
    <xf numFmtId="7" fontId="78" fillId="20" borderId="57" xfId="0" applyNumberFormat="1" applyFont="1" applyFill="1" applyBorder="1" applyAlignment="1">
      <alignment vertical="top" wrapText="1"/>
    </xf>
    <xf numFmtId="0" fontId="78" fillId="20" borderId="0" xfId="0" applyFont="1" applyFill="1" applyAlignment="1">
      <alignment vertical="top" wrapText="1"/>
    </xf>
    <xf numFmtId="0" fontId="78" fillId="20" borderId="0" xfId="0" applyFont="1" applyFill="1" applyBorder="1" applyAlignment="1">
      <alignment vertical="top" wrapText="1"/>
    </xf>
    <xf numFmtId="0" fontId="78" fillId="20" borderId="0" xfId="0" applyFont="1" applyFill="1"/>
    <xf numFmtId="0" fontId="78" fillId="20" borderId="5" xfId="0" applyFont="1" applyFill="1" applyBorder="1" applyAlignment="1">
      <alignment vertical="top" wrapText="1"/>
    </xf>
    <xf numFmtId="0" fontId="78" fillId="20" borderId="0" xfId="0" applyFont="1" applyFill="1" applyAlignment="1">
      <alignment vertical="top"/>
    </xf>
    <xf numFmtId="0" fontId="63" fillId="26" borderId="172" xfId="0" applyFont="1" applyFill="1" applyBorder="1" applyAlignment="1">
      <alignment horizontal="center" vertical="center" wrapText="1"/>
    </xf>
    <xf numFmtId="0" fontId="67" fillId="0" borderId="174" xfId="0" applyFont="1" applyBorder="1" applyAlignment="1">
      <alignment horizontal="right" vertical="center" wrapText="1"/>
    </xf>
    <xf numFmtId="6" fontId="67" fillId="0" borderId="175" xfId="0" applyNumberFormat="1" applyFont="1" applyBorder="1" applyAlignment="1">
      <alignment horizontal="right" vertical="center" wrapText="1"/>
    </xf>
    <xf numFmtId="0" fontId="70" fillId="0" borderId="174" xfId="0" applyFont="1" applyBorder="1" applyAlignment="1">
      <alignment horizontal="right" vertical="center" wrapText="1"/>
    </xf>
    <xf numFmtId="6" fontId="70" fillId="0" borderId="175" xfId="0" applyNumberFormat="1" applyFont="1" applyBorder="1" applyAlignment="1">
      <alignment horizontal="right" vertical="center" wrapText="1"/>
    </xf>
    <xf numFmtId="0" fontId="67" fillId="0" borderId="175" xfId="0" applyFont="1" applyBorder="1" applyAlignment="1">
      <alignment horizontal="right" vertical="center" wrapText="1"/>
    </xf>
    <xf numFmtId="0" fontId="5" fillId="6" borderId="8" xfId="5" applyFill="1" applyBorder="1" applyAlignment="1" applyProtection="1">
      <alignment wrapText="1"/>
      <protection locked="0"/>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3" fillId="26" borderId="173" xfId="0" applyFont="1" applyFill="1" applyBorder="1" applyAlignment="1">
      <alignment horizontal="center" vertical="center"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0" fontId="0" fillId="20" borderId="0" xfId="0" applyFill="1" applyAlignment="1">
      <alignment vertical="top" wrapText="1"/>
    </xf>
    <xf numFmtId="10" fontId="0" fillId="20" borderId="0" xfId="17" applyNumberFormat="1" applyFont="1" applyFill="1" applyAlignment="1">
      <alignment vertical="top" wrapText="1"/>
    </xf>
    <xf numFmtId="3" fontId="2" fillId="3" borderId="171" xfId="0" applyNumberFormat="1" applyFont="1" applyFill="1" applyBorder="1" applyAlignment="1">
      <alignment vertical="top" wrapText="1"/>
    </xf>
    <xf numFmtId="0" fontId="0" fillId="20" borderId="89" xfId="0" applyFill="1" applyBorder="1" applyAlignment="1">
      <alignment vertical="top" wrapText="1"/>
    </xf>
    <xf numFmtId="0" fontId="2" fillId="20" borderId="57" xfId="0" applyFont="1" applyFill="1" applyBorder="1" applyAlignment="1">
      <alignment vertical="top" wrapText="1"/>
    </xf>
    <xf numFmtId="0" fontId="2" fillId="20" borderId="88" xfId="0" applyFont="1" applyFill="1" applyBorder="1" applyAlignment="1">
      <alignment vertical="top" wrapText="1"/>
    </xf>
    <xf numFmtId="3" fontId="2" fillId="20" borderId="112" xfId="0" applyNumberFormat="1" applyFont="1" applyFill="1" applyBorder="1" applyAlignment="1">
      <alignment vertical="top" wrapText="1"/>
    </xf>
    <xf numFmtId="3" fontId="2" fillId="20" borderId="117" xfId="0" applyNumberFormat="1" applyFont="1" applyFill="1" applyBorder="1" applyAlignment="1">
      <alignment vertical="top" wrapText="1"/>
    </xf>
    <xf numFmtId="11" fontId="2" fillId="3" borderId="113" xfId="0" applyNumberFormat="1" applyFont="1" applyFill="1" applyBorder="1" applyAlignment="1">
      <alignment vertical="top" wrapText="1"/>
    </xf>
    <xf numFmtId="11" fontId="2" fillId="3" borderId="114" xfId="0" applyNumberFormat="1" applyFont="1" applyFill="1" applyBorder="1" applyAlignment="1">
      <alignment vertical="top" wrapText="1"/>
    </xf>
    <xf numFmtId="11" fontId="2" fillId="3" borderId="118" xfId="0" applyNumberFormat="1" applyFont="1" applyFill="1" applyBorder="1" applyAlignment="1">
      <alignment vertical="top" wrapText="1"/>
    </xf>
    <xf numFmtId="11" fontId="2" fillId="3" borderId="119" xfId="0" applyNumberFormat="1" applyFont="1" applyFill="1" applyBorder="1" applyAlignment="1">
      <alignment vertical="top" wrapText="1"/>
    </xf>
    <xf numFmtId="11" fontId="2" fillId="3" borderId="79" xfId="0" applyNumberFormat="1" applyFont="1" applyFill="1" applyBorder="1" applyAlignment="1">
      <alignment vertical="top" wrapText="1"/>
    </xf>
    <xf numFmtId="11" fontId="2" fillId="3" borderId="64" xfId="0" applyNumberFormat="1" applyFont="1" applyFill="1" applyBorder="1" applyAlignment="1">
      <alignment vertical="top" wrapText="1"/>
    </xf>
    <xf numFmtId="4" fontId="2" fillId="3" borderId="98" xfId="0" applyNumberFormat="1" applyFont="1" applyFill="1" applyBorder="1" applyAlignment="1">
      <alignment vertical="top" wrapText="1"/>
    </xf>
    <xf numFmtId="4" fontId="2" fillId="3" borderId="171" xfId="0" applyNumberFormat="1" applyFont="1" applyFill="1" applyBorder="1" applyAlignment="1">
      <alignment vertical="top" wrapText="1"/>
    </xf>
    <xf numFmtId="190" fontId="2" fillId="3" borderId="98" xfId="3" applyNumberFormat="1" applyFont="1" applyFill="1" applyBorder="1" applyAlignment="1">
      <alignment vertical="top" wrapText="1"/>
    </xf>
    <xf numFmtId="190" fontId="2" fillId="3" borderId="171" xfId="3" applyNumberFormat="1" applyFont="1" applyFill="1" applyBorder="1" applyAlignment="1">
      <alignment vertical="top" wrapText="1"/>
    </xf>
    <xf numFmtId="178" fontId="2" fillId="3" borderId="98" xfId="3" applyNumberFormat="1" applyFont="1" applyFill="1" applyBorder="1" applyAlignment="1">
      <alignment vertical="top" wrapText="1"/>
    </xf>
    <xf numFmtId="178" fontId="2" fillId="3" borderId="171" xfId="3" applyNumberFormat="1" applyFont="1" applyFill="1" applyBorder="1" applyAlignment="1">
      <alignment vertical="top" wrapText="1"/>
    </xf>
    <xf numFmtId="0" fontId="5" fillId="20" borderId="0" xfId="5" applyFill="1" applyAlignment="1" applyProtection="1">
      <alignment vertical="top"/>
    </xf>
    <xf numFmtId="0" fontId="2" fillId="20" borderId="0" xfId="0" applyFont="1" applyFill="1" applyAlignment="1">
      <alignment horizontal="right" vertical="top" wrapText="1"/>
    </xf>
    <xf numFmtId="173" fontId="6" fillId="2" borderId="115" xfId="16" applyFont="1" applyFill="1" applyBorder="1" applyAlignment="1" applyProtection="1">
      <alignment vertical="top" wrapText="1"/>
    </xf>
    <xf numFmtId="0" fontId="6" fillId="2" borderId="116" xfId="0" applyFont="1" applyFill="1" applyBorder="1" applyAlignment="1">
      <alignment vertical="top" wrapText="1"/>
    </xf>
    <xf numFmtId="173" fontId="15" fillId="2" borderId="115" xfId="16" applyFont="1" applyFill="1" applyBorder="1" applyAlignment="1" applyProtection="1">
      <alignment horizontal="right"/>
    </xf>
    <xf numFmtId="44" fontId="12" fillId="3" borderId="8" xfId="3" applyFont="1" applyFill="1" applyBorder="1" applyProtection="1"/>
    <xf numFmtId="44" fontId="12" fillId="3" borderId="100" xfId="3" applyFont="1" applyFill="1" applyBorder="1" applyProtection="1"/>
    <xf numFmtId="173" fontId="6" fillId="2" borderId="58" xfId="16" applyFont="1" applyFill="1" applyBorder="1" applyProtection="1"/>
    <xf numFmtId="44" fontId="12" fillId="3" borderId="180" xfId="3" applyFont="1" applyFill="1" applyBorder="1" applyProtection="1"/>
    <xf numFmtId="44" fontId="12" fillId="3" borderId="178" xfId="3" applyFont="1" applyFill="1" applyBorder="1" applyProtection="1"/>
    <xf numFmtId="173" fontId="15" fillId="2" borderId="181" xfId="16" applyFont="1" applyFill="1" applyBorder="1" applyAlignment="1" applyProtection="1">
      <alignment horizontal="right"/>
    </xf>
    <xf numFmtId="44" fontId="12" fillId="3" borderId="168" xfId="3" applyFont="1" applyFill="1" applyBorder="1" applyProtection="1"/>
    <xf numFmtId="44" fontId="12" fillId="3" borderId="177" xfId="3" applyFont="1" applyFill="1" applyBorder="1" applyProtection="1"/>
    <xf numFmtId="0" fontId="2" fillId="3" borderId="98" xfId="0" applyNumberFormat="1" applyFont="1" applyFill="1" applyBorder="1" applyAlignment="1">
      <alignment vertical="top" wrapText="1"/>
    </xf>
    <xf numFmtId="0" fontId="2" fillId="20" borderId="118" xfId="0" applyFont="1" applyFill="1" applyBorder="1" applyAlignment="1">
      <alignment vertical="top" wrapText="1"/>
    </xf>
    <xf numFmtId="0" fontId="2" fillId="20" borderId="119" xfId="0" applyFont="1" applyFill="1" applyBorder="1" applyAlignment="1">
      <alignment vertical="top" wrapText="1"/>
    </xf>
    <xf numFmtId="0" fontId="2" fillId="3" borderId="113" xfId="0" applyNumberFormat="1" applyFont="1" applyFill="1" applyBorder="1" applyAlignment="1">
      <alignment vertical="top" wrapText="1"/>
    </xf>
    <xf numFmtId="178" fontId="2" fillId="3" borderId="113" xfId="3" applyNumberFormat="1" applyFont="1" applyFill="1" applyBorder="1" applyAlignment="1">
      <alignment vertical="top" wrapText="1"/>
    </xf>
    <xf numFmtId="190" fontId="2" fillId="3" borderId="113" xfId="3" applyNumberFormat="1" applyFont="1" applyFill="1" applyBorder="1" applyAlignment="1">
      <alignment vertical="top" wrapText="1"/>
    </xf>
    <xf numFmtId="44" fontId="2" fillId="3" borderId="114" xfId="3" applyFont="1" applyFill="1" applyBorder="1" applyAlignment="1">
      <alignment vertical="top" wrapText="1"/>
    </xf>
    <xf numFmtId="0" fontId="2" fillId="20" borderId="115" xfId="0" applyFont="1" applyFill="1" applyBorder="1" applyAlignment="1">
      <alignment vertical="top" wrapText="1"/>
    </xf>
    <xf numFmtId="44" fontId="2" fillId="3" borderId="116" xfId="3" applyFont="1" applyFill="1" applyBorder="1" applyAlignment="1">
      <alignment vertical="top" wrapText="1"/>
    </xf>
    <xf numFmtId="0" fontId="2" fillId="20" borderId="181" xfId="0" applyFont="1" applyFill="1" applyBorder="1" applyAlignment="1">
      <alignment vertical="top" wrapText="1"/>
    </xf>
    <xf numFmtId="44" fontId="2" fillId="3" borderId="182" xfId="3" applyFont="1" applyFill="1" applyBorder="1" applyAlignment="1">
      <alignment vertical="top" wrapText="1"/>
    </xf>
    <xf numFmtId="3" fontId="2" fillId="3" borderId="59" xfId="0" applyNumberFormat="1" applyFont="1" applyFill="1" applyBorder="1" applyAlignment="1">
      <alignment vertical="top" wrapText="1"/>
    </xf>
    <xf numFmtId="178" fontId="2" fillId="3" borderId="59" xfId="3" applyNumberFormat="1" applyFont="1" applyFill="1" applyBorder="1" applyAlignment="1">
      <alignment vertical="top" wrapText="1"/>
    </xf>
    <xf numFmtId="190" fontId="2" fillId="3" borderId="59" xfId="3" applyNumberFormat="1" applyFont="1" applyFill="1" applyBorder="1" applyAlignment="1">
      <alignment vertical="top" wrapText="1"/>
    </xf>
    <xf numFmtId="44" fontId="2" fillId="3" borderId="87" xfId="3" applyFont="1" applyFill="1" applyBorder="1" applyAlignment="1">
      <alignment vertical="top" wrapText="1"/>
    </xf>
    <xf numFmtId="0" fontId="2" fillId="20" borderId="146" xfId="0" applyFont="1" applyFill="1" applyBorder="1" applyAlignment="1">
      <alignment vertical="top" wrapText="1"/>
    </xf>
    <xf numFmtId="0" fontId="2" fillId="20" borderId="147" xfId="0" applyFont="1" applyFill="1" applyBorder="1" applyAlignment="1">
      <alignment vertical="top" wrapText="1"/>
    </xf>
    <xf numFmtId="0" fontId="2" fillId="20" borderId="151" xfId="0" applyFont="1" applyFill="1" applyBorder="1" applyAlignment="1">
      <alignment vertical="top" wrapText="1"/>
    </xf>
    <xf numFmtId="0" fontId="4" fillId="20" borderId="57" xfId="0" applyFont="1" applyFill="1" applyBorder="1" applyAlignment="1">
      <alignment vertical="top" wrapText="1"/>
    </xf>
    <xf numFmtId="4" fontId="2" fillId="3" borderId="113" xfId="0" applyNumberFormat="1" applyFont="1" applyFill="1" applyBorder="1" applyAlignment="1">
      <alignment vertical="top" wrapText="1"/>
    </xf>
    <xf numFmtId="0" fontId="2" fillId="29" borderId="112" xfId="0" applyFont="1" applyFill="1" applyBorder="1" applyAlignment="1">
      <alignment vertical="top" wrapText="1"/>
    </xf>
    <xf numFmtId="165" fontId="2" fillId="22" borderId="8" xfId="0" applyNumberFormat="1" applyFont="1" applyFill="1" applyBorder="1"/>
    <xf numFmtId="172" fontId="2" fillId="20" borderId="0" xfId="1" applyNumberFormat="1" applyFont="1" applyFill="1"/>
    <xf numFmtId="164" fontId="2" fillId="22" borderId="8" xfId="17" applyNumberFormat="1" applyFont="1" applyFill="1" applyBorder="1"/>
    <xf numFmtId="189" fontId="2" fillId="22" borderId="8" xfId="1" applyNumberFormat="1" applyFont="1" applyFill="1" applyBorder="1"/>
    <xf numFmtId="0" fontId="80" fillId="0" borderId="174" xfId="0" applyFont="1" applyBorder="1" applyAlignment="1">
      <alignment horizontal="left" vertical="center" wrapText="1"/>
    </xf>
    <xf numFmtId="0" fontId="80" fillId="0" borderId="175" xfId="0" applyFont="1" applyBorder="1" applyAlignment="1">
      <alignment horizontal="center" vertical="center" wrapText="1"/>
    </xf>
    <xf numFmtId="0" fontId="80" fillId="0" borderId="174" xfId="0" applyFont="1" applyBorder="1" applyAlignment="1">
      <alignment horizontal="center" vertical="center" wrapText="1"/>
    </xf>
    <xf numFmtId="0" fontId="80" fillId="0" borderId="174" xfId="0" applyFont="1" applyBorder="1" applyAlignment="1">
      <alignment horizontal="left" vertical="center" wrapText="1" indent="1"/>
    </xf>
    <xf numFmtId="0" fontId="82" fillId="0" borderId="175" xfId="0" applyFont="1" applyBorder="1" applyAlignment="1">
      <alignment horizontal="center" vertical="center" wrapText="1"/>
    </xf>
    <xf numFmtId="0" fontId="81" fillId="0" borderId="174" xfId="0" applyFont="1" applyBorder="1" applyAlignment="1">
      <alignment horizontal="left" vertical="center" wrapText="1" indent="1"/>
    </xf>
    <xf numFmtId="3" fontId="80" fillId="0" borderId="175" xfId="0" applyNumberFormat="1" applyFont="1" applyBorder="1" applyAlignment="1">
      <alignment horizontal="center" vertical="center" wrapText="1"/>
    </xf>
    <xf numFmtId="3" fontId="80" fillId="0" borderId="174" xfId="0" applyNumberFormat="1" applyFont="1" applyBorder="1" applyAlignment="1">
      <alignment horizontal="center" vertical="center" wrapText="1"/>
    </xf>
    <xf numFmtId="4" fontId="80" fillId="0" borderId="175" xfId="0" applyNumberFormat="1" applyFont="1" applyBorder="1" applyAlignment="1">
      <alignment horizontal="center" vertical="center" wrapText="1"/>
    </xf>
    <xf numFmtId="4" fontId="80" fillId="0" borderId="174" xfId="0" applyNumberFormat="1" applyFont="1" applyBorder="1" applyAlignment="1">
      <alignment horizontal="center" vertical="center" wrapText="1"/>
    </xf>
    <xf numFmtId="3" fontId="67" fillId="0" borderId="175" xfId="0" applyNumberFormat="1" applyFont="1" applyBorder="1" applyAlignment="1">
      <alignment horizontal="center" vertical="center" wrapText="1"/>
    </xf>
    <xf numFmtId="3" fontId="0" fillId="22" borderId="8" xfId="0" applyNumberFormat="1" applyFill="1" applyBorder="1"/>
    <xf numFmtId="0" fontId="58" fillId="0" borderId="174" xfId="0" applyFont="1" applyBorder="1" applyAlignment="1">
      <alignment horizontal="left" vertical="center" wrapText="1"/>
    </xf>
    <xf numFmtId="0" fontId="67" fillId="0" borderId="175" xfId="0" applyFont="1" applyBorder="1" applyAlignment="1">
      <alignment horizontal="center" vertical="center" wrapText="1"/>
    </xf>
    <xf numFmtId="0" fontId="14"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63" fillId="27" borderId="176" xfId="0" applyFont="1" applyFill="1" applyBorder="1" applyAlignment="1">
      <alignment horizontal="center" vertical="center" wrapText="1"/>
    </xf>
    <xf numFmtId="0" fontId="63" fillId="27" borderId="179" xfId="0" applyFont="1" applyFill="1" applyBorder="1" applyAlignment="1">
      <alignment horizontal="center" vertical="center" wrapText="1"/>
    </xf>
    <xf numFmtId="0" fontId="63" fillId="27" borderId="173" xfId="0" applyFont="1" applyFill="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3" fillId="26" borderId="176" xfId="0" applyFont="1" applyFill="1" applyBorder="1" applyAlignment="1">
      <alignment horizontal="center" vertical="center" wrapText="1"/>
    </xf>
    <xf numFmtId="0" fontId="63" fillId="26" borderId="173" xfId="0" applyFont="1" applyFill="1" applyBorder="1" applyAlignment="1">
      <alignment horizontal="center" vertical="center" wrapText="1"/>
    </xf>
    <xf numFmtId="0" fontId="2" fillId="6" borderId="0" xfId="0" applyFont="1" applyFill="1" applyBorder="1" applyAlignment="1">
      <alignment horizontal="left" vertical="top" wrapText="1"/>
    </xf>
    <xf numFmtId="0" fontId="2" fillId="6" borderId="5"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0" borderId="0" xfId="0" applyFont="1" applyFill="1" applyBorder="1" applyAlignment="1">
      <alignment horizontal="left" vertical="center" wrapText="1"/>
    </xf>
    <xf numFmtId="0" fontId="2" fillId="6" borderId="0" xfId="0" quotePrefix="1" applyFont="1" applyFill="1" applyBorder="1" applyAlignment="1">
      <alignment horizontal="left" vertical="top" wrapText="1"/>
    </xf>
    <xf numFmtId="0" fontId="2" fillId="6" borderId="153" xfId="0" applyFont="1" applyFill="1" applyBorder="1" applyAlignment="1">
      <alignment horizontal="left" vertical="top" wrapText="1"/>
    </xf>
    <xf numFmtId="0" fontId="2" fillId="6" borderId="154" xfId="0" applyFont="1" applyFill="1" applyBorder="1" applyAlignment="1">
      <alignment horizontal="left" vertical="top" wrapText="1"/>
    </xf>
    <xf numFmtId="0" fontId="32" fillId="2" borderId="141" xfId="0" applyFont="1" applyFill="1" applyBorder="1" applyAlignment="1">
      <alignment horizontal="center" vertical="top" wrapText="1"/>
    </xf>
    <xf numFmtId="0" fontId="32" fillId="2" borderId="79" xfId="0" applyFont="1" applyFill="1" applyBorder="1" applyAlignment="1">
      <alignment horizontal="center" vertical="top" wrapText="1"/>
    </xf>
    <xf numFmtId="0" fontId="32" fillId="2" borderId="64" xfId="0" applyFont="1" applyFill="1" applyBorder="1" applyAlignment="1">
      <alignment horizontal="center" vertical="top" wrapText="1"/>
    </xf>
    <xf numFmtId="0" fontId="13" fillId="5" borderId="141"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Border="1" applyAlignment="1">
      <alignment horizontal="right" vertical="center" wrapText="1"/>
    </xf>
    <xf numFmtId="0" fontId="2" fillId="4" borderId="4"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Border="1" applyAlignment="1">
      <alignment horizontal="left" vertical="top" wrapText="1"/>
    </xf>
    <xf numFmtId="0" fontId="4" fillId="6" borderId="5" xfId="0" applyFont="1" applyFill="1" applyBorder="1" applyAlignment="1">
      <alignment horizontal="left" vertical="top" wrapText="1"/>
    </xf>
    <xf numFmtId="0" fontId="2" fillId="6" borderId="0" xfId="0" applyFont="1" applyFill="1" applyAlignment="1">
      <alignment horizontal="left" vertical="top" wrapText="1"/>
    </xf>
    <xf numFmtId="0" fontId="4" fillId="6" borderId="0" xfId="0" applyFont="1" applyFill="1" applyBorder="1" applyAlignment="1">
      <alignment horizontal="right" vertical="top" wrapText="1"/>
    </xf>
    <xf numFmtId="0" fontId="4" fillId="6" borderId="5" xfId="0" applyFont="1" applyFill="1" applyBorder="1" applyAlignment="1">
      <alignment horizontal="right" vertical="top" wrapText="1"/>
    </xf>
    <xf numFmtId="0" fontId="2" fillId="6" borderId="4" xfId="0" applyFont="1" applyFill="1" applyBorder="1" applyAlignment="1">
      <alignment horizontal="left" vertical="top" wrapText="1"/>
    </xf>
    <xf numFmtId="0" fontId="2" fillId="6" borderId="0" xfId="0" quotePrefix="1"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2" fillId="6" borderId="44" xfId="0" applyFont="1" applyFill="1" applyBorder="1" applyAlignment="1" applyProtection="1">
      <alignment wrapText="1"/>
      <protection locked="0"/>
    </xf>
    <xf numFmtId="0" fontId="2" fillId="0" borderId="0" xfId="0" applyFont="1" applyBorder="1" applyAlignment="1"/>
    <xf numFmtId="0" fontId="2" fillId="0" borderId="5" xfId="0" applyFont="1" applyBorder="1" applyAlignment="1"/>
    <xf numFmtId="0" fontId="2" fillId="6" borderId="155" xfId="0" applyFont="1" applyFill="1" applyBorder="1" applyAlignment="1" applyProtection="1">
      <alignment wrapText="1"/>
      <protection locked="0"/>
    </xf>
    <xf numFmtId="0" fontId="2" fillId="0" borderId="59" xfId="0" applyFont="1" applyBorder="1" applyAlignment="1"/>
    <xf numFmtId="0" fontId="2" fillId="0" borderId="87" xfId="0" applyFont="1" applyBorder="1" applyAlignment="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7" xfId="0" applyFont="1" applyFill="1" applyBorder="1" applyAlignment="1" applyProtection="1">
      <alignment wrapText="1"/>
      <protection locked="0"/>
    </xf>
    <xf numFmtId="0" fontId="2" fillId="0" borderId="147" xfId="0" applyFont="1" applyBorder="1" applyAlignment="1"/>
    <xf numFmtId="0" fontId="2" fillId="0" borderId="151" xfId="0" applyFont="1" applyBorder="1" applyAlignment="1"/>
    <xf numFmtId="0" fontId="2" fillId="6" borderId="156" xfId="0" applyFont="1" applyFill="1" applyBorder="1" applyAlignment="1" applyProtection="1">
      <alignment wrapText="1"/>
      <protection locked="0"/>
    </xf>
    <xf numFmtId="0" fontId="2" fillId="0" borderId="2" xfId="0" applyFont="1" applyBorder="1" applyAlignment="1"/>
    <xf numFmtId="0" fontId="2" fillId="0" borderId="3" xfId="0" applyFont="1" applyBorder="1" applyAlignment="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Border="1" applyAlignment="1" applyProtection="1">
      <alignment horizontal="left" vertical="top" wrapText="1"/>
      <protection locked="0"/>
    </xf>
    <xf numFmtId="2" fontId="12" fillId="2" borderId="0" xfId="0" applyNumberFormat="1" applyFont="1" applyFill="1" applyBorder="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Fill="1" applyBorder="1" applyAlignment="1" applyProtection="1">
      <alignment horizontal="left" vertical="top" wrapText="1"/>
      <protection locked="0"/>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2" fillId="20" borderId="88" xfId="0" applyFont="1" applyFill="1" applyBorder="1" applyAlignment="1">
      <alignment horizontal="left" vertical="top" wrapText="1"/>
    </xf>
    <xf numFmtId="0" fontId="0" fillId="20" borderId="89" xfId="0" applyFill="1" applyBorder="1" applyAlignment="1">
      <alignment horizontal="left" vertical="top" wrapText="1"/>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73" fontId="18" fillId="0" borderId="75" xfId="16" applyFont="1" applyBorder="1" applyAlignment="1" applyProtection="1">
      <alignment horizontal="left"/>
    </xf>
    <xf numFmtId="173" fontId="18" fillId="0" borderId="76" xfId="16" applyFont="1" applyBorder="1" applyAlignment="1" applyProtection="1">
      <alignment horizontal="left"/>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173" fontId="12" fillId="0" borderId="127" xfId="16" applyFont="1" applyBorder="1" applyAlignment="1" applyProtection="1">
      <alignment horizontal="left" vertical="center" wrapText="1"/>
    </xf>
    <xf numFmtId="173" fontId="12" fillId="0" borderId="113" xfId="16" applyFont="1" applyBorder="1" applyAlignment="1" applyProtection="1">
      <alignment horizontal="left" vertical="center" wrapText="1"/>
    </xf>
    <xf numFmtId="173" fontId="12" fillId="0" borderId="109" xfId="16" applyFont="1" applyBorder="1" applyAlignment="1" applyProtection="1">
      <alignment horizontal="left" vertical="center" wrapText="1"/>
    </xf>
    <xf numFmtId="173" fontId="12" fillId="0" borderId="120" xfId="16" applyFont="1" applyBorder="1" applyAlignment="1" applyProtection="1">
      <alignment horizontal="left" vertical="center" wrapText="1"/>
    </xf>
    <xf numFmtId="173" fontId="18" fillId="2" borderId="112" xfId="16" applyFont="1" applyFill="1" applyBorder="1" applyAlignment="1" applyProtection="1">
      <alignment horizontal="left" wrapText="1"/>
    </xf>
    <xf numFmtId="173" fontId="18" fillId="2" borderId="113" xfId="16" applyFont="1" applyFill="1" applyBorder="1" applyAlignment="1" applyProtection="1">
      <alignment horizontal="left" wrapText="1"/>
    </xf>
    <xf numFmtId="173" fontId="18" fillId="2" borderId="114" xfId="16" applyFont="1" applyFill="1" applyBorder="1" applyAlignment="1" applyProtection="1">
      <alignment horizontal="left" wrapText="1"/>
    </xf>
    <xf numFmtId="173" fontId="18" fillId="0" borderId="141" xfId="16" applyFont="1" applyBorder="1" applyAlignment="1" applyProtection="1">
      <alignment horizontal="left"/>
    </xf>
    <xf numFmtId="173" fontId="18" fillId="0" borderId="79" xfId="16" applyFont="1" applyBorder="1" applyAlignment="1" applyProtection="1">
      <alignment horizontal="left"/>
    </xf>
    <xf numFmtId="0" fontId="0" fillId="0" borderId="2" xfId="0" applyBorder="1" applyAlignment="1">
      <alignment horizontal="left" vertical="top" wrapText="1"/>
    </xf>
    <xf numFmtId="0" fontId="0" fillId="0" borderId="0" xfId="0" applyBorder="1" applyAlignment="1">
      <alignment horizontal="left" vertical="top"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8" fillId="0" borderId="9" xfId="16" applyFont="1" applyBorder="1" applyAlignment="1" applyProtection="1">
      <alignment wrapText="1"/>
    </xf>
    <xf numFmtId="173" fontId="18" fillId="0" borderId="166" xfId="16" applyFont="1" applyBorder="1" applyAlignment="1" applyProtection="1">
      <alignment wrapText="1"/>
    </xf>
    <xf numFmtId="173" fontId="18" fillId="20" borderId="46" xfId="16" applyFont="1" applyFill="1" applyBorder="1" applyAlignment="1" applyProtection="1">
      <alignment wrapText="1"/>
    </xf>
    <xf numFmtId="0" fontId="0" fillId="20" borderId="47" xfId="0" applyFill="1" applyBorder="1" applyAlignment="1" applyProtection="1">
      <alignment wrapText="1"/>
    </xf>
    <xf numFmtId="0" fontId="43" fillId="13" borderId="0" xfId="0" applyFont="1" applyFill="1" applyAlignment="1">
      <alignment horizontal="left"/>
    </xf>
    <xf numFmtId="0" fontId="44" fillId="0" borderId="0" xfId="0" applyFont="1" applyFill="1" applyBorder="1" applyAlignment="1" applyProtection="1">
      <alignment horizontal="left"/>
    </xf>
    <xf numFmtId="0" fontId="44" fillId="0" borderId="59" xfId="0" applyFont="1" applyFill="1" applyBorder="1" applyAlignment="1" applyProtection="1">
      <alignment horizontal="left"/>
    </xf>
    <xf numFmtId="0" fontId="44" fillId="3" borderId="4" xfId="0" applyFont="1" applyFill="1" applyBorder="1" applyAlignment="1">
      <alignment horizontal="left"/>
    </xf>
    <xf numFmtId="0" fontId="44" fillId="3" borderId="0" xfId="0" applyFont="1" applyFill="1" applyBorder="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2" fillId="0" borderId="2" xfId="0" applyFont="1" applyFill="1" applyBorder="1" applyAlignment="1">
      <alignment horizontal="left" wrapText="1"/>
    </xf>
    <xf numFmtId="0" fontId="46" fillId="0" borderId="2" xfId="0" applyFont="1" applyFill="1" applyBorder="1" applyAlignment="1">
      <alignment horizontal="left" wrapText="1"/>
    </xf>
    <xf numFmtId="0" fontId="46" fillId="0" borderId="0" xfId="0" applyFont="1" applyFill="1" applyBorder="1" applyAlignment="1">
      <alignment horizontal="left" wrapText="1"/>
    </xf>
    <xf numFmtId="0" fontId="43" fillId="13" borderId="0" xfId="0" applyFont="1" applyFill="1" applyBorder="1" applyAlignment="1">
      <alignment horizontal="left" wrapText="1"/>
    </xf>
    <xf numFmtId="0" fontId="0" fillId="0" borderId="59" xfId="0" applyBorder="1" applyAlignment="1">
      <alignment horizontal="left"/>
    </xf>
    <xf numFmtId="0" fontId="4" fillId="0" borderId="2" xfId="0" applyFont="1" applyFill="1" applyBorder="1" applyAlignment="1">
      <alignment horizontal="center"/>
    </xf>
    <xf numFmtId="0" fontId="4" fillId="0" borderId="0" xfId="0" applyFont="1" applyFill="1" applyBorder="1" applyAlignment="1">
      <alignment horizontal="center"/>
    </xf>
    <xf numFmtId="0" fontId="4" fillId="0" borderId="2" xfId="0" applyFont="1" applyFill="1" applyBorder="1" applyAlignment="1">
      <alignment horizontal="left" vertical="center" wrapText="1"/>
    </xf>
    <xf numFmtId="0" fontId="4" fillId="0" borderId="3" xfId="0" applyFont="1" applyFill="1" applyBorder="1" applyAlignment="1">
      <alignment horizontal="left" vertical="center" wrapText="1"/>
    </xf>
    <xf numFmtId="0" fontId="4" fillId="0" borderId="5" xfId="0" applyFont="1" applyFill="1" applyBorder="1" applyAlignment="1">
      <alignment horizontal="center"/>
    </xf>
    <xf numFmtId="0" fontId="46" fillId="0" borderId="4" xfId="0" applyFont="1" applyFill="1" applyBorder="1" applyAlignment="1">
      <alignment horizontal="center"/>
    </xf>
    <xf numFmtId="0" fontId="46" fillId="0" borderId="0" xfId="0" applyFont="1" applyFill="1" applyBorder="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Border="1" applyAlignment="1">
      <alignment horizontal="center"/>
    </xf>
    <xf numFmtId="0" fontId="4" fillId="0" borderId="0"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6" fillId="0" borderId="4" xfId="0" applyFont="1" applyFill="1" applyBorder="1" applyAlignment="1">
      <alignment horizontal="left" wrapText="1"/>
    </xf>
    <xf numFmtId="0" fontId="46" fillId="0" borderId="5" xfId="0" applyFont="1" applyFill="1" applyBorder="1" applyAlignment="1">
      <alignment horizontal="left" wrapText="1"/>
    </xf>
    <xf numFmtId="0" fontId="46" fillId="0" borderId="4" xfId="0" applyFont="1" applyFill="1" applyBorder="1" applyAlignment="1">
      <alignment horizontal="left"/>
    </xf>
    <xf numFmtId="0" fontId="46" fillId="0" borderId="0" xfId="0" applyFont="1" applyFill="1" applyBorder="1" applyAlignment="1">
      <alignment horizontal="left"/>
    </xf>
    <xf numFmtId="0" fontId="46" fillId="0" borderId="5" xfId="0" applyFont="1" applyFill="1" applyBorder="1" applyAlignment="1">
      <alignment horizontal="left"/>
    </xf>
    <xf numFmtId="0" fontId="2" fillId="0" borderId="126" xfId="0" applyFont="1" applyBorder="1" applyAlignment="1">
      <alignment horizontal="left" vertical="top" wrapText="1"/>
    </xf>
    <xf numFmtId="0" fontId="0" fillId="0" borderId="152" xfId="0" applyBorder="1" applyAlignment="1">
      <alignment horizontal="left" vertical="top"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0" fontId="8" fillId="0" borderId="4" xfId="0" applyFont="1" applyFill="1" applyBorder="1" applyAlignment="1">
      <alignment wrapText="1"/>
    </xf>
    <xf numFmtId="0" fontId="8" fillId="0" borderId="0" xfId="0" applyFont="1" applyFill="1" applyBorder="1" applyAlignment="1">
      <alignment wrapText="1"/>
    </xf>
    <xf numFmtId="0" fontId="8" fillId="0" borderId="5" xfId="0" applyFont="1" applyFill="1" applyBorder="1" applyAlignment="1">
      <alignment wrapText="1"/>
    </xf>
    <xf numFmtId="0" fontId="9" fillId="3" borderId="4" xfId="0" applyFont="1" applyFill="1" applyBorder="1" applyAlignment="1">
      <alignment horizontal="left" vertical="center" wrapText="1"/>
    </xf>
    <xf numFmtId="0" fontId="9" fillId="3" borderId="0" xfId="0" applyFont="1" applyFill="1" applyBorder="1" applyAlignment="1">
      <alignment horizontal="left" vertical="center" wrapText="1"/>
    </xf>
    <xf numFmtId="0" fontId="9" fillId="3" borderId="5" xfId="0" applyFont="1" applyFill="1" applyBorder="1" applyAlignment="1">
      <alignment horizontal="left" vertical="center" wrapText="1"/>
    </xf>
    <xf numFmtId="0" fontId="7" fillId="13" borderId="0" xfId="0" applyFont="1" applyFill="1" applyBorder="1" applyAlignment="1">
      <alignment wrapText="1"/>
    </xf>
    <xf numFmtId="0" fontId="0" fillId="0" borderId="0" xfId="0" applyBorder="1"/>
    <xf numFmtId="0" fontId="8" fillId="0" borderId="59" xfId="0" applyFont="1" applyFill="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Border="1" applyAlignment="1">
      <alignment wrapText="1"/>
    </xf>
    <xf numFmtId="0" fontId="8" fillId="2" borderId="5" xfId="0" applyFont="1" applyFill="1" applyBorder="1" applyAlignment="1">
      <alignment wrapText="1"/>
    </xf>
    <xf numFmtId="173" fontId="18"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8" fillId="3" borderId="13" xfId="0" applyFont="1" applyFill="1" applyBorder="1" applyAlignment="1" applyProtection="1">
      <alignment wrapText="1"/>
    </xf>
    <xf numFmtId="0" fontId="19" fillId="3" borderId="16" xfId="0" applyFont="1" applyFill="1" applyBorder="1" applyAlignment="1" applyProtection="1">
      <alignment wrapText="1"/>
    </xf>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CCECFF"/>
      <color rgb="FF0000FF"/>
      <color rgb="FFFFA2A1"/>
      <color rgb="FFFF3300"/>
      <color rgb="FFFFFF66"/>
      <color rgb="FFFFCC99"/>
      <color rgb="FF97B757"/>
      <color rgb="FFB54E4B"/>
      <color rgb="FFF5FFE6"/>
      <color rgb="FFE4FD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Other Raw Material Cost</c:v>
                </c:pt>
                <c:pt idx="10">
                  <c:v>Yearly Replacement Costs</c:v>
                </c:pt>
                <c:pt idx="11">
                  <c:v>Taxes</c:v>
                </c:pt>
                <c:pt idx="12">
                  <c:v>Cash for Working Capital Reserve</c:v>
                </c:pt>
                <c:pt idx="13">
                  <c:v>Principal Payment</c:v>
                </c:pt>
                <c:pt idx="14">
                  <c:v>Other Non-Depreciable Capital Costs</c:v>
                </c:pt>
                <c:pt idx="15">
                  <c:v>Decommissioning Costs</c:v>
                </c:pt>
              </c:strCache>
            </c:strRef>
          </c:cat>
          <c:val>
            <c:numRef>
              <c:f>'Tornado Charts &amp; Risk Analysis'!$I$155:$I$170</c:f>
              <c:numCache>
                <c:formatCode>_("$"* #,##0.00_);_("$"* \(#,##0.00\);_("$"* "-"??_);_(@_)</c:formatCode>
                <c:ptCount val="16"/>
                <c:pt idx="0">
                  <c:v>1.8556217638441947</c:v>
                </c:pt>
                <c:pt idx="1">
                  <c:v>1.9532336675216178E-3</c:v>
                </c:pt>
                <c:pt idx="2">
                  <c:v>0</c:v>
                </c:pt>
                <c:pt idx="4">
                  <c:v>0.97692148024886449</c:v>
                </c:pt>
                <c:pt idx="5">
                  <c:v>0.24744462031205222</c:v>
                </c:pt>
                <c:pt idx="6">
                  <c:v>0.20583602739814111</c:v>
                </c:pt>
                <c:pt idx="7">
                  <c:v>0.19679394037475487</c:v>
                </c:pt>
                <c:pt idx="8">
                  <c:v>0.11763260552256523</c:v>
                </c:pt>
                <c:pt idx="9">
                  <c:v>3.7320310600916916E-2</c:v>
                </c:pt>
                <c:pt idx="10">
                  <c:v>2.5148873085919069E-2</c:v>
                </c:pt>
                <c:pt idx="11">
                  <c:v>2.02825835365903E-2</c:v>
                </c:pt>
                <c:pt idx="12">
                  <c:v>2.0014216975989454E-2</c:v>
                </c:pt>
                <c:pt idx="13">
                  <c:v>5.2843250235065703E-3</c:v>
                </c:pt>
                <c:pt idx="14">
                  <c:v>2.9544401990271528E-3</c:v>
                </c:pt>
                <c:pt idx="15">
                  <c:v>1.9415742333874339E-3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1.8556217638441947</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1.9532336675216178E-3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0.97692148024886449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0.24744462031205222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0.20583602739814111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0.19679394037475487</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0.11763260552256523</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Other Raw Material Cost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3.7320310600916916E-2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2.5148873085919069E-2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2.02825835365903E-2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Cash for Working Capital Reserve</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2.0014216975989454E-2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Principal Payment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5.2843250235065703E-3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2.9544401990271528E-3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1.9415742333874339E-3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1.8575749975117164</c:v>
                </c:pt>
                <c:pt idx="1">
                  <c:v>1.8575749975117151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Analysis'!$H$101:$H$107</c:f>
              <c:numCache>
                <c:formatCode>General</c:formatCode>
                <c:ptCount val="7"/>
                <c:pt idx="0">
                  <c:v>1.9030958301354877</c:v>
                </c:pt>
                <c:pt idx="1">
                  <c:v>1.9173021997116375</c:v>
                </c:pt>
                <c:pt idx="2">
                  <c:v>1.9196972653481559</c:v>
                </c:pt>
                <c:pt idx="3">
                  <c:v>1.9284560778762152</c:v>
                </c:pt>
                <c:pt idx="4">
                  <c:v>1.9290766913385511</c:v>
                </c:pt>
                <c:pt idx="5">
                  <c:v>1.9389370275971565</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Analysis'!$I$101:$I$107</c:f>
              <c:numCache>
                <c:formatCode>General</c:formatCode>
                <c:ptCount val="7"/>
                <c:pt idx="0">
                  <c:v>3.5841197461668806E-2</c:v>
                </c:pt>
                <c:pt idx="1">
                  <c:v>2.1634827885518959E-2</c:v>
                </c:pt>
                <c:pt idx="2">
                  <c:v>1.9239762249000592E-2</c:v>
                </c:pt>
                <c:pt idx="3">
                  <c:v>1.0480949720941268E-2</c:v>
                </c:pt>
                <c:pt idx="4">
                  <c:v>9.8603362586053844E-3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Analysis'!$J$101:$J$107</c:f>
              <c:numCache>
                <c:formatCode>General</c:formatCode>
                <c:ptCount val="7"/>
                <c:pt idx="0">
                  <c:v>3.9596789646522357E-2</c:v>
                </c:pt>
                <c:pt idx="1">
                  <c:v>2.1634827885516517E-2</c:v>
                </c:pt>
                <c:pt idx="2">
                  <c:v>2.0973475929003893E-2</c:v>
                </c:pt>
                <c:pt idx="3">
                  <c:v>1.0480949720939492E-2</c:v>
                </c:pt>
                <c:pt idx="4">
                  <c:v>1.0364337103698107E-2</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1.9030958301354877</c:v>
                </c:pt>
                <c:pt idx="1">
                  <c:v>1.9173021997116375</c:v>
                </c:pt>
                <c:pt idx="2">
                  <c:v>1.9196972653481559</c:v>
                </c:pt>
                <c:pt idx="3">
                  <c:v>1.9284560778762152</c:v>
                </c:pt>
                <c:pt idx="4">
                  <c:v>1.9290766913385511</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1.9785338172436788</c:v>
                </c:pt>
                <c:pt idx="1">
                  <c:v>1.960571855482673</c:v>
                </c:pt>
                <c:pt idx="2">
                  <c:v>1.9599105035261604</c:v>
                </c:pt>
                <c:pt idx="3">
                  <c:v>1.949417977318096</c:v>
                </c:pt>
                <c:pt idx="4">
                  <c:v>1.9493013647008546</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1.9389370275971565</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Analysis'!$E$175:$E$181</c:f>
              <c:numCache>
                <c:formatCode>_("$"* #,##0.00_);_("$"* \(#,##0.00\);_("$"* "-"??_);_(@_)</c:formatCode>
                <c:ptCount val="7"/>
                <c:pt idx="0">
                  <c:v>1.9389370275971565</c:v>
                </c:pt>
                <c:pt idx="1">
                  <c:v>1.9030958301354877</c:v>
                </c:pt>
                <c:pt idx="2">
                  <c:v>1.8824912321492788</c:v>
                </c:pt>
                <c:pt idx="3">
                  <c:v>1.8727547549961832</c:v>
                </c:pt>
                <c:pt idx="4">
                  <c:v>1.8727547549961832</c:v>
                </c:pt>
                <c:pt idx="5">
                  <c:v>1.8727547549961832</c:v>
                </c:pt>
                <c:pt idx="6">
                  <c:v>1.8727547549961832</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Analysis'!$F$175:$F$181</c:f>
              <c:numCache>
                <c:formatCode>_("$"* #,##0.00_);_("$"* \(#,##0.00\);_("$"* "-"??_);_(@_)</c:formatCode>
                <c:ptCount val="7"/>
                <c:pt idx="1">
                  <c:v>3.5841197461668806E-2</c:v>
                </c:pt>
                <c:pt idx="2">
                  <c:v>2.0604597986208839E-2</c:v>
                </c:pt>
                <c:pt idx="3">
                  <c:v>9.7364771530956684E-3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Analysis'!$I$202:$I$221</c:f>
              <c:numCache>
                <c:formatCode>General</c:formatCode>
                <c:ptCount val="20"/>
                <c:pt idx="0">
                  <c:v>1E-3</c:v>
                </c:pt>
                <c:pt idx="1">
                  <c:v>7.0000000000000001E-3</c:v>
                </c:pt>
                <c:pt idx="2">
                  <c:v>1.7999999999999999E-2</c:v>
                </c:pt>
                <c:pt idx="3">
                  <c:v>5.1000000000000004E-2</c:v>
                </c:pt>
                <c:pt idx="4">
                  <c:v>0.10950000000000001</c:v>
                </c:pt>
                <c:pt idx="5">
                  <c:v>0.18</c:v>
                </c:pt>
                <c:pt idx="6">
                  <c:v>0.29199999999999998</c:v>
                </c:pt>
                <c:pt idx="7">
                  <c:v>0.42049999999999998</c:v>
                </c:pt>
                <c:pt idx="8">
                  <c:v>0.55200000000000005</c:v>
                </c:pt>
                <c:pt idx="9">
                  <c:v>0.67749999999999999</c:v>
                </c:pt>
                <c:pt idx="10">
                  <c:v>0.77300000000000002</c:v>
                </c:pt>
                <c:pt idx="11">
                  <c:v>0.85699999999999998</c:v>
                </c:pt>
                <c:pt idx="12">
                  <c:v>0.92349999999999999</c:v>
                </c:pt>
                <c:pt idx="13">
                  <c:v>0.96150000000000002</c:v>
                </c:pt>
                <c:pt idx="14">
                  <c:v>0.98350000000000004</c:v>
                </c:pt>
                <c:pt idx="15">
                  <c:v>0.99299999999999999</c:v>
                </c:pt>
                <c:pt idx="16">
                  <c:v>0.99649999999999994</c:v>
                </c:pt>
                <c:pt idx="17">
                  <c:v>0.99949999999999994</c:v>
                </c:pt>
                <c:pt idx="18">
                  <c:v>0.99949999999999994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Analysis'!$H$202:$H$221</c:f>
              <c:numCache>
                <c:formatCode>General</c:formatCode>
                <c:ptCount val="20"/>
                <c:pt idx="0">
                  <c:v>1E-3</c:v>
                </c:pt>
                <c:pt idx="1">
                  <c:v>6.0000000000000001E-3</c:v>
                </c:pt>
                <c:pt idx="2">
                  <c:v>1.0999999999999999E-2</c:v>
                </c:pt>
                <c:pt idx="3">
                  <c:v>3.3000000000000002E-2</c:v>
                </c:pt>
                <c:pt idx="4">
                  <c:v>5.8500000000000003E-2</c:v>
                </c:pt>
                <c:pt idx="5">
                  <c:v>7.0499999999999993E-2</c:v>
                </c:pt>
                <c:pt idx="6">
                  <c:v>0.112</c:v>
                </c:pt>
                <c:pt idx="7">
                  <c:v>0.1285</c:v>
                </c:pt>
                <c:pt idx="8">
                  <c:v>0.13150000000000001</c:v>
                </c:pt>
                <c:pt idx="9">
                  <c:v>0.1255</c:v>
                </c:pt>
                <c:pt idx="10">
                  <c:v>9.5500000000000002E-2</c:v>
                </c:pt>
                <c:pt idx="11">
                  <c:v>8.4000000000000005E-2</c:v>
                </c:pt>
                <c:pt idx="12">
                  <c:v>6.6500000000000004E-2</c:v>
                </c:pt>
                <c:pt idx="13">
                  <c:v>3.7999999999999999E-2</c:v>
                </c:pt>
                <c:pt idx="14">
                  <c:v>2.1999999999999999E-2</c:v>
                </c:pt>
                <c:pt idx="15">
                  <c:v>9.4999999999999998E-3</c:v>
                </c:pt>
                <c:pt idx="16">
                  <c:v>3.5000000000000001E-3</c:v>
                </c:pt>
                <c:pt idx="17">
                  <c:v>3.0000000000000001E-3</c:v>
                </c:pt>
                <c:pt idx="18">
                  <c:v>0</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1948543</xdr:colOff>
      <xdr:row>2</xdr:row>
      <xdr:rowOff>32640</xdr:rowOff>
    </xdr:from>
    <xdr:to>
      <xdr:col>5</xdr:col>
      <xdr:colOff>48618</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2923310</xdr:colOff>
      <xdr:row>4</xdr:row>
      <xdr:rowOff>83127</xdr:rowOff>
    </xdr:from>
    <xdr:to>
      <xdr:col>14</xdr:col>
      <xdr:colOff>485083</xdr:colOff>
      <xdr:row>28</xdr:row>
      <xdr:rowOff>58469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bwMode="auto">
        <a:xfrm>
          <a:off x="3532910" y="854652"/>
          <a:ext cx="7448723" cy="3871067"/>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222</xdr:row>
      <xdr:rowOff>0</xdr:rowOff>
    </xdr:from>
    <xdr:to>
      <xdr:col>2</xdr:col>
      <xdr:colOff>76200</xdr:colOff>
      <xdr:row>223</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129</xdr:row>
      <xdr:rowOff>289433</xdr:rowOff>
    </xdr:from>
    <xdr:to>
      <xdr:col>5</xdr:col>
      <xdr:colOff>681318</xdr:colOff>
      <xdr:row>131</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132</xdr:row>
      <xdr:rowOff>143435</xdr:rowOff>
    </xdr:from>
    <xdr:to>
      <xdr:col>4</xdr:col>
      <xdr:colOff>645460</xdr:colOff>
      <xdr:row>133</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132</xdr:row>
      <xdr:rowOff>152400</xdr:rowOff>
    </xdr:from>
    <xdr:to>
      <xdr:col>5</xdr:col>
      <xdr:colOff>1156447</xdr:colOff>
      <xdr:row>134</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150</xdr:row>
      <xdr:rowOff>17930</xdr:rowOff>
    </xdr:from>
    <xdr:to>
      <xdr:col>4</xdr:col>
      <xdr:colOff>762001</xdr:colOff>
      <xdr:row>150</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0</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213360</xdr:rowOff>
        </xdr:from>
        <xdr:to>
          <xdr:col>3</xdr:col>
          <xdr:colOff>1066800</xdr:colOff>
          <xdr:row>41</xdr:row>
          <xdr:rowOff>213360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213360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112</xdr:row>
          <xdr:rowOff>0</xdr:rowOff>
        </xdr:from>
        <xdr:to>
          <xdr:col>3</xdr:col>
          <xdr:colOff>1066800</xdr:colOff>
          <xdr:row>113</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22860</xdr:rowOff>
        </xdr:from>
        <xdr:to>
          <xdr:col>3</xdr:col>
          <xdr:colOff>1066800</xdr:colOff>
          <xdr:row>115</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129</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129</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0.18842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0.16118</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0.1782</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0.17138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0.31447</cdr:x>
      <cdr:y>0.42919</cdr:y>
    </cdr:to>
    <cdr:sp macro="" textlink="'Tornado Charts &amp; Risk Analysis'!$H$160">
      <cdr:nvSpPr>
        <cdr:cNvPr id="7" name="TextBox 1"/>
        <cdr:cNvSpPr txBox="1"/>
      </cdr:nvSpPr>
      <cdr:spPr>
        <a:xfrm xmlns:a="http://schemas.openxmlformats.org/drawingml/2006/main">
          <a:off x="0" y="165386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0.22248</cdr:x>
      <cdr:y>0.48115</cdr:y>
    </cdr:to>
    <cdr:sp macro="" textlink="'Tornado Charts &amp; Risk Analysis'!$H$161">
      <cdr:nvSpPr>
        <cdr:cNvPr id="8" name="TextBox 1"/>
        <cdr:cNvSpPr txBox="1"/>
      </cdr:nvSpPr>
      <cdr:spPr>
        <a:xfrm xmlns:a="http://schemas.openxmlformats.org/drawingml/2006/main">
          <a:off x="0" y="1883124"/>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0.32355</cdr:x>
      <cdr:y>0.53278</cdr:y>
    </cdr:to>
    <cdr:sp macro="" textlink="'Tornado Charts &amp; Risk Analysis'!$H$162">
      <cdr:nvSpPr>
        <cdr:cNvPr id="9" name="TextBox 1"/>
        <cdr:cNvSpPr txBox="1"/>
      </cdr:nvSpPr>
      <cdr:spPr>
        <a:xfrm xmlns:a="http://schemas.openxmlformats.org/drawingml/2006/main">
          <a:off x="0" y="2110925"/>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0.14641</cdr:x>
      <cdr:y>0.58457</cdr:y>
    </cdr:to>
    <cdr:sp macro="" textlink="'Tornado Charts &amp; Risk Analysis'!$H$163">
      <cdr:nvSpPr>
        <cdr:cNvPr id="10" name="TextBox 1"/>
        <cdr:cNvSpPr txBox="1"/>
      </cdr:nvSpPr>
      <cdr:spPr>
        <a:xfrm xmlns:a="http://schemas.openxmlformats.org/drawingml/2006/main">
          <a:off x="0" y="233943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0.25311</cdr:x>
      <cdr:y>0.63681</cdr:y>
    </cdr:to>
    <cdr:sp macro="" textlink="'Tornado Charts &amp; Risk Analysis'!$H$164">
      <cdr:nvSpPr>
        <cdr:cNvPr id="11" name="TextBox 1"/>
        <cdr:cNvSpPr txBox="1"/>
      </cdr:nvSpPr>
      <cdr:spPr>
        <a:xfrm xmlns:a="http://schemas.openxmlformats.org/drawingml/2006/main">
          <a:off x="0" y="256992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0.2713</cdr:x>
      <cdr:y>0.68766</cdr:y>
    </cdr:to>
    <cdr:sp macro="" textlink="'Tornado Charts &amp; Risk Analysis'!$H$165">
      <cdr:nvSpPr>
        <cdr:cNvPr id="12" name="TextBox 1"/>
        <cdr:cNvSpPr txBox="1"/>
      </cdr:nvSpPr>
      <cdr:spPr>
        <a:xfrm xmlns:a="http://schemas.openxmlformats.org/drawingml/2006/main">
          <a:off x="0" y="279428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0.33828</cdr:x>
      <cdr:y>0.7399</cdr:y>
    </cdr:to>
    <cdr:sp macro="" textlink="'Tornado Charts &amp; Risk Analysis'!$H$166">
      <cdr:nvSpPr>
        <cdr:cNvPr id="13" name="TextBox 1"/>
        <cdr:cNvSpPr txBox="1"/>
      </cdr:nvSpPr>
      <cdr:spPr>
        <a:xfrm xmlns:a="http://schemas.openxmlformats.org/drawingml/2006/main">
          <a:off x="0" y="302477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0.08507</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0.19408</cdr:x>
      <cdr:y>0.84321</cdr:y>
    </cdr:to>
    <cdr:sp macro="" textlink="'Tornado Charts &amp; Risk Analysis'!$H$168">
      <cdr:nvSpPr>
        <cdr:cNvPr id="15" name="TextBox 1"/>
        <cdr:cNvSpPr txBox="1"/>
      </cdr:nvSpPr>
      <cdr:spPr>
        <a:xfrm xmlns:a="http://schemas.openxmlformats.org/drawingml/2006/main">
          <a:off x="0" y="348060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0.36668</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0.24855</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71853" y="1605752"/>
          <a:ext cx="6471150" cy="140414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Other Raw Material Cost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Cash for Working Capital Reserve</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Principal Payment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($762,702K, $802,844K, $842,986K)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(507,150, 483,000, 458,850)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($31,026K, $32,659K, $34,292K)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#N/A</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251460</xdr:colOff>
          <xdr:row>1</xdr:row>
          <xdr:rowOff>22860</xdr:rowOff>
        </xdr:from>
        <xdr:to>
          <xdr:col>13</xdr:col>
          <xdr:colOff>38100</xdr:colOff>
          <xdr:row>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68</xdr:row>
          <xdr:rowOff>60960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netl.doe.gov/energy-analysis/details?id=ed4825aa-8f04-4df7-abef-60e564f636c9" TargetMode="External"/><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6" Type="http://schemas.openxmlformats.org/officeDocument/2006/relationships/drawing" Target="../drawings/drawing1.xml"/><Relationship Id="rId5" Type="http://schemas.openxmlformats.org/officeDocument/2006/relationships/hyperlink" Target="http://www.nrel.gov/" TargetMode="External"/><Relationship Id="rId4"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7"/>
  <sheetViews>
    <sheetView tabSelected="1" workbookViewId="0">
      <selection activeCell="B2" sqref="B2"/>
    </sheetView>
  </sheetViews>
  <sheetFormatPr defaultRowHeight="13.2" x14ac:dyDescent="0.25"/>
  <cols>
    <col min="2" max="2" width="36.6640625" customWidth="1"/>
    <col min="3" max="3" width="44.6640625" customWidth="1"/>
    <col min="4" max="4" width="64.88671875" customWidth="1"/>
    <col min="5" max="5" width="126.44140625" customWidth="1"/>
  </cols>
  <sheetData>
    <row r="2" spans="2:4" ht="39" customHeight="1" x14ac:dyDescent="0.5">
      <c r="B2" s="681" t="s">
        <v>402</v>
      </c>
    </row>
    <row r="4" spans="2:4" ht="13.8" thickBot="1" x14ac:dyDescent="0.3"/>
    <row r="5" spans="2:4" ht="27" thickTop="1" x14ac:dyDescent="0.25">
      <c r="B5" s="683" t="s">
        <v>208</v>
      </c>
      <c r="C5" s="1377" t="s">
        <v>1394</v>
      </c>
      <c r="D5" s="1035"/>
    </row>
    <row r="6" spans="2:4" x14ac:dyDescent="0.25">
      <c r="B6" s="684" t="s">
        <v>209</v>
      </c>
      <c r="C6" s="1034" t="s">
        <v>1196</v>
      </c>
      <c r="D6" s="1035"/>
    </row>
    <row r="7" spans="2:4" x14ac:dyDescent="0.25">
      <c r="B7" s="684" t="s">
        <v>210</v>
      </c>
      <c r="C7" s="1034" t="s">
        <v>1240</v>
      </c>
      <c r="D7" s="1035"/>
    </row>
    <row r="8" spans="2:4" x14ac:dyDescent="0.25">
      <c r="B8" s="684" t="s">
        <v>211</v>
      </c>
      <c r="C8" s="1034" t="s">
        <v>1241</v>
      </c>
      <c r="D8" s="1035"/>
    </row>
    <row r="9" spans="2:4" x14ac:dyDescent="0.25">
      <c r="B9" s="684" t="s">
        <v>212</v>
      </c>
      <c r="C9" s="820" t="s">
        <v>1242</v>
      </c>
      <c r="D9" s="685"/>
    </row>
    <row r="10" spans="2:4" x14ac:dyDescent="0.25">
      <c r="B10" s="684" t="s">
        <v>213</v>
      </c>
      <c r="C10" s="1034" t="s">
        <v>811</v>
      </c>
      <c r="D10" s="1035"/>
    </row>
    <row r="11" spans="2:4" x14ac:dyDescent="0.25">
      <c r="B11" s="684" t="s">
        <v>214</v>
      </c>
      <c r="C11" s="1378">
        <v>44635</v>
      </c>
      <c r="D11" s="1118"/>
    </row>
    <row r="12" spans="2:4" ht="13.8" thickBot="1" x14ac:dyDescent="0.3">
      <c r="B12" s="686" t="s">
        <v>215</v>
      </c>
      <c r="C12" s="821" t="s">
        <v>1195</v>
      </c>
      <c r="D12" s="1035"/>
    </row>
    <row r="13" spans="2:4" ht="14.4" thickTop="1" thickBot="1" x14ac:dyDescent="0.3">
      <c r="B13" s="687"/>
      <c r="C13" s="1150"/>
      <c r="D13" s="1119"/>
    </row>
    <row r="14" spans="2:4" ht="13.8" thickTop="1" x14ac:dyDescent="0.25">
      <c r="B14" s="683" t="s">
        <v>216</v>
      </c>
      <c r="C14" s="1379">
        <v>483000</v>
      </c>
      <c r="D14" s="1120"/>
    </row>
    <row r="15" spans="2:4" x14ac:dyDescent="0.25">
      <c r="B15" s="684" t="s">
        <v>217</v>
      </c>
      <c r="C15" s="1185">
        <v>2015</v>
      </c>
      <c r="D15" s="688"/>
    </row>
    <row r="16" spans="2:4" x14ac:dyDescent="0.25">
      <c r="B16" s="684" t="s">
        <v>218</v>
      </c>
      <c r="C16" s="1186" t="s">
        <v>280</v>
      </c>
      <c r="D16" s="1120"/>
    </row>
    <row r="17" spans="2:4" x14ac:dyDescent="0.25">
      <c r="B17" s="684" t="s">
        <v>219</v>
      </c>
      <c r="C17" s="1186" t="s">
        <v>1253</v>
      </c>
      <c r="D17" s="1120"/>
    </row>
    <row r="18" spans="2:4" x14ac:dyDescent="0.25">
      <c r="B18" s="684" t="s">
        <v>220</v>
      </c>
      <c r="C18" s="1186" t="s">
        <v>1252</v>
      </c>
      <c r="D18" s="689"/>
    </row>
    <row r="19" spans="2:4" ht="40.200000000000003" x14ac:dyDescent="0.3">
      <c r="B19" s="684" t="s">
        <v>221</v>
      </c>
      <c r="C19" s="1186" t="s">
        <v>1395</v>
      </c>
      <c r="D19" s="1120"/>
    </row>
    <row r="20" spans="2:4" x14ac:dyDescent="0.25">
      <c r="B20" s="684" t="s">
        <v>222</v>
      </c>
      <c r="C20" s="1186" t="s">
        <v>1253</v>
      </c>
      <c r="D20" s="1120"/>
    </row>
    <row r="21" spans="2:4" x14ac:dyDescent="0.25">
      <c r="B21" s="684" t="s">
        <v>223</v>
      </c>
      <c r="C21" s="1186" t="s">
        <v>1253</v>
      </c>
      <c r="D21" s="1120"/>
    </row>
    <row r="22" spans="2:4" ht="26.4" x14ac:dyDescent="0.25">
      <c r="B22" s="690" t="s">
        <v>224</v>
      </c>
      <c r="C22" s="1185" t="s">
        <v>1254</v>
      </c>
      <c r="D22" s="1120"/>
    </row>
    <row r="23" spans="2:4" x14ac:dyDescent="0.25">
      <c r="B23" s="690" t="s">
        <v>225</v>
      </c>
      <c r="C23" s="1186" t="s">
        <v>1253</v>
      </c>
      <c r="D23" s="1120"/>
    </row>
    <row r="24" spans="2:4" ht="13.8" thickBot="1" x14ac:dyDescent="0.3">
      <c r="B24" s="686" t="s">
        <v>226</v>
      </c>
      <c r="C24" s="1187" t="s">
        <v>1255</v>
      </c>
      <c r="D24" s="1120"/>
    </row>
    <row r="25" spans="2:4" ht="14.4" thickTop="1" thickBot="1" x14ac:dyDescent="0.3">
      <c r="B25" s="691"/>
      <c r="C25" s="1120"/>
      <c r="D25" s="1120"/>
    </row>
    <row r="26" spans="2:4" x14ac:dyDescent="0.25">
      <c r="B26" s="1487" t="s">
        <v>227</v>
      </c>
      <c r="C26" s="1488"/>
      <c r="D26" s="1489"/>
    </row>
    <row r="27" spans="2:4" x14ac:dyDescent="0.25">
      <c r="B27" s="1122" t="s">
        <v>228</v>
      </c>
      <c r="C27" s="692" t="s">
        <v>229</v>
      </c>
      <c r="D27" s="1123" t="s">
        <v>1003</v>
      </c>
    </row>
    <row r="28" spans="2:4" ht="27" x14ac:dyDescent="0.3">
      <c r="B28" s="1124">
        <v>44677</v>
      </c>
      <c r="C28" s="1121" t="s">
        <v>1196</v>
      </c>
      <c r="D28" s="1034" t="s">
        <v>1393</v>
      </c>
    </row>
    <row r="29" spans="2:4" ht="26.4" x14ac:dyDescent="0.25">
      <c r="B29" s="1151"/>
      <c r="C29" s="985"/>
      <c r="D29" s="1315" t="s">
        <v>1370</v>
      </c>
    </row>
    <row r="30" spans="2:4" ht="26.4" x14ac:dyDescent="0.25">
      <c r="B30" s="1124">
        <v>44656</v>
      </c>
      <c r="C30" s="1121" t="s">
        <v>1196</v>
      </c>
      <c r="D30" s="1034" t="s">
        <v>1256</v>
      </c>
    </row>
    <row r="31" spans="2:4" ht="66" x14ac:dyDescent="0.25">
      <c r="B31" s="1124">
        <v>44656</v>
      </c>
      <c r="C31" s="1121" t="s">
        <v>1196</v>
      </c>
      <c r="D31" s="1316" t="s">
        <v>1388</v>
      </c>
    </row>
    <row r="32" spans="2:4" ht="26.4" x14ac:dyDescent="0.25">
      <c r="B32" s="1153"/>
      <c r="C32" s="985"/>
      <c r="D32" s="1315" t="s">
        <v>1383</v>
      </c>
    </row>
    <row r="33" spans="2:4" x14ac:dyDescent="0.25">
      <c r="B33" s="1153"/>
      <c r="C33" s="985"/>
      <c r="D33" s="1315" t="s">
        <v>1304</v>
      </c>
    </row>
    <row r="34" spans="2:4" x14ac:dyDescent="0.25">
      <c r="B34" s="1153"/>
      <c r="C34" s="985"/>
      <c r="D34" s="1152"/>
    </row>
    <row r="35" spans="2:4" x14ac:dyDescent="0.25">
      <c r="B35" s="1153"/>
      <c r="C35" s="985"/>
      <c r="D35" s="1152"/>
    </row>
    <row r="36" spans="2:4" x14ac:dyDescent="0.25">
      <c r="B36" s="1153"/>
      <c r="C36" s="985"/>
      <c r="D36" s="1152"/>
    </row>
    <row r="37" spans="2:4" x14ac:dyDescent="0.25">
      <c r="B37" s="1151"/>
      <c r="C37" s="985"/>
      <c r="D37" s="1152"/>
    </row>
    <row r="38" spans="2:4" x14ac:dyDescent="0.25">
      <c r="B38" s="1153"/>
      <c r="C38" s="985"/>
      <c r="D38" s="1152"/>
    </row>
    <row r="39" spans="2:4" x14ac:dyDescent="0.25">
      <c r="B39" s="1153"/>
      <c r="C39" s="985"/>
      <c r="D39" s="1152"/>
    </row>
    <row r="40" spans="2:4" x14ac:dyDescent="0.25">
      <c r="B40" s="1153"/>
      <c r="C40" s="985"/>
      <c r="D40" s="1152"/>
    </row>
    <row r="41" spans="2:4" x14ac:dyDescent="0.25">
      <c r="B41" s="1151"/>
      <c r="C41" s="985"/>
      <c r="D41" s="1152"/>
    </row>
    <row r="42" spans="2:4" x14ac:dyDescent="0.25">
      <c r="B42" s="1153"/>
      <c r="C42" s="985"/>
      <c r="D42" s="1152"/>
    </row>
    <row r="43" spans="2:4" x14ac:dyDescent="0.25">
      <c r="B43" s="1153"/>
      <c r="C43" s="985"/>
      <c r="D43" s="1152"/>
    </row>
    <row r="44" spans="2:4" x14ac:dyDescent="0.25">
      <c r="B44" s="1153"/>
      <c r="C44" s="985"/>
      <c r="D44" s="1152"/>
    </row>
    <row r="45" spans="2:4" x14ac:dyDescent="0.25">
      <c r="B45" s="1153"/>
      <c r="C45" s="985"/>
      <c r="D45" s="1152"/>
    </row>
    <row r="46" spans="2:4" x14ac:dyDescent="0.25">
      <c r="B46" s="1153"/>
      <c r="C46" s="985"/>
      <c r="D46" s="1152"/>
    </row>
    <row r="47" spans="2:4" ht="13.8" thickBot="1" x14ac:dyDescent="0.3">
      <c r="B47" s="1154"/>
      <c r="C47" s="1139"/>
      <c r="D47" s="1155"/>
    </row>
  </sheetData>
  <mergeCells count="1">
    <mergeCell ref="B26:D26"/>
  </mergeCells>
  <phoneticPr fontId="0" type="noConversion"/>
  <hyperlinks>
    <hyperlink ref="D33" r:id="rId1" xr:uid="{10CD8650-F54A-4EDB-AAB8-F10F99D2B7C7}"/>
    <hyperlink ref="D32" r:id="rId2" xr:uid="{2CCEDA75-7198-4D83-9195-0351673C74BE}"/>
    <hyperlink ref="D29" r:id="rId3" xr:uid="{24CC085A-D8CB-49C6-8F94-D675F4898B4C}"/>
    <hyperlink ref="C9" r:id="rId4" xr:uid="{89A8C518-D013-443A-98A7-F19E7F40EB98}"/>
    <hyperlink ref="C12" r:id="rId5" xr:uid="{58A28707-D06D-4B21-B42C-5D1499695177}"/>
  </hyperlinks>
  <pageMargins left="0.75" right="0.75" top="1" bottom="1" header="0.5" footer="0.5"/>
  <headerFooter alignWithMargins="0"/>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heetViews>
  <sheetFormatPr defaultRowHeight="13.2" x14ac:dyDescent="0.25"/>
  <cols>
    <col min="2" max="2" width="122" customWidth="1"/>
    <col min="3" max="3" width="41.6640625" customWidth="1"/>
    <col min="4" max="4" width="79.6640625" customWidth="1"/>
    <col min="5" max="5" width="17.33203125" customWidth="1"/>
  </cols>
  <sheetData>
    <row r="2" spans="2:2" ht="21" x14ac:dyDescent="0.5">
      <c r="B2" s="681" t="s">
        <v>403</v>
      </c>
    </row>
    <row r="6" spans="2:2" x14ac:dyDescent="0.25">
      <c r="B6" s="682" t="s">
        <v>203</v>
      </c>
    </row>
    <row r="7" spans="2:2" ht="39.6" x14ac:dyDescent="0.25">
      <c r="B7" s="1036" t="s">
        <v>1396</v>
      </c>
    </row>
    <row r="8" spans="2:2" x14ac:dyDescent="0.25">
      <c r="B8" s="208"/>
    </row>
    <row r="9" spans="2:2" x14ac:dyDescent="0.25">
      <c r="B9" s="208"/>
    </row>
    <row r="10" spans="2:2" x14ac:dyDescent="0.25">
      <c r="B10" s="682" t="s">
        <v>204</v>
      </c>
    </row>
    <row r="11" spans="2:2" ht="92.4" x14ac:dyDescent="0.25">
      <c r="B11" s="1036" t="s">
        <v>1397</v>
      </c>
    </row>
    <row r="12" spans="2:2" ht="26.4" x14ac:dyDescent="0.25">
      <c r="B12" s="1036" t="s">
        <v>1273</v>
      </c>
    </row>
    <row r="13" spans="2:2" ht="39.6" x14ac:dyDescent="0.25">
      <c r="B13" s="1036" t="s">
        <v>1311</v>
      </c>
    </row>
    <row r="14" spans="2:2" x14ac:dyDescent="0.25">
      <c r="B14" s="208"/>
    </row>
    <row r="15" spans="2:2" x14ac:dyDescent="0.25">
      <c r="B15" s="682" t="s">
        <v>205</v>
      </c>
    </row>
    <row r="16" spans="2:2" ht="132" x14ac:dyDescent="0.25">
      <c r="B16" s="1036" t="s">
        <v>1272</v>
      </c>
    </row>
    <row r="17" spans="2:2" x14ac:dyDescent="0.25">
      <c r="B17" s="208"/>
    </row>
    <row r="18" spans="2:2" x14ac:dyDescent="0.25">
      <c r="B18" s="208"/>
    </row>
    <row r="19" spans="2:2" x14ac:dyDescent="0.25">
      <c r="B19" s="682" t="s">
        <v>206</v>
      </c>
    </row>
    <row r="20" spans="2:2" x14ac:dyDescent="0.25">
      <c r="B20" s="1036" t="s">
        <v>1310</v>
      </c>
    </row>
    <row r="21" spans="2:2" x14ac:dyDescent="0.25">
      <c r="B21" s="208"/>
    </row>
    <row r="22" spans="2:2" x14ac:dyDescent="0.25">
      <c r="B22" s="1149" t="s">
        <v>207</v>
      </c>
    </row>
    <row r="23" spans="2:2" ht="26.4" x14ac:dyDescent="0.25">
      <c r="B23" s="822" t="s">
        <v>1371</v>
      </c>
    </row>
    <row r="24" spans="2:2" x14ac:dyDescent="0.25">
      <c r="B24" s="1408" t="s">
        <v>1370</v>
      </c>
    </row>
    <row r="25" spans="2:2" x14ac:dyDescent="0.25">
      <c r="B25" s="1036"/>
    </row>
    <row r="26" spans="2:2" x14ac:dyDescent="0.25">
      <c r="B26" s="1036"/>
    </row>
    <row r="27" spans="2:2" x14ac:dyDescent="0.25">
      <c r="B27" s="822"/>
    </row>
    <row r="78" ht="81" customHeight="1" x14ac:dyDescent="0.25"/>
    <row r="80" ht="97.5" customHeight="1" x14ac:dyDescent="0.25"/>
    <row r="82" ht="68.25" customHeight="1" x14ac:dyDescent="0.25"/>
    <row r="84" ht="63" customHeight="1" x14ac:dyDescent="0.25"/>
    <row r="86" ht="63.75" customHeight="1" x14ac:dyDescent="0.25"/>
    <row r="88" ht="37.5" customHeight="1" x14ac:dyDescent="0.25"/>
  </sheetData>
  <phoneticPr fontId="0" type="noConversion"/>
  <hyperlinks>
    <hyperlink ref="B24" r:id="rId1" xr:uid="{89DBDA5E-F160-446F-B223-8915C9290AAD}"/>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I185"/>
  <sheetViews>
    <sheetView zoomScaleNormal="100" workbookViewId="0">
      <selection activeCell="V22" sqref="V22"/>
    </sheetView>
  </sheetViews>
  <sheetFormatPr defaultRowHeight="13.2" x14ac:dyDescent="0.25"/>
  <cols>
    <col min="2" max="2" width="47.6640625" customWidth="1"/>
    <col min="3" max="3" width="11.5546875" bestFit="1" customWidth="1"/>
    <col min="4" max="4" width="8.44140625" customWidth="1"/>
    <col min="5" max="5" width="9.6640625" bestFit="1" customWidth="1"/>
    <col min="6" max="6" width="8.33203125" bestFit="1" customWidth="1"/>
    <col min="7" max="7" width="7.109375" bestFit="1" customWidth="1"/>
    <col min="8" max="8" width="8.33203125" bestFit="1" customWidth="1"/>
    <col min="9" max="11" width="7.109375" bestFit="1" customWidth="1"/>
    <col min="12" max="12" width="9.6640625" bestFit="1" customWidth="1"/>
    <col min="13" max="13" width="7.6640625" bestFit="1" customWidth="1"/>
    <col min="14" max="14" width="8.33203125" bestFit="1" customWidth="1"/>
    <col min="15" max="15" width="9.6640625" bestFit="1" customWidth="1"/>
    <col min="16" max="16" width="8.33203125" bestFit="1" customWidth="1"/>
    <col min="17" max="17" width="7.6640625" bestFit="1" customWidth="1"/>
    <col min="18" max="19" width="9.33203125" bestFit="1" customWidth="1"/>
    <col min="20" max="20" width="9.6640625" bestFit="1" customWidth="1"/>
    <col min="21" max="21" width="9.33203125" bestFit="1" customWidth="1"/>
    <col min="22" max="23" width="14.109375" bestFit="1" customWidth="1"/>
    <col min="24" max="24" width="8.33203125" bestFit="1" customWidth="1"/>
    <col min="25" max="25" width="9.6640625" bestFit="1" customWidth="1"/>
    <col min="26" max="26" width="8.33203125" bestFit="1" customWidth="1"/>
    <col min="27" max="27" width="7.6640625" bestFit="1" customWidth="1"/>
    <col min="28" max="28" width="9.6640625" bestFit="1" customWidth="1"/>
    <col min="29" max="29" width="8.33203125" bestFit="1" customWidth="1"/>
    <col min="30" max="32" width="7.109375" bestFit="1" customWidth="1"/>
    <col min="33" max="33" width="7.6640625" bestFit="1" customWidth="1"/>
    <col min="34" max="34" width="7.109375" bestFit="1" customWidth="1"/>
    <col min="35" max="35" width="8.33203125" bestFit="1" customWidth="1"/>
    <col min="36" max="37" width="7.109375" bestFit="1" customWidth="1"/>
    <col min="38" max="40" width="8.33203125" bestFit="1" customWidth="1"/>
    <col min="41" max="41" width="9.6640625" bestFit="1" customWidth="1"/>
    <col min="42" max="43" width="8.33203125" bestFit="1" customWidth="1"/>
    <col min="44" max="44" width="9.6640625" bestFit="1" customWidth="1"/>
    <col min="45" max="45" width="11.33203125" bestFit="1" customWidth="1"/>
    <col min="46" max="46" width="7.6640625" bestFit="1" customWidth="1"/>
    <col min="47" max="47" width="9.6640625" bestFit="1" customWidth="1"/>
    <col min="48" max="49" width="7.44140625" customWidth="1"/>
    <col min="50" max="51" width="14.6640625" customWidth="1"/>
    <col min="52" max="52" width="31" bestFit="1" customWidth="1"/>
    <col min="53" max="53" width="31.44140625" bestFit="1" customWidth="1"/>
    <col min="258" max="258" width="10.33203125" customWidth="1"/>
    <col min="259" max="259" width="12" customWidth="1"/>
    <col min="260" max="260" width="17.6640625" customWidth="1"/>
    <col min="261" max="261" width="17.33203125" customWidth="1"/>
    <col min="262" max="263" width="31" customWidth="1"/>
    <col min="264" max="267" width="25.33203125" customWidth="1"/>
    <col min="514" max="514" width="10.33203125" customWidth="1"/>
    <col min="515" max="515" width="12" customWidth="1"/>
    <col min="516" max="516" width="17.6640625" customWidth="1"/>
    <col min="517" max="517" width="17.33203125" customWidth="1"/>
    <col min="518" max="519" width="31" customWidth="1"/>
    <col min="520" max="523" width="25.33203125" customWidth="1"/>
    <col min="770" max="770" width="10.33203125" customWidth="1"/>
    <col min="771" max="771" width="12" customWidth="1"/>
    <col min="772" max="772" width="17.6640625" customWidth="1"/>
    <col min="773" max="773" width="17.33203125" customWidth="1"/>
    <col min="774" max="775" width="31" customWidth="1"/>
    <col min="776" max="779" width="25.33203125" customWidth="1"/>
    <col min="1026" max="1026" width="10.33203125" customWidth="1"/>
    <col min="1027" max="1027" width="12" customWidth="1"/>
    <col min="1028" max="1028" width="17.6640625" customWidth="1"/>
    <col min="1029" max="1029" width="17.33203125" customWidth="1"/>
    <col min="1030" max="1031" width="31" customWidth="1"/>
    <col min="1032" max="1035" width="25.33203125" customWidth="1"/>
    <col min="1282" max="1282" width="10.33203125" customWidth="1"/>
    <col min="1283" max="1283" width="12" customWidth="1"/>
    <col min="1284" max="1284" width="17.6640625" customWidth="1"/>
    <col min="1285" max="1285" width="17.33203125" customWidth="1"/>
    <col min="1286" max="1287" width="31" customWidth="1"/>
    <col min="1288" max="1291" width="25.33203125" customWidth="1"/>
    <col min="1538" max="1538" width="10.33203125" customWidth="1"/>
    <col min="1539" max="1539" width="12" customWidth="1"/>
    <col min="1540" max="1540" width="17.6640625" customWidth="1"/>
    <col min="1541" max="1541" width="17.33203125" customWidth="1"/>
    <col min="1542" max="1543" width="31" customWidth="1"/>
    <col min="1544" max="1547" width="25.33203125" customWidth="1"/>
    <col min="1794" max="1794" width="10.33203125" customWidth="1"/>
    <col min="1795" max="1795" width="12" customWidth="1"/>
    <col min="1796" max="1796" width="17.6640625" customWidth="1"/>
    <col min="1797" max="1797" width="17.33203125" customWidth="1"/>
    <col min="1798" max="1799" width="31" customWidth="1"/>
    <col min="1800" max="1803" width="25.33203125" customWidth="1"/>
    <col min="2050" max="2050" width="10.33203125" customWidth="1"/>
    <col min="2051" max="2051" width="12" customWidth="1"/>
    <col min="2052" max="2052" width="17.6640625" customWidth="1"/>
    <col min="2053" max="2053" width="17.33203125" customWidth="1"/>
    <col min="2054" max="2055" width="31" customWidth="1"/>
    <col min="2056" max="2059" width="25.33203125" customWidth="1"/>
    <col min="2306" max="2306" width="10.33203125" customWidth="1"/>
    <col min="2307" max="2307" width="12" customWidth="1"/>
    <col min="2308" max="2308" width="17.6640625" customWidth="1"/>
    <col min="2309" max="2309" width="17.33203125" customWidth="1"/>
    <col min="2310" max="2311" width="31" customWidth="1"/>
    <col min="2312" max="2315" width="25.33203125" customWidth="1"/>
    <col min="2562" max="2562" width="10.33203125" customWidth="1"/>
    <col min="2563" max="2563" width="12" customWidth="1"/>
    <col min="2564" max="2564" width="17.6640625" customWidth="1"/>
    <col min="2565" max="2565" width="17.33203125" customWidth="1"/>
    <col min="2566" max="2567" width="31" customWidth="1"/>
    <col min="2568" max="2571" width="25.33203125" customWidth="1"/>
    <col min="2818" max="2818" width="10.33203125" customWidth="1"/>
    <col min="2819" max="2819" width="12" customWidth="1"/>
    <col min="2820" max="2820" width="17.6640625" customWidth="1"/>
    <col min="2821" max="2821" width="17.33203125" customWidth="1"/>
    <col min="2822" max="2823" width="31" customWidth="1"/>
    <col min="2824" max="2827" width="25.33203125" customWidth="1"/>
    <col min="3074" max="3074" width="10.33203125" customWidth="1"/>
    <col min="3075" max="3075" width="12" customWidth="1"/>
    <col min="3076" max="3076" width="17.6640625" customWidth="1"/>
    <col min="3077" max="3077" width="17.33203125" customWidth="1"/>
    <col min="3078" max="3079" width="31" customWidth="1"/>
    <col min="3080" max="3083" width="25.33203125" customWidth="1"/>
    <col min="3330" max="3330" width="10.33203125" customWidth="1"/>
    <col min="3331" max="3331" width="12" customWidth="1"/>
    <col min="3332" max="3332" width="17.6640625" customWidth="1"/>
    <col min="3333" max="3333" width="17.33203125" customWidth="1"/>
    <col min="3334" max="3335" width="31" customWidth="1"/>
    <col min="3336" max="3339" width="25.33203125" customWidth="1"/>
    <col min="3586" max="3586" width="10.33203125" customWidth="1"/>
    <col min="3587" max="3587" width="12" customWidth="1"/>
    <col min="3588" max="3588" width="17.6640625" customWidth="1"/>
    <col min="3589" max="3589" width="17.33203125" customWidth="1"/>
    <col min="3590" max="3591" width="31" customWidth="1"/>
    <col min="3592" max="3595" width="25.33203125" customWidth="1"/>
    <col min="3842" max="3842" width="10.33203125" customWidth="1"/>
    <col min="3843" max="3843" width="12" customWidth="1"/>
    <col min="3844" max="3844" width="17.6640625" customWidth="1"/>
    <col min="3845" max="3845" width="17.33203125" customWidth="1"/>
    <col min="3846" max="3847" width="31" customWidth="1"/>
    <col min="3848" max="3851" width="25.33203125" customWidth="1"/>
    <col min="4098" max="4098" width="10.33203125" customWidth="1"/>
    <col min="4099" max="4099" width="12" customWidth="1"/>
    <col min="4100" max="4100" width="17.6640625" customWidth="1"/>
    <col min="4101" max="4101" width="17.33203125" customWidth="1"/>
    <col min="4102" max="4103" width="31" customWidth="1"/>
    <col min="4104" max="4107" width="25.33203125" customWidth="1"/>
    <col min="4354" max="4354" width="10.33203125" customWidth="1"/>
    <col min="4355" max="4355" width="12" customWidth="1"/>
    <col min="4356" max="4356" width="17.6640625" customWidth="1"/>
    <col min="4357" max="4357" width="17.33203125" customWidth="1"/>
    <col min="4358" max="4359" width="31" customWidth="1"/>
    <col min="4360" max="4363" width="25.33203125" customWidth="1"/>
    <col min="4610" max="4610" width="10.33203125" customWidth="1"/>
    <col min="4611" max="4611" width="12" customWidth="1"/>
    <col min="4612" max="4612" width="17.6640625" customWidth="1"/>
    <col min="4613" max="4613" width="17.33203125" customWidth="1"/>
    <col min="4614" max="4615" width="31" customWidth="1"/>
    <col min="4616" max="4619" width="25.33203125" customWidth="1"/>
    <col min="4866" max="4866" width="10.33203125" customWidth="1"/>
    <col min="4867" max="4867" width="12" customWidth="1"/>
    <col min="4868" max="4868" width="17.6640625" customWidth="1"/>
    <col min="4869" max="4869" width="17.33203125" customWidth="1"/>
    <col min="4870" max="4871" width="31" customWidth="1"/>
    <col min="4872" max="4875" width="25.33203125" customWidth="1"/>
    <col min="5122" max="5122" width="10.33203125" customWidth="1"/>
    <col min="5123" max="5123" width="12" customWidth="1"/>
    <col min="5124" max="5124" width="17.6640625" customWidth="1"/>
    <col min="5125" max="5125" width="17.33203125" customWidth="1"/>
    <col min="5126" max="5127" width="31" customWidth="1"/>
    <col min="5128" max="5131" width="25.33203125" customWidth="1"/>
    <col min="5378" max="5378" width="10.33203125" customWidth="1"/>
    <col min="5379" max="5379" width="12" customWidth="1"/>
    <col min="5380" max="5380" width="17.6640625" customWidth="1"/>
    <col min="5381" max="5381" width="17.33203125" customWidth="1"/>
    <col min="5382" max="5383" width="31" customWidth="1"/>
    <col min="5384" max="5387" width="25.33203125" customWidth="1"/>
    <col min="5634" max="5634" width="10.33203125" customWidth="1"/>
    <col min="5635" max="5635" width="12" customWidth="1"/>
    <col min="5636" max="5636" width="17.6640625" customWidth="1"/>
    <col min="5637" max="5637" width="17.33203125" customWidth="1"/>
    <col min="5638" max="5639" width="31" customWidth="1"/>
    <col min="5640" max="5643" width="25.33203125" customWidth="1"/>
    <col min="5890" max="5890" width="10.33203125" customWidth="1"/>
    <col min="5891" max="5891" width="12" customWidth="1"/>
    <col min="5892" max="5892" width="17.6640625" customWidth="1"/>
    <col min="5893" max="5893" width="17.33203125" customWidth="1"/>
    <col min="5894" max="5895" width="31" customWidth="1"/>
    <col min="5896" max="5899" width="25.33203125" customWidth="1"/>
    <col min="6146" max="6146" width="10.33203125" customWidth="1"/>
    <col min="6147" max="6147" width="12" customWidth="1"/>
    <col min="6148" max="6148" width="17.6640625" customWidth="1"/>
    <col min="6149" max="6149" width="17.33203125" customWidth="1"/>
    <col min="6150" max="6151" width="31" customWidth="1"/>
    <col min="6152" max="6155" width="25.33203125" customWidth="1"/>
    <col min="6402" max="6402" width="10.33203125" customWidth="1"/>
    <col min="6403" max="6403" width="12" customWidth="1"/>
    <col min="6404" max="6404" width="17.6640625" customWidth="1"/>
    <col min="6405" max="6405" width="17.33203125" customWidth="1"/>
    <col min="6406" max="6407" width="31" customWidth="1"/>
    <col min="6408" max="6411" width="25.33203125" customWidth="1"/>
    <col min="6658" max="6658" width="10.33203125" customWidth="1"/>
    <col min="6659" max="6659" width="12" customWidth="1"/>
    <col min="6660" max="6660" width="17.6640625" customWidth="1"/>
    <col min="6661" max="6661" width="17.33203125" customWidth="1"/>
    <col min="6662" max="6663" width="31" customWidth="1"/>
    <col min="6664" max="6667" width="25.33203125" customWidth="1"/>
    <col min="6914" max="6914" width="10.33203125" customWidth="1"/>
    <col min="6915" max="6915" width="12" customWidth="1"/>
    <col min="6916" max="6916" width="17.6640625" customWidth="1"/>
    <col min="6917" max="6917" width="17.33203125" customWidth="1"/>
    <col min="6918" max="6919" width="31" customWidth="1"/>
    <col min="6920" max="6923" width="25.33203125" customWidth="1"/>
    <col min="7170" max="7170" width="10.33203125" customWidth="1"/>
    <col min="7171" max="7171" width="12" customWidth="1"/>
    <col min="7172" max="7172" width="17.6640625" customWidth="1"/>
    <col min="7173" max="7173" width="17.33203125" customWidth="1"/>
    <col min="7174" max="7175" width="31" customWidth="1"/>
    <col min="7176" max="7179" width="25.33203125" customWidth="1"/>
    <col min="7426" max="7426" width="10.33203125" customWidth="1"/>
    <col min="7427" max="7427" width="12" customWidth="1"/>
    <col min="7428" max="7428" width="17.6640625" customWidth="1"/>
    <col min="7429" max="7429" width="17.33203125" customWidth="1"/>
    <col min="7430" max="7431" width="31" customWidth="1"/>
    <col min="7432" max="7435" width="25.33203125" customWidth="1"/>
    <col min="7682" max="7682" width="10.33203125" customWidth="1"/>
    <col min="7683" max="7683" width="12" customWidth="1"/>
    <col min="7684" max="7684" width="17.6640625" customWidth="1"/>
    <col min="7685" max="7685" width="17.33203125" customWidth="1"/>
    <col min="7686" max="7687" width="31" customWidth="1"/>
    <col min="7688" max="7691" width="25.33203125" customWidth="1"/>
    <col min="7938" max="7938" width="10.33203125" customWidth="1"/>
    <col min="7939" max="7939" width="12" customWidth="1"/>
    <col min="7940" max="7940" width="17.6640625" customWidth="1"/>
    <col min="7941" max="7941" width="17.33203125" customWidth="1"/>
    <col min="7942" max="7943" width="31" customWidth="1"/>
    <col min="7944" max="7947" width="25.33203125" customWidth="1"/>
    <col min="8194" max="8194" width="10.33203125" customWidth="1"/>
    <col min="8195" max="8195" width="12" customWidth="1"/>
    <col min="8196" max="8196" width="17.6640625" customWidth="1"/>
    <col min="8197" max="8197" width="17.33203125" customWidth="1"/>
    <col min="8198" max="8199" width="31" customWidth="1"/>
    <col min="8200" max="8203" width="25.33203125" customWidth="1"/>
    <col min="8450" max="8450" width="10.33203125" customWidth="1"/>
    <col min="8451" max="8451" width="12" customWidth="1"/>
    <col min="8452" max="8452" width="17.6640625" customWidth="1"/>
    <col min="8453" max="8453" width="17.33203125" customWidth="1"/>
    <col min="8454" max="8455" width="31" customWidth="1"/>
    <col min="8456" max="8459" width="25.33203125" customWidth="1"/>
    <col min="8706" max="8706" width="10.33203125" customWidth="1"/>
    <col min="8707" max="8707" width="12" customWidth="1"/>
    <col min="8708" max="8708" width="17.6640625" customWidth="1"/>
    <col min="8709" max="8709" width="17.33203125" customWidth="1"/>
    <col min="8710" max="8711" width="31" customWidth="1"/>
    <col min="8712" max="8715" width="25.33203125" customWidth="1"/>
    <col min="8962" max="8962" width="10.33203125" customWidth="1"/>
    <col min="8963" max="8963" width="12" customWidth="1"/>
    <col min="8964" max="8964" width="17.6640625" customWidth="1"/>
    <col min="8965" max="8965" width="17.33203125" customWidth="1"/>
    <col min="8966" max="8967" width="31" customWidth="1"/>
    <col min="8968" max="8971" width="25.33203125" customWidth="1"/>
    <col min="9218" max="9218" width="10.33203125" customWidth="1"/>
    <col min="9219" max="9219" width="12" customWidth="1"/>
    <col min="9220" max="9220" width="17.6640625" customWidth="1"/>
    <col min="9221" max="9221" width="17.33203125" customWidth="1"/>
    <col min="9222" max="9223" width="31" customWidth="1"/>
    <col min="9224" max="9227" width="25.33203125" customWidth="1"/>
    <col min="9474" max="9474" width="10.33203125" customWidth="1"/>
    <col min="9475" max="9475" width="12" customWidth="1"/>
    <col min="9476" max="9476" width="17.6640625" customWidth="1"/>
    <col min="9477" max="9477" width="17.33203125" customWidth="1"/>
    <col min="9478" max="9479" width="31" customWidth="1"/>
    <col min="9480" max="9483" width="25.33203125" customWidth="1"/>
    <col min="9730" max="9730" width="10.33203125" customWidth="1"/>
    <col min="9731" max="9731" width="12" customWidth="1"/>
    <col min="9732" max="9732" width="17.6640625" customWidth="1"/>
    <col min="9733" max="9733" width="17.33203125" customWidth="1"/>
    <col min="9734" max="9735" width="31" customWidth="1"/>
    <col min="9736" max="9739" width="25.33203125" customWidth="1"/>
    <col min="9986" max="9986" width="10.33203125" customWidth="1"/>
    <col min="9987" max="9987" width="12" customWidth="1"/>
    <col min="9988" max="9988" width="17.6640625" customWidth="1"/>
    <col min="9989" max="9989" width="17.33203125" customWidth="1"/>
    <col min="9990" max="9991" width="31" customWidth="1"/>
    <col min="9992" max="9995" width="25.33203125" customWidth="1"/>
    <col min="10242" max="10242" width="10.33203125" customWidth="1"/>
    <col min="10243" max="10243" width="12" customWidth="1"/>
    <col min="10244" max="10244" width="17.6640625" customWidth="1"/>
    <col min="10245" max="10245" width="17.33203125" customWidth="1"/>
    <col min="10246" max="10247" width="31" customWidth="1"/>
    <col min="10248" max="10251" width="25.33203125" customWidth="1"/>
    <col min="10498" max="10498" width="10.33203125" customWidth="1"/>
    <col min="10499" max="10499" width="12" customWidth="1"/>
    <col min="10500" max="10500" width="17.6640625" customWidth="1"/>
    <col min="10501" max="10501" width="17.33203125" customWidth="1"/>
    <col min="10502" max="10503" width="31" customWidth="1"/>
    <col min="10504" max="10507" width="25.33203125" customWidth="1"/>
    <col min="10754" max="10754" width="10.33203125" customWidth="1"/>
    <col min="10755" max="10755" width="12" customWidth="1"/>
    <col min="10756" max="10756" width="17.6640625" customWidth="1"/>
    <col min="10757" max="10757" width="17.33203125" customWidth="1"/>
    <col min="10758" max="10759" width="31" customWidth="1"/>
    <col min="10760" max="10763" width="25.33203125" customWidth="1"/>
    <col min="11010" max="11010" width="10.33203125" customWidth="1"/>
    <col min="11011" max="11011" width="12" customWidth="1"/>
    <col min="11012" max="11012" width="17.6640625" customWidth="1"/>
    <col min="11013" max="11013" width="17.33203125" customWidth="1"/>
    <col min="11014" max="11015" width="31" customWidth="1"/>
    <col min="11016" max="11019" width="25.33203125" customWidth="1"/>
    <col min="11266" max="11266" width="10.33203125" customWidth="1"/>
    <col min="11267" max="11267" width="12" customWidth="1"/>
    <col min="11268" max="11268" width="17.6640625" customWidth="1"/>
    <col min="11269" max="11269" width="17.33203125" customWidth="1"/>
    <col min="11270" max="11271" width="31" customWidth="1"/>
    <col min="11272" max="11275" width="25.33203125" customWidth="1"/>
    <col min="11522" max="11522" width="10.33203125" customWidth="1"/>
    <col min="11523" max="11523" width="12" customWidth="1"/>
    <col min="11524" max="11524" width="17.6640625" customWidth="1"/>
    <col min="11525" max="11525" width="17.33203125" customWidth="1"/>
    <col min="11526" max="11527" width="31" customWidth="1"/>
    <col min="11528" max="11531" width="25.33203125" customWidth="1"/>
    <col min="11778" max="11778" width="10.33203125" customWidth="1"/>
    <col min="11779" max="11779" width="12" customWidth="1"/>
    <col min="11780" max="11780" width="17.6640625" customWidth="1"/>
    <col min="11781" max="11781" width="17.33203125" customWidth="1"/>
    <col min="11782" max="11783" width="31" customWidth="1"/>
    <col min="11784" max="11787" width="25.33203125" customWidth="1"/>
    <col min="12034" max="12034" width="10.33203125" customWidth="1"/>
    <col min="12035" max="12035" width="12" customWidth="1"/>
    <col min="12036" max="12036" width="17.6640625" customWidth="1"/>
    <col min="12037" max="12037" width="17.33203125" customWidth="1"/>
    <col min="12038" max="12039" width="31" customWidth="1"/>
    <col min="12040" max="12043" width="25.33203125" customWidth="1"/>
    <col min="12290" max="12290" width="10.33203125" customWidth="1"/>
    <col min="12291" max="12291" width="12" customWidth="1"/>
    <col min="12292" max="12292" width="17.6640625" customWidth="1"/>
    <col min="12293" max="12293" width="17.33203125" customWidth="1"/>
    <col min="12294" max="12295" width="31" customWidth="1"/>
    <col min="12296" max="12299" width="25.33203125" customWidth="1"/>
    <col min="12546" max="12546" width="10.33203125" customWidth="1"/>
    <col min="12547" max="12547" width="12" customWidth="1"/>
    <col min="12548" max="12548" width="17.6640625" customWidth="1"/>
    <col min="12549" max="12549" width="17.33203125" customWidth="1"/>
    <col min="12550" max="12551" width="31" customWidth="1"/>
    <col min="12552" max="12555" width="25.33203125" customWidth="1"/>
    <col min="12802" max="12802" width="10.33203125" customWidth="1"/>
    <col min="12803" max="12803" width="12" customWidth="1"/>
    <col min="12804" max="12804" width="17.6640625" customWidth="1"/>
    <col min="12805" max="12805" width="17.33203125" customWidth="1"/>
    <col min="12806" max="12807" width="31" customWidth="1"/>
    <col min="12808" max="12811" width="25.33203125" customWidth="1"/>
    <col min="13058" max="13058" width="10.33203125" customWidth="1"/>
    <col min="13059" max="13059" width="12" customWidth="1"/>
    <col min="13060" max="13060" width="17.6640625" customWidth="1"/>
    <col min="13061" max="13061" width="17.33203125" customWidth="1"/>
    <col min="13062" max="13063" width="31" customWidth="1"/>
    <col min="13064" max="13067" width="25.33203125" customWidth="1"/>
    <col min="13314" max="13314" width="10.33203125" customWidth="1"/>
    <col min="13315" max="13315" width="12" customWidth="1"/>
    <col min="13316" max="13316" width="17.6640625" customWidth="1"/>
    <col min="13317" max="13317" width="17.33203125" customWidth="1"/>
    <col min="13318" max="13319" width="31" customWidth="1"/>
    <col min="13320" max="13323" width="25.33203125" customWidth="1"/>
    <col min="13570" max="13570" width="10.33203125" customWidth="1"/>
    <col min="13571" max="13571" width="12" customWidth="1"/>
    <col min="13572" max="13572" width="17.6640625" customWidth="1"/>
    <col min="13573" max="13573" width="17.33203125" customWidth="1"/>
    <col min="13574" max="13575" width="31" customWidth="1"/>
    <col min="13576" max="13579" width="25.33203125" customWidth="1"/>
    <col min="13826" max="13826" width="10.33203125" customWidth="1"/>
    <col min="13827" max="13827" width="12" customWidth="1"/>
    <col min="13828" max="13828" width="17.6640625" customWidth="1"/>
    <col min="13829" max="13829" width="17.33203125" customWidth="1"/>
    <col min="13830" max="13831" width="31" customWidth="1"/>
    <col min="13832" max="13835" width="25.33203125" customWidth="1"/>
    <col min="14082" max="14082" width="10.33203125" customWidth="1"/>
    <col min="14083" max="14083" width="12" customWidth="1"/>
    <col min="14084" max="14084" width="17.6640625" customWidth="1"/>
    <col min="14085" max="14085" width="17.33203125" customWidth="1"/>
    <col min="14086" max="14087" width="31" customWidth="1"/>
    <col min="14088" max="14091" width="25.33203125" customWidth="1"/>
    <col min="14338" max="14338" width="10.33203125" customWidth="1"/>
    <col min="14339" max="14339" width="12" customWidth="1"/>
    <col min="14340" max="14340" width="17.6640625" customWidth="1"/>
    <col min="14341" max="14341" width="17.33203125" customWidth="1"/>
    <col min="14342" max="14343" width="31" customWidth="1"/>
    <col min="14344" max="14347" width="25.33203125" customWidth="1"/>
    <col min="14594" max="14594" width="10.33203125" customWidth="1"/>
    <col min="14595" max="14595" width="12" customWidth="1"/>
    <col min="14596" max="14596" width="17.6640625" customWidth="1"/>
    <col min="14597" max="14597" width="17.33203125" customWidth="1"/>
    <col min="14598" max="14599" width="31" customWidth="1"/>
    <col min="14600" max="14603" width="25.33203125" customWidth="1"/>
    <col min="14850" max="14850" width="10.33203125" customWidth="1"/>
    <col min="14851" max="14851" width="12" customWidth="1"/>
    <col min="14852" max="14852" width="17.6640625" customWidth="1"/>
    <col min="14853" max="14853" width="17.33203125" customWidth="1"/>
    <col min="14854" max="14855" width="31" customWidth="1"/>
    <col min="14856" max="14859" width="25.33203125" customWidth="1"/>
    <col min="15106" max="15106" width="10.33203125" customWidth="1"/>
    <col min="15107" max="15107" width="12" customWidth="1"/>
    <col min="15108" max="15108" width="17.6640625" customWidth="1"/>
    <col min="15109" max="15109" width="17.33203125" customWidth="1"/>
    <col min="15110" max="15111" width="31" customWidth="1"/>
    <col min="15112" max="15115" width="25.33203125" customWidth="1"/>
    <col min="15362" max="15362" width="10.33203125" customWidth="1"/>
    <col min="15363" max="15363" width="12" customWidth="1"/>
    <col min="15364" max="15364" width="17.6640625" customWidth="1"/>
    <col min="15365" max="15365" width="17.33203125" customWidth="1"/>
    <col min="15366" max="15367" width="31" customWidth="1"/>
    <col min="15368" max="15371" width="25.33203125" customWidth="1"/>
    <col min="15618" max="15618" width="10.33203125" customWidth="1"/>
    <col min="15619" max="15619" width="12" customWidth="1"/>
    <col min="15620" max="15620" width="17.6640625" customWidth="1"/>
    <col min="15621" max="15621" width="17.33203125" customWidth="1"/>
    <col min="15622" max="15623" width="31" customWidth="1"/>
    <col min="15624" max="15627" width="25.33203125" customWidth="1"/>
    <col min="15874" max="15874" width="10.33203125" customWidth="1"/>
    <col min="15875" max="15875" width="12" customWidth="1"/>
    <col min="15876" max="15876" width="17.6640625" customWidth="1"/>
    <col min="15877" max="15877" width="17.33203125" customWidth="1"/>
    <col min="15878" max="15879" width="31" customWidth="1"/>
    <col min="15880" max="15883" width="25.33203125" customWidth="1"/>
    <col min="16130" max="16130" width="10.33203125" customWidth="1"/>
    <col min="16131" max="16131" width="12" customWidth="1"/>
    <col min="16132" max="16132" width="17.6640625" customWidth="1"/>
    <col min="16133" max="16133" width="17.33203125" customWidth="1"/>
    <col min="16134" max="16135" width="31" customWidth="1"/>
    <col min="16136" max="16139" width="25.33203125" customWidth="1"/>
  </cols>
  <sheetData>
    <row r="1" spans="1:61" x14ac:dyDescent="0.25">
      <c r="A1" s="881"/>
      <c r="B1" s="881"/>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881"/>
      <c r="AJ1" s="881"/>
      <c r="AK1" s="881"/>
      <c r="AL1" s="881"/>
      <c r="AM1" s="881"/>
      <c r="AN1" s="881"/>
      <c r="AO1" s="881"/>
      <c r="AP1" s="881"/>
      <c r="AQ1" s="881"/>
      <c r="AR1" s="881"/>
      <c r="AS1" s="881"/>
      <c r="AT1" s="881"/>
      <c r="AU1" s="881"/>
      <c r="AV1" s="881"/>
      <c r="AW1" s="881"/>
      <c r="AX1" s="881"/>
      <c r="AY1" s="881"/>
      <c r="AZ1" s="881"/>
      <c r="BA1" s="881"/>
      <c r="BB1" s="881"/>
      <c r="BC1" s="881"/>
      <c r="BD1" s="881"/>
      <c r="BE1" s="881"/>
      <c r="BF1" s="881"/>
      <c r="BG1" s="881"/>
      <c r="BH1" s="881"/>
      <c r="BI1" s="881"/>
    </row>
    <row r="2" spans="1:61" ht="21" x14ac:dyDescent="0.5">
      <c r="A2" s="881"/>
      <c r="B2" s="1158" t="s">
        <v>404</v>
      </c>
      <c r="C2" s="881"/>
      <c r="D2" s="881"/>
      <c r="E2" s="881"/>
      <c r="F2" s="881"/>
      <c r="G2" s="881"/>
      <c r="H2" s="881"/>
      <c r="I2" s="881"/>
      <c r="J2" s="881"/>
      <c r="K2" s="881"/>
      <c r="L2" s="881"/>
      <c r="M2" s="881"/>
      <c r="N2" s="881"/>
      <c r="O2" s="881"/>
      <c r="P2" s="881"/>
      <c r="Q2" s="881"/>
      <c r="R2" s="881"/>
      <c r="S2" s="881"/>
      <c r="T2" s="881"/>
      <c r="U2" s="881"/>
      <c r="V2" s="881"/>
      <c r="W2" s="881"/>
      <c r="X2" s="881"/>
      <c r="Y2" s="881"/>
      <c r="Z2" s="881"/>
      <c r="AA2" s="881"/>
      <c r="AB2" s="881"/>
      <c r="AC2" s="881"/>
      <c r="AD2" s="881"/>
      <c r="AE2" s="881"/>
      <c r="AF2" s="881"/>
      <c r="AG2" s="881"/>
      <c r="AH2" s="881"/>
      <c r="AI2" s="881"/>
      <c r="AJ2" s="881"/>
      <c r="AK2" s="881"/>
      <c r="AL2" s="881"/>
      <c r="AM2" s="881"/>
      <c r="AN2" s="881"/>
      <c r="AO2" s="881"/>
      <c r="AP2" s="881"/>
      <c r="AQ2" s="881"/>
      <c r="AR2" s="881"/>
      <c r="AS2" s="881"/>
      <c r="AT2" s="881"/>
      <c r="AU2" s="881"/>
      <c r="AV2" s="881"/>
      <c r="AW2" s="881"/>
      <c r="AX2" s="881"/>
      <c r="AY2" s="881"/>
      <c r="AZ2" s="881"/>
      <c r="BA2" s="881"/>
      <c r="BB2" s="881"/>
      <c r="BC2" s="881"/>
      <c r="BD2" s="881"/>
      <c r="BE2" s="881"/>
      <c r="BF2" s="881"/>
      <c r="BG2" s="881"/>
      <c r="BH2" s="881"/>
      <c r="BI2" s="881"/>
    </row>
    <row r="3" spans="1:61" x14ac:dyDescent="0.25">
      <c r="A3" s="881"/>
      <c r="B3" s="881"/>
      <c r="C3" s="881"/>
      <c r="D3" s="881"/>
      <c r="E3" s="881"/>
      <c r="F3" s="881"/>
      <c r="G3" s="881"/>
      <c r="H3" s="881"/>
      <c r="I3" s="881"/>
      <c r="J3" s="881"/>
      <c r="K3" s="881"/>
      <c r="L3" s="881"/>
      <c r="M3" s="881"/>
      <c r="N3" s="881"/>
      <c r="O3" s="881"/>
      <c r="P3" s="881"/>
      <c r="Q3" s="881"/>
      <c r="R3" s="881"/>
      <c r="S3" s="881"/>
      <c r="T3" s="881"/>
      <c r="U3" s="881"/>
      <c r="V3" s="881"/>
      <c r="W3" s="881"/>
      <c r="X3" s="881"/>
      <c r="Y3" s="881"/>
      <c r="Z3" s="881"/>
      <c r="AA3" s="881"/>
      <c r="AB3" s="881"/>
      <c r="AC3" s="881"/>
      <c r="AD3" s="881"/>
      <c r="AE3" s="881"/>
      <c r="AF3" s="881"/>
      <c r="AG3" s="881"/>
      <c r="AH3" s="881"/>
      <c r="AI3" s="881"/>
      <c r="AJ3" s="881"/>
      <c r="AK3" s="881"/>
      <c r="AL3" s="881"/>
      <c r="AM3" s="881"/>
      <c r="AN3" s="881"/>
      <c r="AO3" s="881"/>
      <c r="AP3" s="881"/>
      <c r="AQ3" s="881"/>
      <c r="AR3" s="881"/>
      <c r="AS3" s="881"/>
      <c r="AT3" s="881"/>
      <c r="AU3" s="881"/>
      <c r="AV3" s="881"/>
      <c r="AW3" s="881"/>
      <c r="AX3" s="881"/>
      <c r="AY3" s="881"/>
      <c r="AZ3" s="881"/>
      <c r="BA3" s="881"/>
      <c r="BB3" s="881"/>
      <c r="BC3" s="881"/>
      <c r="BD3" s="881"/>
      <c r="BE3" s="881"/>
      <c r="BF3" s="881"/>
      <c r="BG3" s="881"/>
      <c r="BH3" s="881"/>
      <c r="BI3" s="881"/>
    </row>
    <row r="4" spans="1:61" x14ac:dyDescent="0.25">
      <c r="A4" s="881"/>
      <c r="B4" s="881"/>
      <c r="C4" s="881"/>
      <c r="D4" s="881"/>
      <c r="E4" s="881"/>
      <c r="F4" s="881"/>
      <c r="G4" s="881"/>
      <c r="H4" s="881"/>
      <c r="I4" s="881"/>
      <c r="J4" s="881"/>
      <c r="K4" s="881"/>
      <c r="L4" s="881"/>
      <c r="M4" s="881"/>
      <c r="N4" s="881"/>
      <c r="O4" s="881"/>
      <c r="P4" s="881"/>
      <c r="Q4" s="881"/>
      <c r="R4" s="881"/>
      <c r="S4" s="881"/>
      <c r="T4" s="881"/>
      <c r="U4" s="881"/>
      <c r="V4" s="881"/>
      <c r="W4" s="881"/>
      <c r="X4" s="881"/>
      <c r="Y4" s="881"/>
      <c r="Z4" s="881"/>
      <c r="AA4" s="881"/>
      <c r="AB4" s="881"/>
      <c r="AC4" s="881"/>
      <c r="AD4" s="881"/>
      <c r="AE4" s="881"/>
      <c r="AF4" s="881"/>
      <c r="AG4" s="881"/>
      <c r="AH4" s="881"/>
      <c r="AI4" s="881"/>
      <c r="AJ4" s="881"/>
      <c r="AK4" s="881"/>
      <c r="AL4" s="881"/>
      <c r="AM4" s="881"/>
      <c r="AN4" s="881"/>
      <c r="AO4" s="881"/>
      <c r="AP4" s="881"/>
      <c r="AQ4" s="881"/>
      <c r="AR4" s="881"/>
      <c r="AS4" s="881"/>
      <c r="AT4" s="881"/>
      <c r="AU4" s="881"/>
      <c r="AV4" s="881"/>
      <c r="AW4" s="881"/>
      <c r="AX4" s="881"/>
      <c r="AY4" s="881"/>
      <c r="AZ4" s="881"/>
      <c r="BA4" s="881"/>
      <c r="BB4" s="881"/>
      <c r="BC4" s="881"/>
      <c r="BD4" s="881"/>
      <c r="BE4" s="881"/>
      <c r="BF4" s="881"/>
      <c r="BG4" s="881"/>
      <c r="BH4" s="881"/>
      <c r="BI4" s="881"/>
    </row>
    <row r="5" spans="1:61" x14ac:dyDescent="0.25">
      <c r="A5" s="881"/>
      <c r="B5" s="881"/>
      <c r="C5" s="881"/>
      <c r="D5" s="881"/>
      <c r="E5" s="881"/>
      <c r="F5" s="881"/>
      <c r="G5" s="881"/>
      <c r="H5" s="881"/>
      <c r="I5" s="881"/>
      <c r="J5" s="881"/>
      <c r="K5" s="881"/>
      <c r="L5" s="881"/>
      <c r="M5" s="881"/>
      <c r="N5" s="881"/>
      <c r="O5" s="881"/>
      <c r="P5" s="881"/>
      <c r="Q5" s="881"/>
      <c r="R5" s="881"/>
      <c r="S5" s="883" t="s">
        <v>1312</v>
      </c>
      <c r="T5" s="881"/>
      <c r="U5" s="881"/>
      <c r="V5" s="881"/>
      <c r="W5" s="881"/>
      <c r="X5" s="881"/>
      <c r="Y5" s="881"/>
      <c r="Z5" s="881"/>
      <c r="AA5" s="881"/>
      <c r="AB5" s="881"/>
      <c r="AC5" s="881"/>
      <c r="AD5" s="881"/>
      <c r="AE5" s="881"/>
      <c r="AF5" s="881"/>
      <c r="AG5" s="881"/>
      <c r="AH5" s="881"/>
      <c r="AI5" s="881"/>
      <c r="AJ5" s="881"/>
      <c r="AK5" s="881"/>
      <c r="AL5" s="881"/>
      <c r="AM5" s="881"/>
      <c r="AN5" s="881"/>
      <c r="AO5" s="881"/>
      <c r="AP5" s="881"/>
      <c r="AQ5" s="881"/>
      <c r="AR5" s="881"/>
      <c r="AS5" s="881"/>
      <c r="AT5" s="881"/>
      <c r="AU5" s="881"/>
      <c r="AV5" s="881"/>
      <c r="AW5" s="881"/>
      <c r="AX5" s="881"/>
      <c r="AY5" s="881"/>
      <c r="AZ5" s="881"/>
      <c r="BA5" s="881"/>
      <c r="BB5" s="881"/>
      <c r="BC5" s="881"/>
      <c r="BD5" s="881"/>
      <c r="BE5" s="881"/>
      <c r="BF5" s="881"/>
      <c r="BG5" s="881"/>
      <c r="BH5" s="881"/>
      <c r="BI5" s="881"/>
    </row>
    <row r="6" spans="1:61" x14ac:dyDescent="0.25">
      <c r="A6" s="881"/>
      <c r="B6" s="1157" t="s">
        <v>201</v>
      </c>
      <c r="C6" s="881"/>
      <c r="D6" s="881"/>
      <c r="E6" s="881"/>
      <c r="F6" s="881"/>
      <c r="G6" s="881"/>
      <c r="H6" s="881"/>
      <c r="I6" s="881"/>
      <c r="J6" s="881"/>
      <c r="K6" s="881"/>
      <c r="L6" s="881"/>
      <c r="M6" s="881"/>
      <c r="N6" s="881"/>
      <c r="P6" s="881"/>
      <c r="Q6" s="881"/>
      <c r="R6" s="881"/>
      <c r="S6" s="1493" t="s">
        <v>1313</v>
      </c>
      <c r="T6" s="1494"/>
      <c r="U6" s="1495"/>
      <c r="V6" s="1469">
        <f>+I78/(J70+J71+2*J72+3*J73+4*J74+J75+J76)</f>
        <v>2.4526517551381182</v>
      </c>
      <c r="W6" s="882"/>
      <c r="X6" s="881"/>
      <c r="Y6" s="881"/>
      <c r="Z6" s="881"/>
      <c r="AA6" s="881"/>
      <c r="AB6" s="881"/>
      <c r="AC6" s="881"/>
      <c r="AD6" s="881"/>
      <c r="AE6" s="881"/>
      <c r="AF6" s="881"/>
      <c r="AG6" s="881"/>
      <c r="AH6" s="881"/>
      <c r="AI6" s="881"/>
      <c r="AJ6" s="881"/>
      <c r="AK6" s="881"/>
      <c r="AL6" s="881"/>
      <c r="AM6" s="881"/>
      <c r="AN6" s="881"/>
      <c r="AO6" s="881"/>
      <c r="AP6" s="881"/>
      <c r="AQ6" s="881"/>
      <c r="AR6" s="881"/>
      <c r="AS6" s="881"/>
      <c r="AT6" s="881"/>
      <c r="AU6" s="881"/>
      <c r="AV6" s="881"/>
      <c r="AW6" s="881"/>
      <c r="AX6" s="881"/>
      <c r="AY6" s="881"/>
      <c r="AZ6" s="881"/>
      <c r="BA6" s="881"/>
      <c r="BB6" s="881"/>
      <c r="BC6" s="881"/>
      <c r="BD6" s="881"/>
      <c r="BE6" s="881"/>
      <c r="BF6" s="881"/>
      <c r="BG6" s="881"/>
      <c r="BH6" s="881"/>
      <c r="BI6" s="881"/>
    </row>
    <row r="7" spans="1:61" x14ac:dyDescent="0.25">
      <c r="A7" s="881"/>
      <c r="B7" s="881"/>
      <c r="C7" s="881"/>
      <c r="D7" s="881"/>
      <c r="E7" s="881"/>
      <c r="F7" s="881"/>
      <c r="G7" s="881"/>
      <c r="H7" s="881"/>
      <c r="I7" s="881"/>
      <c r="J7" s="881"/>
      <c r="K7" s="881"/>
      <c r="L7" s="881"/>
      <c r="M7" s="881"/>
      <c r="N7" s="881"/>
      <c r="O7" s="881"/>
      <c r="P7" s="881"/>
      <c r="Q7" s="881"/>
      <c r="R7" s="881"/>
      <c r="S7" s="1409" t="s">
        <v>1314</v>
      </c>
      <c r="T7" s="1410"/>
      <c r="U7" s="1411"/>
      <c r="V7" s="1381">
        <f>-(E70*AA70+E72*AA72+E73*AA73+E74*AA74)*1000</f>
        <v>3562464761.8560004</v>
      </c>
      <c r="W7" s="1381">
        <f>-(E70*AB70+E72*AB72+E73*AB73+E74*AB74)*1000</f>
        <v>3946977698.4000001</v>
      </c>
      <c r="X7" s="882" t="s">
        <v>1315</v>
      </c>
      <c r="Y7" s="881"/>
      <c r="Z7" s="881"/>
      <c r="AA7" s="881"/>
      <c r="AB7" s="881"/>
      <c r="AC7" s="881"/>
      <c r="AD7" s="881"/>
      <c r="AE7" s="881"/>
      <c r="AF7" s="881"/>
      <c r="AG7" s="881"/>
      <c r="AH7" s="881"/>
      <c r="AI7" s="881"/>
      <c r="AJ7" s="881"/>
      <c r="AK7" s="881"/>
      <c r="AL7" s="881"/>
      <c r="AM7" s="881"/>
      <c r="AN7" s="881"/>
      <c r="AO7" s="881"/>
      <c r="AP7" s="881"/>
      <c r="AQ7" s="881"/>
      <c r="AR7" s="881"/>
      <c r="AS7" s="881"/>
      <c r="AT7" s="881"/>
      <c r="AU7" s="881"/>
      <c r="AV7" s="881"/>
      <c r="AW7" s="881"/>
      <c r="AX7" s="881"/>
      <c r="AY7" s="881"/>
      <c r="AZ7" s="881"/>
      <c r="BA7" s="881"/>
      <c r="BB7" s="881"/>
      <c r="BC7" s="881"/>
      <c r="BD7" s="881"/>
      <c r="BE7" s="881"/>
      <c r="BF7" s="881"/>
      <c r="BG7" s="881"/>
      <c r="BH7" s="881"/>
      <c r="BI7" s="881"/>
    </row>
    <row r="8" spans="1:61" ht="13.95" customHeight="1" x14ac:dyDescent="0.25">
      <c r="A8" s="881"/>
      <c r="B8" s="1156"/>
      <c r="C8" s="881"/>
      <c r="D8" s="881"/>
      <c r="E8" s="881"/>
      <c r="F8" s="881"/>
      <c r="G8" s="881"/>
      <c r="H8" s="881"/>
      <c r="I8" s="881"/>
      <c r="J8" s="881"/>
      <c r="K8" s="881"/>
      <c r="L8" s="881"/>
      <c r="M8" s="881"/>
      <c r="N8" s="881"/>
      <c r="O8" s="881"/>
      <c r="P8" s="881"/>
      <c r="Q8" s="881"/>
      <c r="R8" s="881"/>
      <c r="S8" s="1409" t="s">
        <v>1316</v>
      </c>
      <c r="T8" s="1410"/>
      <c r="U8" s="1411"/>
      <c r="V8" s="1381">
        <f>+V7*0.0002777778</f>
        <v>989573.62412588368</v>
      </c>
      <c r="W8" s="1381">
        <f>+W7*0.0002777778</f>
        <v>1096382.7817106156</v>
      </c>
      <c r="X8" s="882" t="s">
        <v>1315</v>
      </c>
      <c r="Y8" s="881"/>
      <c r="Z8" s="881"/>
      <c r="AA8" s="881"/>
      <c r="AB8" s="881"/>
      <c r="AC8" s="881"/>
      <c r="AD8" s="881"/>
      <c r="AE8" s="881"/>
      <c r="AF8" s="881"/>
      <c r="AG8" s="881"/>
      <c r="AH8" s="881"/>
      <c r="AI8" s="881"/>
      <c r="AJ8" s="881"/>
      <c r="AK8" s="881"/>
      <c r="AL8" s="881"/>
      <c r="AM8" s="881"/>
      <c r="AN8" s="881"/>
      <c r="AO8" s="881"/>
      <c r="AP8" s="881"/>
      <c r="AQ8" s="881"/>
      <c r="AR8" s="881"/>
      <c r="AS8" s="881"/>
      <c r="AT8" s="881"/>
      <c r="AU8" s="881"/>
      <c r="AV8" s="881"/>
      <c r="AW8" s="881"/>
      <c r="AX8" s="881"/>
      <c r="AY8" s="881"/>
      <c r="AZ8" s="881"/>
      <c r="BA8" s="881"/>
      <c r="BB8" s="881"/>
      <c r="BC8" s="881"/>
      <c r="BD8" s="881"/>
      <c r="BE8" s="881"/>
      <c r="BF8" s="881"/>
      <c r="BG8" s="881"/>
      <c r="BH8" s="881"/>
      <c r="BI8" s="881"/>
    </row>
    <row r="9" spans="1:61" x14ac:dyDescent="0.25">
      <c r="A9" s="881"/>
      <c r="B9" s="1156"/>
      <c r="C9" s="881"/>
      <c r="D9" s="881"/>
      <c r="E9" s="881"/>
      <c r="F9" s="881"/>
      <c r="G9" s="881"/>
      <c r="H9" s="881"/>
      <c r="I9" s="881"/>
      <c r="J9" s="881"/>
      <c r="K9" s="881"/>
      <c r="L9" s="881"/>
      <c r="M9" s="881"/>
      <c r="N9" s="881"/>
      <c r="O9" s="881"/>
      <c r="P9" s="881"/>
      <c r="Q9" s="881"/>
      <c r="R9" s="881"/>
      <c r="S9" s="1409" t="s">
        <v>1317</v>
      </c>
      <c r="T9" s="1410"/>
      <c r="U9" s="1411"/>
      <c r="V9" s="1381">
        <f>+V8*3412.142/1000000</f>
        <v>3376.5657249721407</v>
      </c>
      <c r="W9" s="1381">
        <f>+W8*3412.142/1000000</f>
        <v>3741.0137375516233</v>
      </c>
      <c r="X9" s="882" t="s">
        <v>1315</v>
      </c>
      <c r="Y9" s="881"/>
      <c r="Z9" s="881"/>
      <c r="AA9" s="881"/>
      <c r="AB9" s="881"/>
      <c r="AC9" s="881"/>
      <c r="AD9" s="881"/>
      <c r="AE9" s="881"/>
      <c r="AF9" s="881"/>
      <c r="AG9" s="881"/>
      <c r="AH9" s="881"/>
      <c r="AI9" s="881"/>
      <c r="AJ9" s="881"/>
      <c r="AK9" s="881"/>
      <c r="AL9" s="881"/>
      <c r="AM9" s="881"/>
      <c r="AN9" s="881"/>
      <c r="AO9" s="881"/>
      <c r="AP9" s="881"/>
      <c r="AQ9" s="881"/>
      <c r="AR9" s="881"/>
      <c r="AS9" s="881"/>
      <c r="AT9" s="881"/>
      <c r="AU9" s="881"/>
      <c r="AV9" s="881"/>
      <c r="AW9" s="881"/>
      <c r="AX9" s="881"/>
      <c r="AY9" s="881"/>
      <c r="AZ9" s="881"/>
      <c r="BA9" s="881"/>
      <c r="BB9" s="881"/>
      <c r="BC9" s="881"/>
      <c r="BD9" s="881"/>
      <c r="BE9" s="881"/>
      <c r="BF9" s="881"/>
      <c r="BG9" s="881"/>
      <c r="BH9" s="881"/>
      <c r="BI9" s="881"/>
    </row>
    <row r="10" spans="1:61" x14ac:dyDescent="0.25">
      <c r="A10" s="881"/>
      <c r="B10" s="1156"/>
      <c r="C10" s="881"/>
      <c r="D10" s="881"/>
      <c r="E10" s="881"/>
      <c r="F10" s="881"/>
      <c r="G10" s="881"/>
      <c r="H10" s="881"/>
      <c r="I10" s="881"/>
      <c r="J10" s="881"/>
      <c r="K10" s="881"/>
      <c r="L10" s="881"/>
      <c r="M10" s="881"/>
      <c r="N10" s="881"/>
      <c r="O10" s="881"/>
      <c r="P10" s="881"/>
      <c r="Q10" s="881"/>
      <c r="R10" s="881"/>
      <c r="S10" s="1409" t="s">
        <v>1318</v>
      </c>
      <c r="T10" s="1410"/>
      <c r="U10" s="1411"/>
      <c r="V10" s="1381">
        <f>-(N77*AA77)*1000</f>
        <v>2407863464.9732003</v>
      </c>
      <c r="W10" s="1381">
        <f>-(N77*AB77)*1000</f>
        <v>2846011653.8060002</v>
      </c>
      <c r="X10" s="882" t="s">
        <v>1315</v>
      </c>
      <c r="Y10" s="881"/>
      <c r="Z10" s="881"/>
      <c r="AA10" s="881"/>
      <c r="AB10" s="881"/>
      <c r="AC10" s="881"/>
      <c r="AD10" s="881"/>
      <c r="AE10" s="881"/>
      <c r="AF10" s="881"/>
      <c r="AG10" s="881"/>
      <c r="AH10" s="881"/>
      <c r="AI10" s="881"/>
      <c r="AJ10" s="881"/>
      <c r="AK10" s="881"/>
      <c r="AL10" s="881"/>
      <c r="AM10" s="881"/>
      <c r="AN10" s="881"/>
      <c r="AO10" s="881"/>
      <c r="AP10" s="881"/>
      <c r="AQ10" s="881"/>
      <c r="AR10" s="881"/>
      <c r="AS10" s="881"/>
      <c r="AT10" s="881"/>
      <c r="AU10" s="881"/>
      <c r="AV10" s="881"/>
      <c r="AW10" s="881"/>
      <c r="AX10" s="881"/>
      <c r="AY10" s="881"/>
      <c r="AZ10" s="881"/>
      <c r="BA10" s="881"/>
      <c r="BB10" s="881"/>
      <c r="BC10" s="881"/>
      <c r="BD10" s="881"/>
      <c r="BE10" s="881"/>
      <c r="BF10" s="881"/>
      <c r="BG10" s="881"/>
      <c r="BH10" s="881"/>
      <c r="BI10" s="881"/>
    </row>
    <row r="11" spans="1:61" x14ac:dyDescent="0.25">
      <c r="A11" s="881"/>
      <c r="B11" s="1156"/>
      <c r="C11" s="881"/>
      <c r="D11" s="881"/>
      <c r="E11" s="881"/>
      <c r="F11" s="881"/>
      <c r="G11" s="881"/>
      <c r="H11" s="881"/>
      <c r="I11" s="881"/>
      <c r="J11" s="881"/>
      <c r="K11" s="881"/>
      <c r="L11" s="881"/>
      <c r="M11" s="881"/>
      <c r="N11" s="881"/>
      <c r="O11" s="881"/>
      <c r="P11" s="881"/>
      <c r="Q11" s="881"/>
      <c r="R11" s="881"/>
      <c r="S11" s="1409" t="s">
        <v>1319</v>
      </c>
      <c r="T11" s="1410"/>
      <c r="U11" s="1411"/>
      <c r="V11" s="1381">
        <f>+V10*0.0002777778</f>
        <v>668851.01600063266</v>
      </c>
      <c r="W11" s="1381">
        <f>+W10*0.0002777778</f>
        <v>790558.85596859234</v>
      </c>
      <c r="X11" s="882" t="s">
        <v>1315</v>
      </c>
      <c r="Y11" s="881"/>
      <c r="Z11" s="881"/>
      <c r="AA11" s="881"/>
      <c r="AB11" s="881"/>
      <c r="AC11" s="881"/>
      <c r="AD11" s="881"/>
      <c r="AE11" s="881"/>
      <c r="AF11" s="881"/>
      <c r="AG11" s="881"/>
      <c r="AH11" s="881"/>
      <c r="AI11" s="881"/>
      <c r="AJ11" s="881"/>
      <c r="AK11" s="881"/>
      <c r="AL11" s="881"/>
      <c r="AM11" s="881"/>
      <c r="AN11" s="881"/>
      <c r="AO11" s="881"/>
      <c r="AP11" s="881"/>
      <c r="AQ11" s="881"/>
      <c r="AR11" s="881"/>
      <c r="AS11" s="881"/>
      <c r="AT11" s="881"/>
      <c r="AU11" s="881"/>
      <c r="AV11" s="881"/>
      <c r="AW11" s="881"/>
      <c r="AX11" s="881"/>
      <c r="AY11" s="881"/>
      <c r="AZ11" s="881"/>
      <c r="BA11" s="881"/>
      <c r="BB11" s="881"/>
      <c r="BC11" s="881"/>
      <c r="BD11" s="881"/>
      <c r="BE11" s="881"/>
      <c r="BF11" s="881"/>
      <c r="BG11" s="881"/>
      <c r="BH11" s="881"/>
      <c r="BI11" s="881"/>
    </row>
    <row r="12" spans="1:61" x14ac:dyDescent="0.25">
      <c r="A12" s="881"/>
      <c r="B12" s="1156"/>
      <c r="C12" s="881"/>
      <c r="D12" s="881"/>
      <c r="E12" s="881"/>
      <c r="F12" s="881"/>
      <c r="G12" s="881"/>
      <c r="H12" s="881"/>
      <c r="I12" s="881"/>
      <c r="J12" s="881"/>
      <c r="K12" s="881"/>
      <c r="L12" s="881"/>
      <c r="M12" s="881"/>
      <c r="N12" s="881"/>
      <c r="O12" s="881"/>
      <c r="P12" s="881"/>
      <c r="Q12" s="881"/>
      <c r="R12" s="881"/>
      <c r="S12" s="1409" t="s">
        <v>1320</v>
      </c>
      <c r="T12" s="1410"/>
      <c r="U12" s="1411"/>
      <c r="V12" s="1381">
        <f>+N48*24</f>
        <v>483000</v>
      </c>
      <c r="W12" s="1470"/>
      <c r="X12" s="881"/>
      <c r="Y12" s="881"/>
      <c r="Z12" s="881"/>
      <c r="AA12" s="881"/>
      <c r="AB12" s="881"/>
      <c r="AC12" s="881"/>
      <c r="AD12" s="881"/>
      <c r="AE12" s="881"/>
      <c r="AF12" s="881"/>
      <c r="AG12" s="881"/>
      <c r="AH12" s="881"/>
      <c r="AI12" s="881"/>
      <c r="AJ12" s="881"/>
      <c r="AK12" s="881"/>
      <c r="AL12" s="881"/>
      <c r="AM12" s="881"/>
      <c r="AN12" s="881"/>
      <c r="AO12" s="881"/>
      <c r="AP12" s="881"/>
      <c r="AQ12" s="881"/>
      <c r="AR12" s="881"/>
      <c r="AS12" s="881"/>
      <c r="AT12" s="881"/>
      <c r="AU12" s="881"/>
      <c r="AV12" s="881"/>
      <c r="AW12" s="881"/>
      <c r="AX12" s="881"/>
      <c r="AY12" s="881"/>
      <c r="AZ12" s="881"/>
      <c r="BA12" s="881"/>
      <c r="BB12" s="881"/>
      <c r="BC12" s="881"/>
      <c r="BD12" s="881"/>
      <c r="BE12" s="881"/>
      <c r="BF12" s="881"/>
      <c r="BG12" s="881"/>
      <c r="BH12" s="881"/>
      <c r="BI12" s="881"/>
    </row>
    <row r="13" spans="1:61" x14ac:dyDescent="0.25">
      <c r="A13" s="881"/>
      <c r="B13" s="1156"/>
      <c r="C13" s="881"/>
      <c r="D13" s="881"/>
      <c r="E13" s="881"/>
      <c r="F13" s="881"/>
      <c r="G13" s="881"/>
      <c r="H13" s="881"/>
      <c r="I13" s="881"/>
      <c r="J13" s="881"/>
      <c r="K13" s="881"/>
      <c r="L13" s="881"/>
      <c r="M13" s="881"/>
      <c r="N13" s="881"/>
      <c r="O13" s="881"/>
      <c r="P13" s="881"/>
      <c r="Q13" s="881"/>
      <c r="R13" s="881"/>
      <c r="S13" s="1409" t="s">
        <v>1321</v>
      </c>
      <c r="T13" s="1410"/>
      <c r="U13" s="1411"/>
      <c r="V13" s="1381">
        <f>+(E70+2*E72+3*E73+4*E74+E76)*1000</f>
        <v>4538952</v>
      </c>
      <c r="W13" s="882"/>
      <c r="X13" s="881"/>
      <c r="Y13" s="881"/>
      <c r="Z13" s="881"/>
      <c r="AA13" s="881"/>
      <c r="AB13" s="881"/>
      <c r="AC13" s="881"/>
      <c r="AD13" s="881"/>
      <c r="AE13" s="881"/>
      <c r="AF13" s="881"/>
      <c r="AG13" s="881"/>
      <c r="AH13" s="881"/>
      <c r="AI13" s="881"/>
      <c r="AJ13" s="881"/>
      <c r="AK13" s="881"/>
      <c r="AL13" s="881"/>
      <c r="AM13" s="881"/>
      <c r="AN13" s="881"/>
      <c r="AO13" s="881"/>
      <c r="AP13" s="881"/>
      <c r="AQ13" s="881"/>
      <c r="AR13" s="881"/>
      <c r="AS13" s="881"/>
      <c r="AT13" s="881"/>
      <c r="AU13" s="881"/>
      <c r="AV13" s="881"/>
      <c r="AW13" s="881"/>
      <c r="AX13" s="881"/>
      <c r="AY13" s="881"/>
      <c r="AZ13" s="881"/>
      <c r="BA13" s="881"/>
      <c r="BB13" s="881"/>
      <c r="BC13" s="881"/>
      <c r="BD13" s="881"/>
      <c r="BE13" s="881"/>
      <c r="BF13" s="881"/>
      <c r="BG13" s="881"/>
      <c r="BH13" s="881"/>
      <c r="BI13" s="881"/>
    </row>
    <row r="14" spans="1:61" x14ac:dyDescent="0.25">
      <c r="A14" s="881"/>
      <c r="B14" s="1156"/>
      <c r="C14" s="881"/>
      <c r="D14" s="881"/>
      <c r="E14" s="881"/>
      <c r="F14" s="881"/>
      <c r="G14" s="881"/>
      <c r="H14" s="881"/>
      <c r="I14" s="881"/>
      <c r="J14" s="881"/>
      <c r="K14" s="881"/>
      <c r="L14" s="881"/>
      <c r="M14" s="881"/>
      <c r="N14" s="881"/>
      <c r="O14" s="881"/>
      <c r="P14" s="881"/>
      <c r="Q14" s="881"/>
      <c r="R14" s="881"/>
      <c r="S14" s="1409" t="s">
        <v>1322</v>
      </c>
      <c r="T14" s="1410"/>
      <c r="U14" s="1411"/>
      <c r="V14" s="1381">
        <f>+V76*1000</f>
        <v>4370813.5</v>
      </c>
      <c r="W14" s="882"/>
      <c r="X14" s="881"/>
      <c r="Y14" s="881"/>
      <c r="Z14" s="881"/>
      <c r="AA14" s="881"/>
      <c r="AB14" s="881"/>
      <c r="AC14" s="881"/>
      <c r="AD14" s="881"/>
      <c r="AE14" s="881"/>
      <c r="AF14" s="881"/>
      <c r="AG14" s="881"/>
      <c r="AH14" s="881"/>
      <c r="AI14" s="881"/>
      <c r="AJ14" s="881"/>
      <c r="AK14" s="881"/>
      <c r="AL14" s="881"/>
      <c r="AM14" s="881"/>
      <c r="AN14" s="881"/>
      <c r="AO14" s="881"/>
      <c r="AP14" s="881"/>
      <c r="AQ14" s="881"/>
      <c r="AR14" s="881"/>
      <c r="AS14" s="881"/>
      <c r="AT14" s="881"/>
      <c r="AU14" s="881"/>
      <c r="AV14" s="881"/>
      <c r="AW14" s="881"/>
      <c r="AX14" s="881"/>
      <c r="AY14" s="881"/>
      <c r="AZ14" s="881"/>
      <c r="BA14" s="881"/>
      <c r="BB14" s="881"/>
      <c r="BC14" s="881"/>
      <c r="BD14" s="881"/>
      <c r="BE14" s="881"/>
      <c r="BF14" s="881"/>
      <c r="BG14" s="881"/>
      <c r="BH14" s="881"/>
      <c r="BI14" s="881"/>
    </row>
    <row r="15" spans="1:61" x14ac:dyDescent="0.25">
      <c r="A15" s="881"/>
      <c r="B15" s="1156"/>
      <c r="C15" s="881"/>
      <c r="D15" s="881"/>
      <c r="E15" s="881"/>
      <c r="F15" s="881"/>
      <c r="G15" s="881"/>
      <c r="H15" s="881"/>
      <c r="I15" s="881"/>
      <c r="J15" s="881"/>
      <c r="K15" s="881"/>
      <c r="L15" s="881"/>
      <c r="M15" s="881"/>
      <c r="N15" s="881"/>
      <c r="O15" s="881"/>
      <c r="P15" s="881"/>
      <c r="Q15" s="881"/>
      <c r="R15" s="881"/>
      <c r="S15" s="1409" t="s">
        <v>1323</v>
      </c>
      <c r="T15" s="1410"/>
      <c r="U15" s="1411"/>
      <c r="V15" s="1471">
        <f>+V14/V13</f>
        <v>0.96295653710371909</v>
      </c>
      <c r="W15" s="882"/>
      <c r="X15" s="881"/>
      <c r="Y15" s="881"/>
      <c r="Z15" s="881"/>
      <c r="AA15" s="881"/>
      <c r="AB15" s="881"/>
      <c r="AC15" s="881"/>
      <c r="AD15" s="881"/>
      <c r="AE15" s="881"/>
      <c r="AF15" s="881"/>
      <c r="AG15" s="881"/>
      <c r="AH15" s="881"/>
      <c r="AI15" s="881"/>
      <c r="AJ15" s="881"/>
      <c r="AK15" s="881"/>
      <c r="AL15" s="881"/>
      <c r="AM15" s="881"/>
      <c r="AN15" s="881"/>
      <c r="AO15" s="881"/>
      <c r="AP15" s="881"/>
      <c r="AQ15" s="881"/>
      <c r="AR15" s="881"/>
      <c r="AS15" s="881"/>
      <c r="AT15" s="881"/>
      <c r="AU15" s="881"/>
      <c r="AV15" s="881"/>
      <c r="AW15" s="881"/>
      <c r="AX15" s="881"/>
      <c r="AY15" s="881"/>
      <c r="AZ15" s="881"/>
      <c r="BA15" s="881"/>
      <c r="BB15" s="881"/>
      <c r="BC15" s="881"/>
      <c r="BD15" s="881"/>
      <c r="BE15" s="881"/>
      <c r="BF15" s="881"/>
      <c r="BG15" s="881"/>
      <c r="BH15" s="881"/>
      <c r="BI15" s="881"/>
    </row>
    <row r="16" spans="1:61" x14ac:dyDescent="0.25">
      <c r="A16" s="881"/>
      <c r="B16" s="1156"/>
      <c r="C16" s="881"/>
      <c r="D16" s="881"/>
      <c r="E16" s="881"/>
      <c r="F16" s="881"/>
      <c r="G16" s="881"/>
      <c r="H16" s="881"/>
      <c r="I16" s="881"/>
      <c r="J16" s="881"/>
      <c r="K16" s="881"/>
      <c r="L16" s="881"/>
      <c r="M16" s="881"/>
      <c r="N16" s="881"/>
      <c r="O16" s="881"/>
      <c r="P16" s="881"/>
      <c r="Q16" s="881"/>
      <c r="R16" s="881"/>
      <c r="S16" s="1409" t="s">
        <v>1398</v>
      </c>
      <c r="T16" s="1410"/>
      <c r="U16" s="1411"/>
      <c r="V16" s="1471">
        <f>+(J75+J76-F76)/(F70+F71+2*F72+3*F73+4*F74)</f>
        <v>0.78851485315049941</v>
      </c>
      <c r="W16" s="882"/>
      <c r="X16" s="881"/>
      <c r="Y16" s="881"/>
      <c r="Z16" s="881"/>
      <c r="AA16" s="881"/>
      <c r="AB16" s="881"/>
      <c r="AC16" s="881"/>
      <c r="AD16" s="881"/>
      <c r="AE16" s="881"/>
      <c r="AF16" s="881"/>
      <c r="AG16" s="881"/>
      <c r="AH16" s="881"/>
      <c r="AI16" s="881"/>
      <c r="AJ16" s="881"/>
      <c r="AK16" s="881"/>
      <c r="AL16" s="881"/>
      <c r="AM16" s="881"/>
      <c r="AN16" s="881"/>
      <c r="AO16" s="881"/>
      <c r="AP16" s="881"/>
      <c r="AQ16" s="881"/>
      <c r="AR16" s="881"/>
      <c r="AS16" s="881"/>
      <c r="AT16" s="881"/>
      <c r="AU16" s="881"/>
      <c r="AV16" s="881"/>
      <c r="AW16" s="881"/>
      <c r="AX16" s="881"/>
      <c r="AY16" s="881"/>
      <c r="AZ16" s="881"/>
      <c r="BA16" s="881"/>
      <c r="BB16" s="881"/>
      <c r="BC16" s="881"/>
      <c r="BD16" s="881"/>
      <c r="BE16" s="881"/>
      <c r="BF16" s="881"/>
      <c r="BG16" s="881"/>
      <c r="BH16" s="881"/>
      <c r="BI16" s="881"/>
    </row>
    <row r="17" spans="1:61" x14ac:dyDescent="0.25">
      <c r="A17" s="881"/>
      <c r="B17" s="1156"/>
      <c r="C17" s="881"/>
      <c r="D17" s="881"/>
      <c r="E17" s="881"/>
      <c r="F17" s="881"/>
      <c r="G17" s="881"/>
      <c r="H17" s="881"/>
      <c r="I17" s="881"/>
      <c r="J17" s="881"/>
      <c r="K17" s="881"/>
      <c r="L17" s="881"/>
      <c r="M17" s="881"/>
      <c r="N17" s="881"/>
      <c r="O17" s="881"/>
      <c r="P17" s="881"/>
      <c r="Q17" s="881"/>
      <c r="R17" s="881"/>
      <c r="S17" s="1409" t="s">
        <v>1324</v>
      </c>
      <c r="T17" s="1410"/>
      <c r="U17" s="1411"/>
      <c r="V17" s="1471">
        <f>+(K75-L75)/K75</f>
        <v>0.97206703910614523</v>
      </c>
      <c r="W17" s="882"/>
      <c r="X17" s="881"/>
      <c r="Y17" s="881"/>
      <c r="Z17" s="881"/>
      <c r="AA17" s="881"/>
      <c r="AB17" s="881"/>
      <c r="AC17" s="881"/>
      <c r="AD17" s="881"/>
      <c r="AE17" s="881"/>
      <c r="AF17" s="881"/>
      <c r="AG17" s="881"/>
      <c r="AH17" s="881"/>
      <c r="AI17" s="881"/>
      <c r="AJ17" s="881"/>
      <c r="AK17" s="881"/>
      <c r="AL17" s="881"/>
      <c r="AM17" s="881"/>
      <c r="AN17" s="881"/>
      <c r="AO17" s="881"/>
      <c r="AP17" s="881"/>
      <c r="AQ17" s="881"/>
      <c r="AR17" s="881"/>
      <c r="AS17" s="881"/>
      <c r="AT17" s="881"/>
      <c r="AU17" s="881"/>
      <c r="AV17" s="881"/>
      <c r="AW17" s="881"/>
      <c r="AX17" s="881"/>
      <c r="AY17" s="881"/>
      <c r="AZ17" s="881"/>
      <c r="BA17" s="881"/>
      <c r="BB17" s="881"/>
      <c r="BC17" s="881"/>
      <c r="BD17" s="881"/>
      <c r="BE17" s="881"/>
      <c r="BF17" s="881"/>
      <c r="BG17" s="881"/>
      <c r="BH17" s="881"/>
      <c r="BI17" s="881"/>
    </row>
    <row r="18" spans="1:61" x14ac:dyDescent="0.25">
      <c r="A18" s="881"/>
      <c r="B18" s="1156"/>
      <c r="C18" s="881"/>
      <c r="D18" s="881"/>
      <c r="E18" s="881"/>
      <c r="F18" s="881"/>
      <c r="G18" s="881"/>
      <c r="H18" s="881"/>
      <c r="I18" s="881"/>
      <c r="J18" s="881"/>
      <c r="K18" s="881"/>
      <c r="L18" s="881"/>
      <c r="M18" s="881"/>
      <c r="N18" s="881"/>
      <c r="O18" s="881"/>
      <c r="P18" s="881"/>
      <c r="Q18" s="881"/>
      <c r="R18" s="881"/>
      <c r="S18" s="1409" t="s">
        <v>1325</v>
      </c>
      <c r="T18" s="1410"/>
      <c r="U18" s="1411"/>
      <c r="V18" s="1472">
        <f>+V9/N48</f>
        <v>0.16777966335265296</v>
      </c>
      <c r="W18" s="882"/>
      <c r="X18" s="881"/>
      <c r="Y18" s="881"/>
      <c r="Z18" s="881"/>
      <c r="AA18" s="881"/>
      <c r="AB18" s="881"/>
      <c r="AC18" s="881"/>
      <c r="AD18" s="881"/>
      <c r="AE18" s="881"/>
      <c r="AF18" s="881"/>
      <c r="AG18" s="881"/>
      <c r="AH18" s="881"/>
      <c r="AI18" s="881"/>
      <c r="AJ18" s="881"/>
      <c r="AK18" s="881"/>
      <c r="AL18" s="881"/>
      <c r="AM18" s="881"/>
      <c r="AN18" s="881"/>
      <c r="AO18" s="881"/>
      <c r="AP18" s="881"/>
      <c r="AQ18" s="881"/>
      <c r="AR18" s="881"/>
      <c r="AS18" s="881"/>
      <c r="AT18" s="881"/>
      <c r="AU18" s="881"/>
      <c r="AV18" s="881"/>
      <c r="AW18" s="881"/>
      <c r="AX18" s="881"/>
      <c r="AY18" s="881"/>
      <c r="AZ18" s="881"/>
      <c r="BA18" s="881"/>
      <c r="BB18" s="881"/>
      <c r="BC18" s="881"/>
      <c r="BD18" s="881"/>
      <c r="BE18" s="881"/>
      <c r="BF18" s="881"/>
      <c r="BG18" s="881"/>
      <c r="BH18" s="881"/>
      <c r="BI18" s="881"/>
    </row>
    <row r="19" spans="1:61" x14ac:dyDescent="0.25">
      <c r="A19" s="881"/>
      <c r="B19" s="1156"/>
      <c r="C19" s="881"/>
      <c r="D19" s="881"/>
      <c r="E19" s="881"/>
      <c r="F19" s="881"/>
      <c r="G19" s="881"/>
      <c r="H19" s="881"/>
      <c r="I19" s="881"/>
      <c r="J19" s="881"/>
      <c r="K19" s="881"/>
      <c r="L19" s="881"/>
      <c r="M19" s="881"/>
      <c r="N19" s="881"/>
      <c r="O19" s="881"/>
      <c r="P19" s="881"/>
      <c r="Q19" s="881"/>
      <c r="R19" s="881"/>
      <c r="S19" s="1409" t="s">
        <v>1326</v>
      </c>
      <c r="T19" s="1410"/>
      <c r="U19" s="1411"/>
      <c r="V19" s="1381">
        <v>2727</v>
      </c>
      <c r="W19" s="882"/>
      <c r="X19" s="881"/>
      <c r="Y19" s="881"/>
      <c r="Z19" s="881"/>
      <c r="AA19" s="881"/>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3.8" x14ac:dyDescent="0.3">
      <c r="A20" s="881"/>
      <c r="B20" s="1156"/>
      <c r="C20" s="881"/>
      <c r="D20" s="881"/>
      <c r="E20" s="881"/>
      <c r="F20" s="881"/>
      <c r="G20" s="881"/>
      <c r="H20" s="881"/>
      <c r="I20" s="881"/>
      <c r="J20" s="881"/>
      <c r="K20" s="881"/>
      <c r="L20" s="881"/>
      <c r="M20" s="881"/>
      <c r="N20" s="881"/>
      <c r="O20" s="881"/>
      <c r="P20" s="881"/>
      <c r="Q20" s="881"/>
      <c r="R20" s="881"/>
      <c r="S20" s="1409" t="s">
        <v>1327</v>
      </c>
      <c r="T20" s="1410"/>
      <c r="U20" s="1411"/>
      <c r="V20" s="1472">
        <f>+V19*60/N48</f>
        <v>8.1301863354037263</v>
      </c>
      <c r="W20" s="882"/>
      <c r="X20" s="881"/>
      <c r="Y20" s="881"/>
      <c r="Z20" s="881"/>
      <c r="AA20" s="881"/>
      <c r="AB20" s="881"/>
      <c r="AC20" s="881"/>
      <c r="AD20" s="881"/>
      <c r="AE20" s="881"/>
      <c r="AF20" s="881"/>
      <c r="AG20" s="881"/>
      <c r="AH20" s="881"/>
      <c r="AI20" s="881"/>
      <c r="AJ20" s="881"/>
      <c r="AK20" s="881"/>
      <c r="AL20" s="881"/>
      <c r="AM20" s="881"/>
      <c r="AN20" s="881"/>
      <c r="AO20" s="881"/>
      <c r="AP20" s="881"/>
      <c r="AQ20" s="881"/>
      <c r="AR20" s="881"/>
      <c r="AS20" s="881"/>
      <c r="AT20" s="881"/>
      <c r="AU20" s="881"/>
      <c r="AV20" s="881"/>
      <c r="AW20" s="881"/>
      <c r="AX20" s="881"/>
      <c r="AY20" s="881"/>
      <c r="AZ20" s="881"/>
      <c r="BA20" s="881"/>
      <c r="BB20" s="881"/>
      <c r="BC20" s="881"/>
      <c r="BD20" s="881"/>
      <c r="BE20" s="881"/>
      <c r="BF20" s="881"/>
      <c r="BG20" s="881"/>
      <c r="BH20" s="881"/>
      <c r="BI20" s="881"/>
    </row>
    <row r="21" spans="1:61" x14ac:dyDescent="0.25">
      <c r="A21" s="881"/>
      <c r="B21" s="1156"/>
      <c r="C21" s="881"/>
      <c r="D21" s="881"/>
      <c r="E21" s="881"/>
      <c r="F21" s="881"/>
      <c r="G21" s="881"/>
      <c r="H21" s="881"/>
      <c r="I21" s="881"/>
      <c r="J21" s="881"/>
      <c r="K21" s="881"/>
      <c r="L21" s="881"/>
      <c r="M21" s="881"/>
      <c r="N21" s="881"/>
      <c r="O21" s="881"/>
      <c r="P21" s="881"/>
      <c r="Q21" s="881"/>
      <c r="R21" s="881"/>
      <c r="S21" s="1409" t="s">
        <v>1328</v>
      </c>
      <c r="T21" s="1410"/>
      <c r="U21" s="1411"/>
      <c r="V21" s="1381">
        <f>+D101</f>
        <v>30240</v>
      </c>
      <c r="W21" s="882"/>
      <c r="X21" s="881"/>
      <c r="Y21" s="881"/>
      <c r="Z21" s="881"/>
      <c r="AA21" s="881"/>
      <c r="AB21" s="881"/>
      <c r="AC21" s="881"/>
      <c r="AD21" s="881"/>
      <c r="AE21" s="881"/>
      <c r="AF21" s="881"/>
      <c r="AG21" s="881"/>
      <c r="AH21" s="881"/>
      <c r="AI21" s="881"/>
      <c r="AJ21" s="881"/>
      <c r="AK21" s="881"/>
      <c r="AL21" s="881"/>
      <c r="AM21" s="881"/>
      <c r="AN21" s="881"/>
      <c r="AO21" s="881"/>
      <c r="AP21" s="881"/>
      <c r="AQ21" s="881"/>
      <c r="AR21" s="881"/>
      <c r="AS21" s="881"/>
      <c r="AT21" s="881"/>
      <c r="AU21" s="881"/>
      <c r="AV21" s="881"/>
      <c r="AW21" s="881"/>
      <c r="AX21" s="881"/>
      <c r="AY21" s="881"/>
      <c r="AZ21" s="881"/>
      <c r="BA21" s="881"/>
      <c r="BB21" s="881"/>
      <c r="BC21" s="881"/>
      <c r="BD21" s="881"/>
      <c r="BE21" s="881"/>
      <c r="BF21" s="881"/>
      <c r="BG21" s="881"/>
      <c r="BH21" s="881"/>
      <c r="BI21" s="881"/>
    </row>
    <row r="22" spans="1:61" ht="13.8" x14ac:dyDescent="0.3">
      <c r="A22" s="881"/>
      <c r="B22" s="1156"/>
      <c r="C22" s="881"/>
      <c r="D22" s="881"/>
      <c r="E22" s="881"/>
      <c r="F22" s="881"/>
      <c r="G22" s="881"/>
      <c r="H22" s="881"/>
      <c r="I22" s="881"/>
      <c r="J22" s="881"/>
      <c r="K22" s="881"/>
      <c r="L22" s="881"/>
      <c r="M22" s="881"/>
      <c r="N22" s="881"/>
      <c r="O22" s="881"/>
      <c r="P22" s="881"/>
      <c r="Q22" s="881"/>
      <c r="R22" s="881"/>
      <c r="S22" s="1409" t="s">
        <v>1329</v>
      </c>
      <c r="T22" s="1410"/>
      <c r="U22" s="1411"/>
      <c r="V22" s="1472">
        <f>+V21/N48</f>
        <v>1.5026086956521738</v>
      </c>
      <c r="W22" s="882"/>
      <c r="X22" s="881"/>
      <c r="Y22" s="881"/>
      <c r="Z22" s="881"/>
      <c r="AA22" s="881"/>
      <c r="AB22" s="881"/>
      <c r="AC22" s="881"/>
      <c r="AD22" s="881"/>
      <c r="AE22" s="881"/>
      <c r="AF22" s="881"/>
      <c r="AG22" s="881"/>
      <c r="AH22" s="881"/>
      <c r="AI22" s="881"/>
      <c r="AJ22" s="881"/>
      <c r="AK22" s="881"/>
      <c r="AL22" s="881"/>
      <c r="AM22" s="881"/>
      <c r="AN22" s="881"/>
      <c r="AO22" s="881"/>
      <c r="AP22" s="881"/>
      <c r="AQ22" s="881"/>
      <c r="AR22" s="881"/>
      <c r="AS22" s="881"/>
      <c r="AT22" s="881"/>
      <c r="AU22" s="881"/>
      <c r="AV22" s="881"/>
      <c r="AW22" s="881"/>
      <c r="AX22" s="881"/>
      <c r="AY22" s="881"/>
      <c r="AZ22" s="881"/>
      <c r="BA22" s="881"/>
      <c r="BB22" s="881"/>
      <c r="BC22" s="881"/>
      <c r="BD22" s="881"/>
      <c r="BE22" s="881"/>
      <c r="BF22" s="881"/>
      <c r="BG22" s="881"/>
      <c r="BH22" s="881"/>
      <c r="BI22" s="881"/>
    </row>
    <row r="23" spans="1:61" x14ac:dyDescent="0.25">
      <c r="A23" s="881"/>
      <c r="B23" s="1156"/>
      <c r="C23" s="881"/>
      <c r="D23" s="881"/>
      <c r="E23" s="881"/>
      <c r="F23" s="881"/>
      <c r="G23" s="881"/>
      <c r="H23" s="881"/>
      <c r="I23" s="881"/>
      <c r="J23" s="881"/>
      <c r="K23" s="881"/>
      <c r="L23" s="881"/>
      <c r="M23" s="881"/>
      <c r="N23" s="881"/>
      <c r="O23" s="881"/>
      <c r="P23" s="881"/>
      <c r="Q23" s="881"/>
      <c r="R23" s="881"/>
      <c r="S23" s="881"/>
      <c r="T23" s="881"/>
      <c r="U23" s="881"/>
      <c r="V23" s="881"/>
      <c r="W23" s="881"/>
      <c r="X23" s="881"/>
      <c r="Y23" s="881"/>
      <c r="Z23" s="881"/>
      <c r="AA23" s="881"/>
      <c r="AB23" s="881"/>
      <c r="AC23" s="881"/>
      <c r="AD23" s="881"/>
      <c r="AE23" s="881"/>
      <c r="AF23" s="881"/>
      <c r="AG23" s="881"/>
      <c r="AH23" s="881"/>
      <c r="AI23" s="881"/>
      <c r="AJ23" s="881"/>
      <c r="AK23" s="881"/>
      <c r="AL23" s="881"/>
      <c r="AM23" s="881"/>
      <c r="AN23" s="881"/>
      <c r="AO23" s="881"/>
      <c r="AP23" s="881"/>
      <c r="AQ23" s="881"/>
      <c r="AR23" s="881"/>
      <c r="AS23" s="881"/>
      <c r="AT23" s="881"/>
      <c r="AU23" s="881"/>
      <c r="AV23" s="881"/>
      <c r="AW23" s="881"/>
      <c r="AX23" s="881"/>
      <c r="AY23" s="881"/>
      <c r="AZ23" s="881"/>
      <c r="BA23" s="881"/>
      <c r="BB23" s="881"/>
      <c r="BC23" s="881"/>
      <c r="BD23" s="881"/>
      <c r="BE23" s="881"/>
      <c r="BF23" s="881"/>
      <c r="BG23" s="881"/>
      <c r="BH23" s="881"/>
      <c r="BI23" s="881"/>
    </row>
    <row r="24" spans="1:61" x14ac:dyDescent="0.25">
      <c r="A24" s="881"/>
      <c r="B24" s="1156"/>
      <c r="C24" s="881"/>
      <c r="D24" s="881"/>
      <c r="E24" s="881"/>
      <c r="F24" s="881"/>
      <c r="G24" s="881"/>
      <c r="H24" s="881"/>
      <c r="I24" s="881"/>
      <c r="J24" s="881"/>
      <c r="K24" s="881"/>
      <c r="L24" s="881"/>
      <c r="M24" s="881"/>
      <c r="N24" s="881"/>
      <c r="O24" s="881"/>
      <c r="P24" s="881"/>
      <c r="Q24" s="881"/>
      <c r="R24" s="881"/>
      <c r="S24" s="881"/>
      <c r="T24" s="881"/>
      <c r="U24" s="881"/>
      <c r="V24" s="881"/>
      <c r="W24" s="881"/>
      <c r="X24" s="881"/>
      <c r="Y24" s="881"/>
      <c r="Z24" s="881"/>
      <c r="AA24" s="881"/>
      <c r="AB24" s="881"/>
      <c r="AC24" s="881"/>
      <c r="AD24" s="881"/>
      <c r="AE24" s="881"/>
      <c r="AF24" s="881"/>
      <c r="AG24" s="881"/>
      <c r="AH24" s="881"/>
      <c r="AI24" s="881"/>
      <c r="AJ24" s="881"/>
      <c r="AK24" s="881"/>
      <c r="AL24" s="881"/>
      <c r="AM24" s="881"/>
      <c r="AN24" s="881"/>
      <c r="AO24" s="881"/>
      <c r="AP24" s="881"/>
      <c r="AQ24" s="881"/>
      <c r="AR24" s="881"/>
      <c r="AS24" s="881"/>
      <c r="AT24" s="881"/>
      <c r="AU24" s="881"/>
      <c r="AV24" s="881"/>
      <c r="AW24" s="881"/>
      <c r="AX24" s="881"/>
      <c r="AY24" s="881"/>
      <c r="AZ24" s="881"/>
      <c r="BA24" s="881"/>
      <c r="BB24" s="881"/>
      <c r="BC24" s="881"/>
      <c r="BD24" s="881"/>
      <c r="BE24" s="881"/>
      <c r="BF24" s="881"/>
      <c r="BG24" s="881"/>
      <c r="BH24" s="881"/>
      <c r="BI24" s="881"/>
    </row>
    <row r="25" spans="1:61" x14ac:dyDescent="0.25">
      <c r="A25" s="881"/>
      <c r="B25" s="1156"/>
      <c r="C25" s="881"/>
      <c r="D25" s="881"/>
      <c r="E25" s="881"/>
      <c r="F25" s="881"/>
      <c r="G25" s="881"/>
      <c r="H25" s="881"/>
      <c r="I25" s="881"/>
      <c r="J25" s="881"/>
      <c r="K25" s="881"/>
      <c r="L25" s="881"/>
      <c r="M25" s="881"/>
      <c r="N25" s="881"/>
      <c r="O25" s="881"/>
      <c r="P25" s="881"/>
      <c r="Q25" s="881"/>
      <c r="R25" s="881"/>
      <c r="S25" s="881"/>
      <c r="T25" s="881"/>
      <c r="U25" s="881"/>
      <c r="V25" s="881"/>
      <c r="W25" s="881"/>
      <c r="X25" s="881"/>
      <c r="Y25" s="881"/>
      <c r="Z25" s="881"/>
      <c r="AA25" s="881"/>
      <c r="AB25" s="881"/>
      <c r="AC25" s="881"/>
      <c r="AD25" s="881"/>
      <c r="AE25" s="881"/>
      <c r="AF25" s="881"/>
      <c r="AG25" s="881"/>
      <c r="AH25" s="881"/>
      <c r="AI25" s="881"/>
      <c r="AJ25" s="881"/>
      <c r="AK25" s="881"/>
      <c r="AL25" s="881"/>
      <c r="AM25" s="881"/>
      <c r="AN25" s="881"/>
      <c r="AO25" s="881"/>
      <c r="AP25" s="881"/>
      <c r="AQ25" s="881"/>
      <c r="AR25" s="881"/>
      <c r="AS25" s="881"/>
      <c r="AT25" s="881"/>
      <c r="AU25" s="881"/>
      <c r="AV25" s="881"/>
      <c r="AW25" s="881"/>
      <c r="AX25" s="881"/>
      <c r="AY25" s="881"/>
      <c r="AZ25" s="881"/>
      <c r="BA25" s="881"/>
      <c r="BB25" s="881"/>
      <c r="BC25" s="881"/>
      <c r="BD25" s="881"/>
      <c r="BE25" s="881"/>
      <c r="BF25" s="881"/>
      <c r="BG25" s="881"/>
      <c r="BH25" s="881"/>
      <c r="BI25" s="881"/>
    </row>
    <row r="26" spans="1:61" x14ac:dyDescent="0.25">
      <c r="A26" s="881"/>
      <c r="B26" s="1156"/>
      <c r="C26" s="881"/>
      <c r="D26" s="881"/>
      <c r="E26" s="881"/>
      <c r="F26" s="881"/>
      <c r="G26" s="881"/>
      <c r="H26" s="881"/>
      <c r="I26" s="881"/>
      <c r="J26" s="881"/>
      <c r="K26" s="881"/>
      <c r="L26" s="881"/>
      <c r="M26" s="881"/>
      <c r="N26" s="881"/>
      <c r="O26" s="881"/>
      <c r="P26" s="881"/>
      <c r="Q26" s="881"/>
      <c r="R26" s="881"/>
      <c r="S26" s="881"/>
      <c r="T26" s="881"/>
      <c r="U26" s="881"/>
      <c r="V26" s="881"/>
      <c r="W26" s="881"/>
      <c r="X26" s="881"/>
      <c r="Y26" s="881"/>
      <c r="Z26" s="881"/>
      <c r="AA26" s="881"/>
      <c r="AB26" s="881"/>
      <c r="AC26" s="881"/>
      <c r="AD26" s="881"/>
      <c r="AE26" s="881"/>
      <c r="AF26" s="881"/>
      <c r="AG26" s="881"/>
      <c r="AH26" s="881"/>
      <c r="AI26" s="881"/>
      <c r="AJ26" s="881"/>
      <c r="AK26" s="881"/>
      <c r="AL26" s="881"/>
      <c r="AM26" s="881"/>
      <c r="AN26" s="881"/>
      <c r="AO26" s="881"/>
      <c r="AP26" s="881"/>
      <c r="AQ26" s="881"/>
      <c r="AR26" s="881"/>
      <c r="AS26" s="881"/>
      <c r="AT26" s="881"/>
      <c r="AU26" s="881"/>
      <c r="AV26" s="881"/>
      <c r="AW26" s="881"/>
      <c r="AX26" s="881"/>
      <c r="AY26" s="881"/>
      <c r="AZ26" s="881"/>
      <c r="BA26" s="881"/>
      <c r="BB26" s="881"/>
      <c r="BC26" s="881"/>
      <c r="BD26" s="881"/>
      <c r="BE26" s="881"/>
      <c r="BF26" s="881"/>
      <c r="BG26" s="881"/>
      <c r="BH26" s="881"/>
      <c r="BI26" s="881"/>
    </row>
    <row r="27" spans="1:61" x14ac:dyDescent="0.25">
      <c r="A27" s="881"/>
      <c r="B27" s="1156"/>
      <c r="C27" s="881"/>
      <c r="D27" s="881"/>
      <c r="E27" s="881"/>
      <c r="F27" s="881"/>
      <c r="G27" s="881"/>
      <c r="H27" s="881"/>
      <c r="I27" s="881"/>
      <c r="J27" s="881"/>
      <c r="K27" s="881"/>
      <c r="L27" s="881"/>
      <c r="M27" s="881"/>
      <c r="N27" s="881"/>
      <c r="O27" s="881"/>
      <c r="P27" s="881"/>
      <c r="Q27" s="881"/>
      <c r="R27" s="881"/>
      <c r="S27" s="881"/>
      <c r="T27" s="881"/>
      <c r="U27" s="881"/>
      <c r="V27" s="881"/>
      <c r="W27" s="881"/>
      <c r="X27" s="881"/>
      <c r="Y27" s="881"/>
      <c r="Z27" s="881"/>
      <c r="AA27" s="881"/>
      <c r="AB27" s="881"/>
      <c r="AC27" s="881"/>
      <c r="AD27" s="881"/>
      <c r="AE27" s="881"/>
      <c r="AF27" s="881"/>
      <c r="AG27" s="881"/>
      <c r="AH27" s="881"/>
      <c r="AI27" s="881"/>
      <c r="AJ27" s="881"/>
      <c r="AK27" s="881"/>
      <c r="AL27" s="881"/>
      <c r="AM27" s="881"/>
      <c r="AN27" s="881"/>
      <c r="AO27" s="881"/>
      <c r="AP27" s="881"/>
      <c r="AQ27" s="881"/>
      <c r="AR27" s="881"/>
      <c r="AS27" s="881"/>
      <c r="AT27" s="881"/>
      <c r="AU27" s="881"/>
      <c r="AV27" s="881"/>
      <c r="AW27" s="881"/>
      <c r="AX27" s="881"/>
      <c r="AY27" s="881"/>
      <c r="AZ27" s="881"/>
      <c r="BA27" s="881"/>
      <c r="BB27" s="881"/>
      <c r="BC27" s="881"/>
      <c r="BD27" s="881"/>
      <c r="BE27" s="881"/>
      <c r="BF27" s="881"/>
      <c r="BG27" s="881"/>
      <c r="BH27" s="881"/>
      <c r="BI27" s="881"/>
    </row>
    <row r="28" spans="1:61" x14ac:dyDescent="0.25">
      <c r="A28" s="881"/>
      <c r="B28" s="1156"/>
      <c r="C28" s="881"/>
      <c r="D28" s="881"/>
      <c r="E28" s="881"/>
      <c r="F28" s="881"/>
      <c r="G28" s="881"/>
      <c r="H28" s="881"/>
      <c r="I28" s="881"/>
      <c r="J28" s="881"/>
      <c r="K28" s="881"/>
      <c r="L28" s="881"/>
      <c r="M28" s="881"/>
      <c r="N28" s="881"/>
      <c r="O28" s="881"/>
      <c r="P28" s="881"/>
      <c r="Q28" s="881"/>
      <c r="R28" s="881"/>
      <c r="S28" s="881"/>
      <c r="T28" s="881"/>
      <c r="U28" s="881"/>
      <c r="V28" s="881"/>
      <c r="W28" s="881"/>
      <c r="X28" s="881"/>
      <c r="Y28" s="881"/>
      <c r="Z28" s="881"/>
      <c r="AA28" s="881"/>
      <c r="AB28" s="881"/>
      <c r="AC28" s="881"/>
      <c r="AD28" s="881"/>
      <c r="AE28" s="881"/>
      <c r="AF28" s="881"/>
      <c r="AG28" s="881"/>
      <c r="AH28" s="881"/>
      <c r="AI28" s="881"/>
      <c r="AJ28" s="881"/>
      <c r="AK28" s="881"/>
      <c r="AL28" s="881"/>
      <c r="AM28" s="881"/>
      <c r="AN28" s="881"/>
      <c r="AO28" s="881"/>
      <c r="AP28" s="881"/>
      <c r="AQ28" s="881"/>
      <c r="AR28" s="881"/>
      <c r="AS28" s="881"/>
      <c r="AT28" s="881"/>
      <c r="AU28" s="881"/>
      <c r="AV28" s="881"/>
      <c r="AW28" s="881"/>
      <c r="AX28" s="881"/>
      <c r="AY28" s="881"/>
      <c r="AZ28" s="881"/>
      <c r="BA28" s="881"/>
      <c r="BB28" s="881"/>
      <c r="BC28" s="881"/>
      <c r="BD28" s="881"/>
      <c r="BE28" s="881"/>
      <c r="BF28" s="881"/>
      <c r="BG28" s="881"/>
      <c r="BH28" s="881"/>
      <c r="BI28" s="881"/>
    </row>
    <row r="29" spans="1:61" ht="13.8" thickBot="1" x14ac:dyDescent="0.3">
      <c r="A29" s="881"/>
      <c r="B29" s="1157" t="s">
        <v>202</v>
      </c>
      <c r="C29" s="881"/>
      <c r="D29" s="881"/>
      <c r="E29" s="881"/>
      <c r="F29" s="881"/>
      <c r="G29" s="881"/>
      <c r="H29" s="881"/>
      <c r="I29" s="881"/>
      <c r="J29" s="881"/>
      <c r="K29" s="881"/>
      <c r="L29" s="881"/>
      <c r="M29" s="881"/>
      <c r="N29" s="881"/>
      <c r="O29" s="881"/>
      <c r="P29" s="881"/>
      <c r="Q29" s="881"/>
      <c r="R29" s="881"/>
      <c r="S29" s="881"/>
      <c r="T29" s="881"/>
      <c r="U29" s="881"/>
      <c r="V29" s="881"/>
      <c r="W29" s="881"/>
      <c r="X29" s="881"/>
      <c r="Y29" s="881"/>
      <c r="Z29" s="881"/>
      <c r="AA29" s="881"/>
      <c r="AB29" s="881"/>
      <c r="AC29" s="881"/>
      <c r="AD29" s="881"/>
      <c r="AE29" s="881"/>
      <c r="AF29" s="881"/>
      <c r="AG29" s="881"/>
      <c r="AH29" s="881"/>
      <c r="AI29" s="881"/>
      <c r="AJ29" s="881"/>
      <c r="AK29" s="881"/>
      <c r="AL29" s="881"/>
      <c r="AM29" s="881"/>
      <c r="AN29" s="881"/>
      <c r="AO29" s="881"/>
      <c r="AP29" s="881"/>
      <c r="AQ29" s="881"/>
      <c r="AR29" s="881"/>
      <c r="AS29" s="881"/>
      <c r="AT29" s="881"/>
      <c r="AU29" s="881"/>
      <c r="AV29" s="881"/>
      <c r="AW29" s="881"/>
      <c r="AX29" s="881"/>
      <c r="AY29" s="881"/>
      <c r="AZ29" s="881"/>
      <c r="BA29" s="881"/>
      <c r="BB29" s="881"/>
      <c r="BC29" s="881"/>
      <c r="BD29" s="881"/>
      <c r="BE29" s="881"/>
      <c r="BF29" s="881"/>
      <c r="BG29" s="881"/>
      <c r="BH29" s="881"/>
      <c r="BI29" s="881"/>
    </row>
    <row r="30" spans="1:61" ht="13.8" thickBot="1" x14ac:dyDescent="0.3">
      <c r="A30" s="881"/>
      <c r="B30" s="1382"/>
      <c r="C30" s="1383">
        <v>1</v>
      </c>
      <c r="D30" s="1383">
        <v>2</v>
      </c>
      <c r="E30" s="1383">
        <v>3</v>
      </c>
      <c r="F30" s="1383">
        <v>4</v>
      </c>
      <c r="G30" s="1383">
        <v>5</v>
      </c>
      <c r="H30" s="1383">
        <v>6</v>
      </c>
      <c r="I30" s="1383">
        <v>7</v>
      </c>
      <c r="J30" s="1383">
        <v>8</v>
      </c>
      <c r="K30" s="1383">
        <v>9</v>
      </c>
      <c r="L30" s="1383">
        <v>10</v>
      </c>
      <c r="M30" s="1384">
        <v>11</v>
      </c>
      <c r="N30" s="1383">
        <v>12</v>
      </c>
      <c r="O30" s="1383">
        <v>13</v>
      </c>
      <c r="P30" s="1383">
        <v>14</v>
      </c>
      <c r="Q30" s="1383">
        <v>15</v>
      </c>
      <c r="R30" s="1383">
        <v>16</v>
      </c>
      <c r="S30" s="1383">
        <v>17</v>
      </c>
      <c r="T30" s="1383">
        <v>18</v>
      </c>
      <c r="U30" s="1383">
        <v>19</v>
      </c>
      <c r="V30" s="1383">
        <v>20</v>
      </c>
      <c r="W30" s="1383">
        <v>21</v>
      </c>
      <c r="X30" s="881"/>
      <c r="Y30" s="881"/>
      <c r="Z30" s="881"/>
      <c r="AA30" s="881"/>
      <c r="AB30" s="881"/>
      <c r="AC30" s="881"/>
      <c r="AD30" s="881"/>
      <c r="AE30" s="881"/>
      <c r="AF30" s="881"/>
      <c r="AG30" s="881"/>
      <c r="AH30" s="881"/>
      <c r="AI30" s="881"/>
      <c r="AJ30" s="881"/>
      <c r="AK30" s="881"/>
      <c r="AL30" s="881"/>
      <c r="AM30" s="881"/>
      <c r="AN30" s="881"/>
      <c r="AO30" s="881"/>
      <c r="AP30" s="881"/>
      <c r="AQ30" s="881"/>
      <c r="AR30" s="881"/>
      <c r="AS30" s="881"/>
      <c r="AT30" s="881"/>
      <c r="AU30" s="881"/>
      <c r="AV30" s="881"/>
      <c r="AW30" s="881"/>
      <c r="AX30" s="881"/>
      <c r="AY30" s="881"/>
      <c r="AZ30" s="881"/>
      <c r="BA30" s="881"/>
      <c r="BB30" s="881"/>
      <c r="BC30" s="881"/>
      <c r="BD30" s="881"/>
      <c r="BE30" s="881"/>
      <c r="BF30" s="881"/>
      <c r="BG30" s="881"/>
      <c r="BH30" s="881"/>
      <c r="BI30" s="881"/>
    </row>
    <row r="31" spans="1:61" ht="13.8" thickBot="1" x14ac:dyDescent="0.3">
      <c r="A31" s="881"/>
      <c r="B31" s="1473" t="s">
        <v>1257</v>
      </c>
      <c r="C31" s="1474"/>
      <c r="D31" s="1474"/>
      <c r="E31" s="1474"/>
      <c r="F31" s="1474"/>
      <c r="G31" s="1474"/>
      <c r="H31" s="1474"/>
      <c r="I31" s="1474"/>
      <c r="J31" s="1474"/>
      <c r="K31" s="1474"/>
      <c r="L31" s="1474"/>
      <c r="M31" s="1475"/>
      <c r="N31" s="1474"/>
      <c r="O31" s="1474"/>
      <c r="P31" s="1474"/>
      <c r="Q31" s="1474"/>
      <c r="R31" s="1474"/>
      <c r="S31" s="1474"/>
      <c r="T31" s="1474"/>
      <c r="U31" s="1474"/>
      <c r="V31" s="1474"/>
      <c r="W31" s="1474"/>
      <c r="X31" s="881"/>
      <c r="Y31" s="881"/>
      <c r="Z31" s="881"/>
      <c r="AA31" s="881"/>
      <c r="AB31" s="881"/>
      <c r="AC31" s="881"/>
      <c r="AD31" s="881"/>
      <c r="AE31" s="881"/>
      <c r="AF31" s="881"/>
      <c r="AG31" s="881"/>
      <c r="AH31" s="881"/>
      <c r="AI31" s="881"/>
      <c r="AJ31" s="881"/>
      <c r="AK31" s="881"/>
      <c r="AL31" s="881"/>
      <c r="AM31" s="881"/>
      <c r="AN31" s="881"/>
      <c r="AO31" s="881"/>
      <c r="AP31" s="881"/>
      <c r="AQ31" s="881"/>
      <c r="AR31" s="881"/>
      <c r="AS31" s="881"/>
      <c r="AT31" s="881"/>
      <c r="AU31" s="881"/>
      <c r="AV31" s="881"/>
      <c r="AW31" s="881"/>
      <c r="AX31" s="881"/>
      <c r="AY31" s="881"/>
      <c r="AZ31" s="881"/>
      <c r="BA31" s="881"/>
      <c r="BB31" s="881"/>
      <c r="BC31" s="881"/>
      <c r="BD31" s="881"/>
      <c r="BE31" s="881"/>
      <c r="BF31" s="881"/>
      <c r="BG31" s="881"/>
      <c r="BH31" s="881"/>
      <c r="BI31" s="881"/>
    </row>
    <row r="32" spans="1:61" ht="13.8" thickBot="1" x14ac:dyDescent="0.3">
      <c r="A32" s="881"/>
      <c r="B32" s="1476" t="s">
        <v>1258</v>
      </c>
      <c r="C32" s="1474">
        <v>9.1999999999999998E-3</v>
      </c>
      <c r="D32" s="1474">
        <v>9.1999999999999998E-3</v>
      </c>
      <c r="E32" s="1474">
        <v>0</v>
      </c>
      <c r="F32" s="1474">
        <v>0</v>
      </c>
      <c r="G32" s="1474">
        <v>0</v>
      </c>
      <c r="H32" s="1474">
        <v>0</v>
      </c>
      <c r="I32" s="1474">
        <v>0</v>
      </c>
      <c r="J32" s="1474">
        <v>0</v>
      </c>
      <c r="K32" s="1474">
        <v>0</v>
      </c>
      <c r="L32" s="1474">
        <v>0</v>
      </c>
      <c r="M32" s="1475">
        <v>0</v>
      </c>
      <c r="N32" s="1474">
        <v>0</v>
      </c>
      <c r="O32" s="1474">
        <v>0</v>
      </c>
      <c r="P32" s="1474">
        <v>0</v>
      </c>
      <c r="Q32" s="1474">
        <v>0</v>
      </c>
      <c r="R32" s="1474">
        <v>0</v>
      </c>
      <c r="S32" s="1474">
        <v>8.2000000000000007E-3</v>
      </c>
      <c r="T32" s="1474">
        <v>0</v>
      </c>
      <c r="U32" s="1474">
        <v>0</v>
      </c>
      <c r="V32" s="1474">
        <v>0</v>
      </c>
      <c r="W32" s="1474">
        <v>1.0999999999999999E-2</v>
      </c>
      <c r="X32" s="881"/>
      <c r="Y32" s="881"/>
      <c r="Z32" s="881"/>
      <c r="AA32" s="881"/>
      <c r="AB32" s="881"/>
      <c r="AC32" s="881"/>
      <c r="AD32" s="881"/>
      <c r="AE32" s="881"/>
      <c r="AF32" s="881"/>
      <c r="AG32" s="881"/>
      <c r="AH32" s="881"/>
      <c r="AI32" s="881"/>
      <c r="AJ32" s="881"/>
      <c r="AK32" s="881"/>
      <c r="AL32" s="881"/>
      <c r="AM32" s="881"/>
      <c r="AN32" s="881"/>
      <c r="AO32" s="881"/>
      <c r="AP32" s="881"/>
      <c r="AQ32" s="881"/>
      <c r="AR32" s="881"/>
      <c r="AS32" s="881"/>
      <c r="AT32" s="881"/>
      <c r="AU32" s="881"/>
      <c r="AV32" s="881"/>
      <c r="AW32" s="881"/>
      <c r="AX32" s="881"/>
      <c r="AY32" s="881"/>
      <c r="AZ32" s="881"/>
      <c r="BA32" s="881"/>
      <c r="BB32" s="881"/>
      <c r="BC32" s="881"/>
      <c r="BD32" s="881"/>
      <c r="BE32" s="881"/>
      <c r="BF32" s="881"/>
      <c r="BG32" s="881"/>
      <c r="BH32" s="881"/>
      <c r="BI32" s="881"/>
    </row>
    <row r="33" spans="1:61" ht="13.8" thickBot="1" x14ac:dyDescent="0.3">
      <c r="A33" s="881"/>
      <c r="B33" s="1476" t="s">
        <v>1399</v>
      </c>
      <c r="C33" s="1474">
        <v>0</v>
      </c>
      <c r="D33" s="1474">
        <v>0</v>
      </c>
      <c r="E33" s="1474">
        <v>0.93100000000000005</v>
      </c>
      <c r="F33" s="1474">
        <v>0.93100000000000005</v>
      </c>
      <c r="G33" s="1474">
        <v>0.93100000000000005</v>
      </c>
      <c r="H33" s="1474">
        <v>0</v>
      </c>
      <c r="I33" s="1474">
        <v>0.25829999999999997</v>
      </c>
      <c r="J33" s="1474">
        <v>4.1099999999999998E-2</v>
      </c>
      <c r="K33" s="1474">
        <v>4.1099999999999998E-2</v>
      </c>
      <c r="L33" s="1474">
        <v>4.1099999999999998E-2</v>
      </c>
      <c r="M33" s="1475">
        <v>6.2700000000000006E-2</v>
      </c>
      <c r="N33" s="1474">
        <v>0</v>
      </c>
      <c r="O33" s="1474">
        <v>0</v>
      </c>
      <c r="P33" s="1474">
        <v>0.28239999999999998</v>
      </c>
      <c r="Q33" s="1474">
        <v>0.93100000000000005</v>
      </c>
      <c r="R33" s="1474">
        <v>0.40589999999999998</v>
      </c>
      <c r="S33" s="1474">
        <v>0</v>
      </c>
      <c r="T33" s="1474">
        <v>0</v>
      </c>
      <c r="U33" s="1474">
        <v>0</v>
      </c>
      <c r="V33" s="1474">
        <v>0</v>
      </c>
      <c r="W33" s="1474">
        <v>0</v>
      </c>
      <c r="X33" s="881"/>
      <c r="Y33" s="881"/>
      <c r="Z33" s="881"/>
      <c r="AA33" s="881"/>
      <c r="AB33" s="881"/>
      <c r="AC33" s="881"/>
      <c r="AD33" s="881"/>
      <c r="AE33" s="881"/>
      <c r="AF33" s="881"/>
      <c r="AG33" s="881"/>
      <c r="AH33" s="881"/>
      <c r="AI33" s="881"/>
      <c r="AJ33" s="881"/>
      <c r="AK33" s="881"/>
      <c r="AL33" s="881"/>
      <c r="AM33" s="881"/>
      <c r="AN33" s="881"/>
      <c r="AO33" s="881"/>
      <c r="AP33" s="881"/>
      <c r="AQ33" s="881"/>
      <c r="AR33" s="881"/>
      <c r="AS33" s="881"/>
      <c r="AT33" s="881"/>
      <c r="AU33" s="881"/>
      <c r="AV33" s="881"/>
      <c r="AW33" s="881"/>
      <c r="AX33" s="881"/>
      <c r="AY33" s="881"/>
      <c r="AZ33" s="881"/>
      <c r="BA33" s="881"/>
      <c r="BB33" s="881"/>
      <c r="BC33" s="881"/>
      <c r="BD33" s="881"/>
      <c r="BE33" s="881"/>
      <c r="BF33" s="881"/>
      <c r="BG33" s="881"/>
      <c r="BH33" s="881"/>
      <c r="BI33" s="881"/>
    </row>
    <row r="34" spans="1:61" ht="13.8" thickBot="1" x14ac:dyDescent="0.3">
      <c r="A34" s="881"/>
      <c r="B34" s="1476" t="s">
        <v>1400</v>
      </c>
      <c r="C34" s="1474">
        <v>0</v>
      </c>
      <c r="D34" s="1474">
        <v>0</v>
      </c>
      <c r="E34" s="1474">
        <v>0</v>
      </c>
      <c r="F34" s="1474">
        <v>0</v>
      </c>
      <c r="G34" s="1474">
        <v>0</v>
      </c>
      <c r="H34" s="1474">
        <v>0</v>
      </c>
      <c r="I34" s="1474">
        <v>0</v>
      </c>
      <c r="J34" s="1474">
        <v>0</v>
      </c>
      <c r="K34" s="1474">
        <v>0</v>
      </c>
      <c r="L34" s="1474">
        <v>0</v>
      </c>
      <c r="M34" s="1475">
        <v>0</v>
      </c>
      <c r="N34" s="1474">
        <v>0</v>
      </c>
      <c r="O34" s="1474">
        <v>0</v>
      </c>
      <c r="P34" s="1474">
        <v>0</v>
      </c>
      <c r="Q34" s="1474">
        <v>0</v>
      </c>
      <c r="R34" s="1474">
        <v>0</v>
      </c>
      <c r="S34" s="1474">
        <v>0</v>
      </c>
      <c r="T34" s="1474">
        <v>0</v>
      </c>
      <c r="U34" s="1474">
        <v>0</v>
      </c>
      <c r="V34" s="1474">
        <v>0</v>
      </c>
      <c r="W34" s="1474">
        <v>0</v>
      </c>
      <c r="X34" s="881"/>
      <c r="Y34" s="881"/>
      <c r="Z34" s="881"/>
      <c r="AA34" s="881"/>
      <c r="AB34" s="881"/>
      <c r="AC34" s="881"/>
      <c r="AD34" s="881"/>
      <c r="AE34" s="881"/>
      <c r="AF34" s="881"/>
      <c r="AG34" s="881"/>
      <c r="AH34" s="881"/>
      <c r="AI34" s="881"/>
      <c r="AJ34" s="881"/>
      <c r="AK34" s="881"/>
      <c r="AL34" s="881"/>
      <c r="AM34" s="881"/>
      <c r="AN34" s="881"/>
      <c r="AO34" s="881"/>
      <c r="AP34" s="881"/>
      <c r="AQ34" s="881"/>
      <c r="AR34" s="881"/>
      <c r="AS34" s="881"/>
      <c r="AT34" s="881"/>
      <c r="AU34" s="881"/>
      <c r="AV34" s="881"/>
      <c r="AW34" s="881"/>
      <c r="AX34" s="881"/>
      <c r="AY34" s="881"/>
      <c r="AZ34" s="881"/>
      <c r="BA34" s="881"/>
      <c r="BB34" s="881"/>
      <c r="BC34" s="881"/>
      <c r="BD34" s="881"/>
      <c r="BE34" s="881"/>
      <c r="BF34" s="881"/>
      <c r="BG34" s="881"/>
      <c r="BH34" s="881"/>
      <c r="BI34" s="881"/>
    </row>
    <row r="35" spans="1:61" ht="13.8" thickBot="1" x14ac:dyDescent="0.3">
      <c r="A35" s="881"/>
      <c r="B35" s="1476" t="s">
        <v>1401</v>
      </c>
      <c r="C35" s="1474">
        <v>0</v>
      </c>
      <c r="D35" s="1474">
        <v>0</v>
      </c>
      <c r="E35" s="1474">
        <v>3.2000000000000001E-2</v>
      </c>
      <c r="F35" s="1474">
        <v>3.2000000000000001E-2</v>
      </c>
      <c r="G35" s="1474">
        <v>3.2000000000000001E-2</v>
      </c>
      <c r="H35" s="1474">
        <v>0</v>
      </c>
      <c r="I35" s="1474">
        <v>0</v>
      </c>
      <c r="J35" s="1474">
        <v>0</v>
      </c>
      <c r="K35" s="1474">
        <v>0</v>
      </c>
      <c r="L35" s="1474">
        <v>0</v>
      </c>
      <c r="M35" s="1475">
        <v>0</v>
      </c>
      <c r="N35" s="1474">
        <v>0</v>
      </c>
      <c r="O35" s="1474">
        <v>0</v>
      </c>
      <c r="P35" s="1474">
        <v>0</v>
      </c>
      <c r="Q35" s="1474">
        <v>3.2000000000000001E-2</v>
      </c>
      <c r="R35" s="1474">
        <v>6.1000000000000004E-3</v>
      </c>
      <c r="S35" s="1474">
        <v>0</v>
      </c>
      <c r="T35" s="1474">
        <v>0</v>
      </c>
      <c r="U35" s="1474">
        <v>0</v>
      </c>
      <c r="V35" s="1474">
        <v>0</v>
      </c>
      <c r="W35" s="1474">
        <v>0</v>
      </c>
      <c r="X35" s="881"/>
      <c r="Y35" s="881"/>
      <c r="Z35" s="881"/>
      <c r="AA35" s="881"/>
      <c r="AB35" s="881"/>
      <c r="AC35" s="881"/>
      <c r="AD35" s="881"/>
      <c r="AE35" s="881"/>
      <c r="AF35" s="881"/>
      <c r="AG35" s="881"/>
      <c r="AH35" s="881"/>
      <c r="AI35" s="881"/>
      <c r="AJ35" s="881"/>
      <c r="AK35" s="881"/>
      <c r="AL35" s="881"/>
      <c r="AM35" s="881"/>
      <c r="AN35" s="881"/>
      <c r="AO35" s="881"/>
      <c r="AP35" s="881"/>
      <c r="AQ35" s="881"/>
      <c r="AR35" s="881"/>
      <c r="AS35" s="881"/>
      <c r="AT35" s="881"/>
      <c r="AU35" s="881"/>
      <c r="AV35" s="881"/>
      <c r="AW35" s="881"/>
      <c r="AX35" s="881"/>
      <c r="AY35" s="881"/>
      <c r="AZ35" s="881"/>
      <c r="BA35" s="881"/>
      <c r="BB35" s="881"/>
      <c r="BC35" s="881"/>
      <c r="BD35" s="881"/>
      <c r="BE35" s="881"/>
      <c r="BF35" s="881"/>
      <c r="BG35" s="881"/>
      <c r="BH35" s="881"/>
      <c r="BI35" s="881"/>
    </row>
    <row r="36" spans="1:61" ht="13.8" thickBot="1" x14ac:dyDescent="0.3">
      <c r="A36" s="881"/>
      <c r="B36" s="1476" t="s">
        <v>1402</v>
      </c>
      <c r="C36" s="1474">
        <v>0</v>
      </c>
      <c r="D36" s="1474">
        <v>0</v>
      </c>
      <c r="E36" s="1474">
        <v>7.0000000000000001E-3</v>
      </c>
      <c r="F36" s="1474">
        <v>7.0000000000000001E-3</v>
      </c>
      <c r="G36" s="1474">
        <v>7.0000000000000001E-3</v>
      </c>
      <c r="H36" s="1474">
        <v>0</v>
      </c>
      <c r="I36" s="1474">
        <v>0</v>
      </c>
      <c r="J36" s="1474">
        <v>0</v>
      </c>
      <c r="K36" s="1474">
        <v>0</v>
      </c>
      <c r="L36" s="1474">
        <v>0</v>
      </c>
      <c r="M36" s="1475">
        <v>0</v>
      </c>
      <c r="N36" s="1474">
        <v>0</v>
      </c>
      <c r="O36" s="1474">
        <v>0</v>
      </c>
      <c r="P36" s="1474">
        <v>0</v>
      </c>
      <c r="Q36" s="1474">
        <v>7.0000000000000001E-3</v>
      </c>
      <c r="R36" s="1474">
        <v>1.2999999999999999E-3</v>
      </c>
      <c r="S36" s="1474">
        <v>0</v>
      </c>
      <c r="T36" s="1474">
        <v>0</v>
      </c>
      <c r="U36" s="1474">
        <v>0</v>
      </c>
      <c r="V36" s="1474">
        <v>0</v>
      </c>
      <c r="W36" s="1474">
        <v>0</v>
      </c>
      <c r="X36" s="881"/>
      <c r="Y36" s="881"/>
      <c r="Z36" s="881"/>
      <c r="AA36" s="881"/>
      <c r="AB36" s="881"/>
      <c r="AC36" s="881"/>
      <c r="AD36" s="881"/>
      <c r="AE36" s="881"/>
      <c r="AF36" s="881"/>
      <c r="AG36" s="881"/>
      <c r="AH36" s="881"/>
      <c r="AI36" s="881"/>
      <c r="AJ36" s="881"/>
      <c r="AK36" s="881"/>
      <c r="AL36" s="881"/>
      <c r="AM36" s="881"/>
      <c r="AN36" s="881"/>
      <c r="AO36" s="881"/>
      <c r="AP36" s="881"/>
      <c r="AQ36" s="881"/>
      <c r="AR36" s="881"/>
      <c r="AS36" s="881"/>
      <c r="AT36" s="881"/>
      <c r="AU36" s="881"/>
      <c r="AV36" s="881"/>
      <c r="AW36" s="881"/>
      <c r="AX36" s="881"/>
      <c r="AY36" s="881"/>
      <c r="AZ36" s="881"/>
      <c r="BA36" s="881"/>
      <c r="BB36" s="881"/>
      <c r="BC36" s="881"/>
      <c r="BD36" s="881"/>
      <c r="BE36" s="881"/>
      <c r="BF36" s="881"/>
      <c r="BG36" s="881"/>
      <c r="BH36" s="881"/>
      <c r="BI36" s="881"/>
    </row>
    <row r="37" spans="1:61" ht="13.8" thickBot="1" x14ac:dyDescent="0.3">
      <c r="A37" s="881"/>
      <c r="B37" s="1476" t="s">
        <v>1403</v>
      </c>
      <c r="C37" s="1474">
        <v>0</v>
      </c>
      <c r="D37" s="1474">
        <v>0</v>
      </c>
      <c r="E37" s="1474">
        <v>4.0000000000000001E-3</v>
      </c>
      <c r="F37" s="1474">
        <v>4.0000000000000001E-3</v>
      </c>
      <c r="G37" s="1474">
        <v>4.0000000000000001E-3</v>
      </c>
      <c r="H37" s="1474">
        <v>0</v>
      </c>
      <c r="I37" s="1474">
        <v>0</v>
      </c>
      <c r="J37" s="1474">
        <v>0</v>
      </c>
      <c r="K37" s="1474">
        <v>0</v>
      </c>
      <c r="L37" s="1474">
        <v>0</v>
      </c>
      <c r="M37" s="1475">
        <v>0</v>
      </c>
      <c r="N37" s="1474">
        <v>0</v>
      </c>
      <c r="O37" s="1474">
        <v>0</v>
      </c>
      <c r="P37" s="1474">
        <v>0</v>
      </c>
      <c r="Q37" s="1474">
        <v>4.0000000000000001E-3</v>
      </c>
      <c r="R37" s="1474">
        <v>8.0000000000000004E-4</v>
      </c>
      <c r="S37" s="1474">
        <v>0</v>
      </c>
      <c r="T37" s="1474">
        <v>0</v>
      </c>
      <c r="U37" s="1474">
        <v>0</v>
      </c>
      <c r="V37" s="1474">
        <v>0</v>
      </c>
      <c r="W37" s="1474">
        <v>0</v>
      </c>
      <c r="X37" s="881"/>
      <c r="Y37" s="881"/>
      <c r="Z37" s="881"/>
      <c r="AA37" s="881"/>
      <c r="AB37" s="881"/>
      <c r="AC37" s="881"/>
      <c r="AD37" s="881"/>
      <c r="AE37" s="881"/>
      <c r="AF37" s="881"/>
      <c r="AG37" s="881"/>
      <c r="AH37" s="881"/>
      <c r="AI37" s="881"/>
      <c r="AJ37" s="881"/>
      <c r="AK37" s="881"/>
      <c r="AL37" s="881"/>
      <c r="AM37" s="881"/>
      <c r="AN37" s="881"/>
      <c r="AO37" s="881"/>
      <c r="AP37" s="881"/>
      <c r="AQ37" s="881"/>
      <c r="AR37" s="881"/>
      <c r="AS37" s="881"/>
      <c r="AT37" s="881"/>
      <c r="AU37" s="881"/>
      <c r="AV37" s="881"/>
      <c r="AW37" s="881"/>
      <c r="AX37" s="881"/>
      <c r="AY37" s="881"/>
      <c r="AZ37" s="881"/>
      <c r="BA37" s="881"/>
      <c r="BB37" s="881"/>
      <c r="BC37" s="881"/>
      <c r="BD37" s="881"/>
      <c r="BE37" s="881"/>
      <c r="BF37" s="881"/>
      <c r="BG37" s="881"/>
      <c r="BH37" s="881"/>
      <c r="BI37" s="881"/>
    </row>
    <row r="38" spans="1:61" ht="13.8" thickBot="1" x14ac:dyDescent="0.3">
      <c r="A38" s="881"/>
      <c r="B38" s="1476" t="s">
        <v>1259</v>
      </c>
      <c r="C38" s="1474">
        <v>0</v>
      </c>
      <c r="D38" s="1474">
        <v>0</v>
      </c>
      <c r="E38" s="1474">
        <v>0</v>
      </c>
      <c r="F38" s="1474">
        <v>0</v>
      </c>
      <c r="G38" s="1474">
        <v>0</v>
      </c>
      <c r="H38" s="1474">
        <v>0</v>
      </c>
      <c r="I38" s="1474">
        <v>1E-4</v>
      </c>
      <c r="J38" s="1474">
        <v>0.14319999999999999</v>
      </c>
      <c r="K38" s="1474">
        <v>0.14319999999999999</v>
      </c>
      <c r="L38" s="1474">
        <v>4.0000000000000001E-3</v>
      </c>
      <c r="M38" s="1475">
        <v>6.1000000000000004E-3</v>
      </c>
      <c r="N38" s="1474">
        <v>0</v>
      </c>
      <c r="O38" s="1474">
        <v>0</v>
      </c>
      <c r="P38" s="1474">
        <v>2.7400000000000001E-2</v>
      </c>
      <c r="Q38" s="1474">
        <v>0</v>
      </c>
      <c r="R38" s="1474">
        <v>2.2200000000000001E-2</v>
      </c>
      <c r="S38" s="1474">
        <v>0</v>
      </c>
      <c r="T38" s="1474">
        <v>0</v>
      </c>
      <c r="U38" s="1474">
        <v>0</v>
      </c>
      <c r="V38" s="1474">
        <v>0</v>
      </c>
      <c r="W38" s="1474">
        <v>0</v>
      </c>
      <c r="X38" s="881"/>
      <c r="Y38" s="881"/>
      <c r="Z38" s="881"/>
      <c r="AA38" s="881"/>
      <c r="AB38" s="881"/>
      <c r="AC38" s="881"/>
      <c r="AD38" s="881"/>
      <c r="AE38" s="881"/>
      <c r="AF38" s="881"/>
      <c r="AG38" s="881"/>
      <c r="AH38" s="881"/>
      <c r="AI38" s="881"/>
      <c r="AJ38" s="881"/>
      <c r="AK38" s="881"/>
      <c r="AL38" s="881"/>
      <c r="AM38" s="881"/>
      <c r="AN38" s="881"/>
      <c r="AO38" s="881"/>
      <c r="AP38" s="881"/>
      <c r="AQ38" s="881"/>
      <c r="AR38" s="881"/>
      <c r="AS38" s="881"/>
      <c r="AT38" s="881"/>
      <c r="AU38" s="881"/>
      <c r="AV38" s="881"/>
      <c r="AW38" s="881"/>
      <c r="AX38" s="881"/>
      <c r="AY38" s="881"/>
      <c r="AZ38" s="881"/>
      <c r="BA38" s="881"/>
      <c r="BB38" s="881"/>
      <c r="BC38" s="881"/>
      <c r="BD38" s="881"/>
      <c r="BE38" s="881"/>
      <c r="BF38" s="881"/>
      <c r="BG38" s="881"/>
      <c r="BH38" s="881"/>
      <c r="BI38" s="881"/>
    </row>
    <row r="39" spans="1:61" ht="13.8" thickBot="1" x14ac:dyDescent="0.3">
      <c r="A39" s="881"/>
      <c r="B39" s="1476" t="s">
        <v>1404</v>
      </c>
      <c r="C39" s="1474">
        <v>2.9999999999999997E-4</v>
      </c>
      <c r="D39" s="1474">
        <v>2.9999999999999997E-4</v>
      </c>
      <c r="E39" s="1474">
        <v>0.01</v>
      </c>
      <c r="F39" s="1474">
        <v>0.01</v>
      </c>
      <c r="G39" s="1474">
        <v>0.01</v>
      </c>
      <c r="H39" s="1474">
        <v>0</v>
      </c>
      <c r="I39" s="1474">
        <v>1.7399999999999999E-2</v>
      </c>
      <c r="J39" s="1474">
        <v>1.24E-2</v>
      </c>
      <c r="K39" s="1474">
        <v>1.24E-2</v>
      </c>
      <c r="L39" s="1474">
        <v>0.1517</v>
      </c>
      <c r="M39" s="1475">
        <v>1.1599999999999999E-2</v>
      </c>
      <c r="N39" s="1474">
        <v>0</v>
      </c>
      <c r="O39" s="1474">
        <v>0</v>
      </c>
      <c r="P39" s="1474">
        <v>5.21E-2</v>
      </c>
      <c r="Q39" s="1474">
        <v>0.01</v>
      </c>
      <c r="R39" s="1474">
        <v>4.41E-2</v>
      </c>
      <c r="S39" s="1474">
        <v>7.46E-2</v>
      </c>
      <c r="T39" s="1474">
        <v>0.98350000000000004</v>
      </c>
      <c r="U39" s="1474">
        <v>0.9728</v>
      </c>
      <c r="V39" s="1474">
        <v>0.99950000000000006</v>
      </c>
      <c r="W39" s="1474">
        <v>0.01</v>
      </c>
      <c r="X39" s="881"/>
      <c r="Y39" s="881"/>
      <c r="Z39" s="881"/>
      <c r="AA39" s="881"/>
      <c r="AB39" s="881"/>
      <c r="AC39" s="881"/>
      <c r="AD39" s="881"/>
      <c r="AE39" s="881"/>
      <c r="AF39" s="881"/>
      <c r="AG39" s="881"/>
      <c r="AH39" s="881"/>
      <c r="AI39" s="881"/>
      <c r="AJ39" s="881"/>
      <c r="AK39" s="881"/>
      <c r="AL39" s="881"/>
      <c r="AM39" s="881"/>
      <c r="AN39" s="881"/>
      <c r="AO39" s="881"/>
      <c r="AP39" s="881"/>
      <c r="AQ39" s="881"/>
      <c r="AR39" s="881"/>
      <c r="AS39" s="881"/>
      <c r="AT39" s="881"/>
      <c r="AU39" s="881"/>
      <c r="AV39" s="881"/>
      <c r="AW39" s="881"/>
      <c r="AX39" s="881"/>
      <c r="AY39" s="881"/>
      <c r="AZ39" s="881"/>
      <c r="BA39" s="881"/>
      <c r="BB39" s="881"/>
      <c r="BC39" s="881"/>
      <c r="BD39" s="881"/>
      <c r="BE39" s="881"/>
      <c r="BF39" s="881"/>
      <c r="BG39" s="881"/>
      <c r="BH39" s="881"/>
      <c r="BI39" s="881"/>
    </row>
    <row r="40" spans="1:61" ht="13.8" thickBot="1" x14ac:dyDescent="0.3">
      <c r="A40" s="881"/>
      <c r="B40" s="1476" t="s">
        <v>1405</v>
      </c>
      <c r="C40" s="1474">
        <v>0</v>
      </c>
      <c r="D40" s="1474">
        <v>0</v>
      </c>
      <c r="E40" s="1474">
        <v>0</v>
      </c>
      <c r="F40" s="1474">
        <v>0</v>
      </c>
      <c r="G40" s="1474">
        <v>0</v>
      </c>
      <c r="H40" s="1474">
        <v>0</v>
      </c>
      <c r="I40" s="1474">
        <v>4.3999999999999997E-2</v>
      </c>
      <c r="J40" s="1474">
        <v>0.46089999999999998</v>
      </c>
      <c r="K40" s="1474">
        <v>0.46089999999999998</v>
      </c>
      <c r="L40" s="1474">
        <v>0.60009999999999997</v>
      </c>
      <c r="M40" s="1475">
        <v>0.91500000000000004</v>
      </c>
      <c r="N40" s="1474">
        <v>0.99980000000000002</v>
      </c>
      <c r="O40" s="1474">
        <v>0.99980000000000002</v>
      </c>
      <c r="P40" s="1474">
        <v>0.61799999999999999</v>
      </c>
      <c r="Q40" s="1474">
        <v>0</v>
      </c>
      <c r="R40" s="1474">
        <v>0.50029999999999997</v>
      </c>
      <c r="S40" s="1474">
        <v>0</v>
      </c>
      <c r="T40" s="1474">
        <v>0</v>
      </c>
      <c r="U40" s="1474">
        <v>2.0000000000000001E-4</v>
      </c>
      <c r="V40" s="1474">
        <v>0</v>
      </c>
      <c r="W40" s="1474">
        <v>0</v>
      </c>
      <c r="X40" s="881"/>
      <c r="Y40" s="881"/>
      <c r="Z40" s="881"/>
      <c r="AA40" s="881"/>
      <c r="AB40" s="881"/>
      <c r="AC40" s="881"/>
      <c r="AD40" s="881"/>
      <c r="AE40" s="881"/>
      <c r="AF40" s="881"/>
      <c r="AG40" s="881"/>
      <c r="AH40" s="881"/>
      <c r="AI40" s="881"/>
      <c r="AJ40" s="881"/>
      <c r="AK40" s="881"/>
      <c r="AL40" s="881"/>
      <c r="AM40" s="881"/>
      <c r="AN40" s="881"/>
      <c r="AO40" s="881"/>
      <c r="AP40" s="881"/>
      <c r="AQ40" s="881"/>
      <c r="AR40" s="881"/>
      <c r="AS40" s="881"/>
      <c r="AT40" s="881"/>
      <c r="AU40" s="881"/>
      <c r="AV40" s="881"/>
      <c r="AW40" s="881"/>
      <c r="AX40" s="881"/>
      <c r="AY40" s="881"/>
      <c r="AZ40" s="881"/>
      <c r="BA40" s="881"/>
      <c r="BB40" s="881"/>
      <c r="BC40" s="881"/>
      <c r="BD40" s="881"/>
      <c r="BE40" s="881"/>
      <c r="BF40" s="881"/>
      <c r="BG40" s="881"/>
      <c r="BH40" s="881"/>
      <c r="BI40" s="881"/>
    </row>
    <row r="41" spans="1:61" ht="13.8" thickBot="1" x14ac:dyDescent="0.3">
      <c r="A41" s="881"/>
      <c r="B41" s="1476" t="s">
        <v>1406</v>
      </c>
      <c r="C41" s="1474">
        <v>9.9000000000000008E-3</v>
      </c>
      <c r="D41" s="1474">
        <v>9.9000000000000008E-3</v>
      </c>
      <c r="E41" s="1474">
        <v>0</v>
      </c>
      <c r="F41" s="1474">
        <v>0</v>
      </c>
      <c r="G41" s="1474">
        <v>0</v>
      </c>
      <c r="H41" s="1474">
        <v>1</v>
      </c>
      <c r="I41" s="1474">
        <v>0.67600000000000005</v>
      </c>
      <c r="J41" s="1474">
        <v>0.33929999999999999</v>
      </c>
      <c r="K41" s="1474">
        <v>0.33929999999999999</v>
      </c>
      <c r="L41" s="1474">
        <v>0.2</v>
      </c>
      <c r="M41" s="1475">
        <v>0</v>
      </c>
      <c r="N41" s="1474">
        <v>0</v>
      </c>
      <c r="O41" s="1474">
        <v>0</v>
      </c>
      <c r="P41" s="1474">
        <v>0</v>
      </c>
      <c r="Q41" s="1474">
        <v>0</v>
      </c>
      <c r="R41" s="1474">
        <v>0</v>
      </c>
      <c r="S41" s="1474">
        <v>0.2114</v>
      </c>
      <c r="T41" s="1474">
        <v>1.6500000000000001E-2</v>
      </c>
      <c r="U41" s="1474">
        <v>2.7E-2</v>
      </c>
      <c r="V41" s="1474">
        <v>5.0000000000000001E-4</v>
      </c>
      <c r="W41" s="1474">
        <v>3.5799999999999998E-2</v>
      </c>
      <c r="X41" s="881"/>
      <c r="Y41" s="881"/>
      <c r="Z41" s="881"/>
      <c r="AA41" s="881"/>
      <c r="AB41" s="881"/>
      <c r="AC41" s="881"/>
      <c r="AD41" s="881"/>
      <c r="AE41" s="881"/>
      <c r="AF41" s="881"/>
      <c r="AG41" s="881"/>
      <c r="AH41" s="881"/>
      <c r="AI41" s="881"/>
      <c r="AJ41" s="881"/>
      <c r="AK41" s="881"/>
      <c r="AL41" s="881"/>
      <c r="AM41" s="881"/>
      <c r="AN41" s="881"/>
      <c r="AO41" s="881"/>
      <c r="AP41" s="881"/>
      <c r="AQ41" s="881"/>
      <c r="AR41" s="881"/>
      <c r="AS41" s="881"/>
      <c r="AT41" s="881"/>
      <c r="AU41" s="881"/>
      <c r="AV41" s="881"/>
      <c r="AW41" s="881"/>
      <c r="AX41" s="881"/>
      <c r="AY41" s="881"/>
      <c r="AZ41" s="881"/>
      <c r="BA41" s="881"/>
      <c r="BB41" s="881"/>
      <c r="BC41" s="881"/>
      <c r="BD41" s="881"/>
      <c r="BE41" s="881"/>
      <c r="BF41" s="881"/>
      <c r="BG41" s="881"/>
      <c r="BH41" s="881"/>
      <c r="BI41" s="881"/>
    </row>
    <row r="42" spans="1:61" ht="13.8" thickBot="1" x14ac:dyDescent="0.3">
      <c r="A42" s="881"/>
      <c r="B42" s="1476" t="s">
        <v>1407</v>
      </c>
      <c r="C42" s="1474">
        <v>0.7732</v>
      </c>
      <c r="D42" s="1474">
        <v>0.7732</v>
      </c>
      <c r="E42" s="1474">
        <v>1.6E-2</v>
      </c>
      <c r="F42" s="1474">
        <v>1.6E-2</v>
      </c>
      <c r="G42" s="1474">
        <v>1.6E-2</v>
      </c>
      <c r="H42" s="1474">
        <v>0</v>
      </c>
      <c r="I42" s="1474">
        <v>4.1999999999999997E-3</v>
      </c>
      <c r="J42" s="1474">
        <v>3.0000000000000001E-3</v>
      </c>
      <c r="K42" s="1474">
        <v>3.0000000000000001E-3</v>
      </c>
      <c r="L42" s="1474">
        <v>3.0000000000000001E-3</v>
      </c>
      <c r="M42" s="1475">
        <v>4.5999999999999999E-3</v>
      </c>
      <c r="N42" s="1474">
        <v>2.0000000000000001E-4</v>
      </c>
      <c r="O42" s="1474">
        <v>2.0000000000000001E-4</v>
      </c>
      <c r="P42" s="1474">
        <v>2.01E-2</v>
      </c>
      <c r="Q42" s="1474">
        <v>1.6E-2</v>
      </c>
      <c r="R42" s="1474">
        <v>1.9300000000000001E-2</v>
      </c>
      <c r="S42" s="1474">
        <v>0.68899999999999995</v>
      </c>
      <c r="T42" s="1474">
        <v>0</v>
      </c>
      <c r="U42" s="1474">
        <v>0</v>
      </c>
      <c r="V42" s="1474">
        <v>0</v>
      </c>
      <c r="W42" s="1474">
        <v>0.92090000000000005</v>
      </c>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ht="13.8" thickBot="1" x14ac:dyDescent="0.3">
      <c r="A43" s="881"/>
      <c r="B43" s="1476" t="s">
        <v>1408</v>
      </c>
      <c r="C43" s="1474">
        <v>0.2074</v>
      </c>
      <c r="D43" s="1474">
        <v>0.2074</v>
      </c>
      <c r="E43" s="1474">
        <v>0</v>
      </c>
      <c r="F43" s="1474">
        <v>0</v>
      </c>
      <c r="G43" s="1474">
        <v>0</v>
      </c>
      <c r="H43" s="1474">
        <v>0</v>
      </c>
      <c r="I43" s="1474">
        <v>0</v>
      </c>
      <c r="J43" s="1474">
        <v>0</v>
      </c>
      <c r="K43" s="1474">
        <v>0</v>
      </c>
      <c r="L43" s="1474">
        <v>0</v>
      </c>
      <c r="M43" s="1475">
        <v>0</v>
      </c>
      <c r="N43" s="1474">
        <v>0</v>
      </c>
      <c r="O43" s="1474">
        <v>0</v>
      </c>
      <c r="P43" s="1474">
        <v>0</v>
      </c>
      <c r="Q43" s="1474">
        <v>0</v>
      </c>
      <c r="R43" s="1474">
        <v>0</v>
      </c>
      <c r="S43" s="1474">
        <v>1.67E-2</v>
      </c>
      <c r="T43" s="1474">
        <v>0</v>
      </c>
      <c r="U43" s="1474">
        <v>0</v>
      </c>
      <c r="V43" s="1474">
        <v>0</v>
      </c>
      <c r="W43" s="1474">
        <v>2.24E-2</v>
      </c>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3.8" thickBot="1" x14ac:dyDescent="0.3">
      <c r="A44" s="881"/>
      <c r="B44" s="1476" t="s">
        <v>1409</v>
      </c>
      <c r="C44" s="1474">
        <v>0</v>
      </c>
      <c r="D44" s="1474">
        <v>0</v>
      </c>
      <c r="E44" s="1474">
        <v>0</v>
      </c>
      <c r="F44" s="1474">
        <v>0</v>
      </c>
      <c r="G44" s="1474">
        <v>0</v>
      </c>
      <c r="H44" s="1474">
        <v>0</v>
      </c>
      <c r="I44" s="1474">
        <v>0</v>
      </c>
      <c r="J44" s="1474">
        <v>0</v>
      </c>
      <c r="K44" s="1474">
        <v>0</v>
      </c>
      <c r="L44" s="1474">
        <v>0</v>
      </c>
      <c r="M44" s="1475">
        <v>0</v>
      </c>
      <c r="N44" s="1474">
        <v>0</v>
      </c>
      <c r="O44" s="1474">
        <v>0</v>
      </c>
      <c r="P44" s="1474">
        <v>0</v>
      </c>
      <c r="Q44" s="1474">
        <v>0</v>
      </c>
      <c r="R44" s="1474">
        <v>0</v>
      </c>
      <c r="S44" s="1477">
        <v>0</v>
      </c>
      <c r="T44" s="1474">
        <v>0</v>
      </c>
      <c r="U44" s="1474">
        <v>0</v>
      </c>
      <c r="V44" s="1474">
        <v>0</v>
      </c>
      <c r="W44" s="1474">
        <v>0</v>
      </c>
      <c r="X44" s="881"/>
      <c r="Y44" s="881"/>
      <c r="Z44" s="881"/>
      <c r="AA44" s="881"/>
      <c r="AB44" s="881"/>
      <c r="AC44" s="881"/>
      <c r="AD44" s="881"/>
      <c r="AE44" s="881"/>
      <c r="AF44" s="881"/>
      <c r="AG44" s="881"/>
      <c r="AH44" s="881"/>
      <c r="AI44" s="881"/>
      <c r="AJ44" s="881"/>
      <c r="AK44" s="881"/>
      <c r="AL44" s="881"/>
      <c r="AM44" s="881"/>
      <c r="AN44" s="881"/>
      <c r="AO44" s="881"/>
      <c r="AP44" s="881"/>
      <c r="AQ44" s="881"/>
      <c r="AR44" s="881"/>
      <c r="AS44" s="881"/>
      <c r="AT44" s="881"/>
      <c r="AU44" s="881"/>
      <c r="AV44" s="881"/>
      <c r="AW44" s="881"/>
      <c r="AX44" s="881"/>
      <c r="AY44" s="881"/>
      <c r="AZ44" s="881"/>
      <c r="BA44" s="881"/>
      <c r="BB44" s="881"/>
      <c r="BC44" s="881"/>
      <c r="BD44" s="881"/>
      <c r="BE44" s="881"/>
      <c r="BF44" s="881"/>
      <c r="BG44" s="881"/>
      <c r="BH44" s="881"/>
      <c r="BI44" s="881"/>
    </row>
    <row r="45" spans="1:61" ht="13.8" thickBot="1" x14ac:dyDescent="0.3">
      <c r="A45" s="881"/>
      <c r="B45" s="1476" t="s">
        <v>55</v>
      </c>
      <c r="C45" s="1474">
        <v>1</v>
      </c>
      <c r="D45" s="1474">
        <v>1</v>
      </c>
      <c r="E45" s="1474">
        <v>1</v>
      </c>
      <c r="F45" s="1474">
        <v>1</v>
      </c>
      <c r="G45" s="1474">
        <v>1</v>
      </c>
      <c r="H45" s="1474">
        <v>1</v>
      </c>
      <c r="I45" s="1474">
        <v>1</v>
      </c>
      <c r="J45" s="1474">
        <v>1</v>
      </c>
      <c r="K45" s="1474">
        <v>1</v>
      </c>
      <c r="L45" s="1474">
        <v>1</v>
      </c>
      <c r="M45" s="1475">
        <v>1</v>
      </c>
      <c r="N45" s="1474">
        <v>1</v>
      </c>
      <c r="O45" s="1474">
        <v>1</v>
      </c>
      <c r="P45" s="1474">
        <v>1</v>
      </c>
      <c r="Q45" s="1474">
        <v>1</v>
      </c>
      <c r="R45" s="1474">
        <v>1</v>
      </c>
      <c r="S45" s="1477">
        <v>1</v>
      </c>
      <c r="T45" s="1474">
        <v>1</v>
      </c>
      <c r="U45" s="1474">
        <v>1</v>
      </c>
      <c r="V45" s="1474">
        <v>1</v>
      </c>
      <c r="W45" s="1474">
        <v>1</v>
      </c>
      <c r="X45" s="881"/>
      <c r="Y45" s="881"/>
      <c r="Z45" s="881"/>
      <c r="AA45" s="881"/>
      <c r="AB45" s="881"/>
      <c r="AC45" s="881"/>
      <c r="AD45" s="881"/>
      <c r="AE45" s="881"/>
      <c r="AF45" s="881"/>
      <c r="AG45" s="881"/>
      <c r="AH45" s="881"/>
      <c r="AI45" s="881"/>
      <c r="AJ45" s="881"/>
      <c r="AK45" s="881"/>
      <c r="AL45" s="881"/>
      <c r="AM45" s="881"/>
      <c r="AN45" s="881"/>
      <c r="AO45" s="881"/>
      <c r="AP45" s="881"/>
      <c r="AQ45" s="881"/>
      <c r="AR45" s="881"/>
      <c r="AS45" s="881"/>
      <c r="AT45" s="881"/>
      <c r="AU45" s="881"/>
      <c r="AV45" s="881"/>
      <c r="AW45" s="881"/>
      <c r="AX45" s="881"/>
      <c r="AY45" s="881"/>
      <c r="AZ45" s="881"/>
      <c r="BA45" s="881"/>
      <c r="BB45" s="881"/>
      <c r="BC45" s="881"/>
      <c r="BD45" s="881"/>
      <c r="BE45" s="881"/>
      <c r="BF45" s="881"/>
      <c r="BG45" s="881"/>
      <c r="BH45" s="881"/>
      <c r="BI45" s="881"/>
    </row>
    <row r="46" spans="1:61" ht="13.8" thickBot="1" x14ac:dyDescent="0.3">
      <c r="A46" s="881"/>
      <c r="B46" s="1478"/>
      <c r="C46" s="1474"/>
      <c r="D46" s="1474"/>
      <c r="E46" s="1474"/>
      <c r="F46" s="1474"/>
      <c r="G46" s="1474"/>
      <c r="H46" s="1474"/>
      <c r="I46" s="1474"/>
      <c r="J46" s="1474"/>
      <c r="K46" s="1474"/>
      <c r="L46" s="1474"/>
      <c r="M46" s="1475"/>
      <c r="N46" s="1474"/>
      <c r="O46" s="1474"/>
      <c r="P46" s="1474"/>
      <c r="Q46" s="1474"/>
      <c r="R46" s="1474"/>
      <c r="S46" s="1474"/>
      <c r="T46" s="1474"/>
      <c r="U46" s="1474"/>
      <c r="V46" s="1474"/>
      <c r="W46" s="1474"/>
      <c r="X46" s="881"/>
      <c r="Y46" s="881"/>
      <c r="Z46" s="881"/>
      <c r="AA46" s="881"/>
      <c r="AB46" s="881"/>
      <c r="AC46" s="881"/>
      <c r="AD46" s="881"/>
      <c r="AE46" s="881"/>
      <c r="AF46" s="881"/>
      <c r="AG46" s="881"/>
      <c r="AH46" s="881"/>
      <c r="AI46" s="881"/>
      <c r="AJ46" s="881"/>
      <c r="AK46" s="881"/>
      <c r="AL46" s="881"/>
      <c r="AM46" s="881"/>
      <c r="AN46" s="881"/>
      <c r="AO46" s="881"/>
      <c r="AP46" s="881"/>
      <c r="AQ46" s="881"/>
      <c r="AR46" s="881"/>
      <c r="AS46" s="881"/>
      <c r="AT46" s="881"/>
      <c r="AU46" s="881"/>
      <c r="AV46" s="881"/>
      <c r="AW46" s="881"/>
      <c r="AX46" s="881"/>
      <c r="AY46" s="881"/>
      <c r="AZ46" s="881"/>
      <c r="BA46" s="881"/>
      <c r="BB46" s="881"/>
      <c r="BC46" s="881"/>
      <c r="BD46" s="881"/>
      <c r="BE46" s="881"/>
      <c r="BF46" s="881"/>
      <c r="BG46" s="881"/>
      <c r="BH46" s="881"/>
      <c r="BI46" s="881"/>
    </row>
    <row r="47" spans="1:61" ht="13.8" thickBot="1" x14ac:dyDescent="0.3">
      <c r="A47" s="881"/>
      <c r="B47" s="1473" t="s">
        <v>1410</v>
      </c>
      <c r="C47" s="1479">
        <v>20603</v>
      </c>
      <c r="D47" s="1479">
        <v>20603</v>
      </c>
      <c r="E47" s="1479">
        <v>4356</v>
      </c>
      <c r="F47" s="1479">
        <v>3687</v>
      </c>
      <c r="G47" s="1479">
        <v>3687</v>
      </c>
      <c r="H47" s="1479">
        <v>9830</v>
      </c>
      <c r="I47" s="1479">
        <v>13930</v>
      </c>
      <c r="J47" s="1479">
        <v>19519</v>
      </c>
      <c r="K47" s="1479">
        <v>19519</v>
      </c>
      <c r="L47" s="1479">
        <v>19519</v>
      </c>
      <c r="M47" s="1480">
        <v>12802</v>
      </c>
      <c r="N47" s="1479">
        <v>9959</v>
      </c>
      <c r="O47" s="1479">
        <v>9959</v>
      </c>
      <c r="P47" s="1479">
        <v>2843</v>
      </c>
      <c r="Q47" s="1474">
        <v>669</v>
      </c>
      <c r="R47" s="1479">
        <v>3512</v>
      </c>
      <c r="S47" s="1479">
        <v>23216</v>
      </c>
      <c r="T47" s="1479">
        <v>1585</v>
      </c>
      <c r="U47" s="1479">
        <v>2891</v>
      </c>
      <c r="V47" s="1479">
        <v>4373</v>
      </c>
      <c r="W47" s="1479">
        <v>17371</v>
      </c>
      <c r="X47" s="881"/>
      <c r="Y47" s="881"/>
      <c r="Z47" s="881"/>
      <c r="AA47" s="881"/>
      <c r="AB47" s="881"/>
      <c r="AC47" s="881"/>
      <c r="AD47" s="881"/>
      <c r="AE47" s="881"/>
      <c r="AF47" s="881"/>
      <c r="AG47" s="881"/>
      <c r="AH47" s="881"/>
      <c r="AI47" s="881"/>
      <c r="AJ47" s="881"/>
      <c r="AK47" s="881"/>
      <c r="AL47" s="881"/>
      <c r="AM47" s="881"/>
      <c r="AN47" s="881"/>
      <c r="AO47" s="881"/>
      <c r="AP47" s="881"/>
      <c r="AQ47" s="881"/>
      <c r="AR47" s="881"/>
      <c r="AS47" s="881"/>
      <c r="AT47" s="881"/>
      <c r="AU47" s="881"/>
      <c r="AV47" s="881"/>
      <c r="AW47" s="881"/>
      <c r="AX47" s="881"/>
      <c r="AY47" s="881"/>
      <c r="AZ47" s="881"/>
      <c r="BA47" s="881"/>
      <c r="BB47" s="881"/>
      <c r="BC47" s="881"/>
      <c r="BD47" s="881"/>
      <c r="BE47" s="881"/>
      <c r="BF47" s="881"/>
      <c r="BG47" s="881"/>
      <c r="BH47" s="881"/>
      <c r="BI47" s="881"/>
    </row>
    <row r="48" spans="1:61" ht="13.8" thickBot="1" x14ac:dyDescent="0.3">
      <c r="A48" s="881"/>
      <c r="B48" s="1473" t="s">
        <v>1260</v>
      </c>
      <c r="C48" s="1479">
        <v>594529</v>
      </c>
      <c r="D48" s="1479">
        <v>594529</v>
      </c>
      <c r="E48" s="1479">
        <v>75472</v>
      </c>
      <c r="F48" s="1479">
        <v>63883</v>
      </c>
      <c r="G48" s="1479">
        <v>63882</v>
      </c>
      <c r="H48" s="1479">
        <v>177085</v>
      </c>
      <c r="I48" s="1479">
        <v>240967</v>
      </c>
      <c r="J48" s="1479">
        <v>240967</v>
      </c>
      <c r="K48" s="1479">
        <v>240967</v>
      </c>
      <c r="L48" s="1479">
        <v>240967</v>
      </c>
      <c r="M48" s="1480">
        <v>46850</v>
      </c>
      <c r="N48" s="1479">
        <v>20125</v>
      </c>
      <c r="O48" s="1479">
        <v>20125</v>
      </c>
      <c r="P48" s="1479">
        <v>26725</v>
      </c>
      <c r="Q48" s="1479">
        <v>11588</v>
      </c>
      <c r="R48" s="1479">
        <v>38313</v>
      </c>
      <c r="S48" s="1479">
        <v>632842</v>
      </c>
      <c r="T48" s="1479">
        <v>69097</v>
      </c>
      <c r="U48" s="1479">
        <v>125180</v>
      </c>
      <c r="V48" s="1479">
        <v>192413</v>
      </c>
      <c r="W48" s="1479">
        <v>486994</v>
      </c>
      <c r="X48" s="881"/>
      <c r="Y48" s="881"/>
      <c r="Z48" s="881"/>
      <c r="AA48" s="881"/>
      <c r="AB48" s="881"/>
      <c r="AC48" s="881"/>
      <c r="AD48" s="881"/>
      <c r="AE48" s="881"/>
      <c r="AF48" s="881"/>
      <c r="AG48" s="881"/>
      <c r="AH48" s="881"/>
      <c r="AI48" s="881"/>
      <c r="AJ48" s="881"/>
      <c r="AK48" s="881"/>
      <c r="AL48" s="881"/>
      <c r="AM48" s="881"/>
      <c r="AN48" s="881"/>
      <c r="AO48" s="881"/>
      <c r="AP48" s="881"/>
      <c r="AQ48" s="881"/>
      <c r="AR48" s="881"/>
      <c r="AS48" s="881"/>
      <c r="AT48" s="881"/>
      <c r="AU48" s="881"/>
      <c r="AV48" s="881"/>
      <c r="AW48" s="881"/>
      <c r="AX48" s="881"/>
      <c r="AY48" s="881"/>
      <c r="AZ48" s="881"/>
      <c r="BA48" s="881"/>
      <c r="BB48" s="881"/>
      <c r="BC48" s="881"/>
      <c r="BD48" s="881"/>
      <c r="BE48" s="881"/>
      <c r="BF48" s="881"/>
      <c r="BG48" s="881"/>
      <c r="BH48" s="881"/>
      <c r="BI48" s="881"/>
    </row>
    <row r="49" spans="1:61" ht="13.8" thickBot="1" x14ac:dyDescent="0.3">
      <c r="A49" s="881"/>
      <c r="B49" s="1473" t="s">
        <v>1261</v>
      </c>
      <c r="C49" s="1474">
        <v>0</v>
      </c>
      <c r="D49" s="1474">
        <v>0</v>
      </c>
      <c r="E49" s="1474">
        <v>0</v>
      </c>
      <c r="F49" s="1474">
        <v>0</v>
      </c>
      <c r="G49" s="1474">
        <v>0</v>
      </c>
      <c r="H49" s="1474">
        <v>0</v>
      </c>
      <c r="I49" s="1474">
        <v>0</v>
      </c>
      <c r="J49" s="1474">
        <v>0</v>
      </c>
      <c r="K49" s="1474">
        <v>0</v>
      </c>
      <c r="L49" s="1474">
        <v>0</v>
      </c>
      <c r="M49" s="1475">
        <v>0</v>
      </c>
      <c r="N49" s="1474">
        <v>0</v>
      </c>
      <c r="O49" s="1474">
        <v>0</v>
      </c>
      <c r="P49" s="1474">
        <v>0</v>
      </c>
      <c r="Q49" s="1474">
        <v>0</v>
      </c>
      <c r="R49" s="1474">
        <v>0</v>
      </c>
      <c r="S49" s="1474">
        <v>0</v>
      </c>
      <c r="T49" s="1474">
        <v>0</v>
      </c>
      <c r="U49" s="1474">
        <v>0</v>
      </c>
      <c r="V49" s="1474">
        <v>0</v>
      </c>
      <c r="W49" s="1474">
        <v>0</v>
      </c>
      <c r="X49" s="881"/>
      <c r="Y49" s="881"/>
      <c r="Z49" s="881"/>
      <c r="AA49" s="881"/>
      <c r="AB49" s="881"/>
      <c r="AC49" s="881"/>
      <c r="AD49" s="881"/>
      <c r="AE49" s="881"/>
      <c r="AF49" s="881"/>
      <c r="AG49" s="881"/>
      <c r="AH49" s="881"/>
      <c r="AI49" s="881"/>
      <c r="AJ49" s="881"/>
      <c r="AK49" s="881"/>
      <c r="AL49" s="881"/>
      <c r="AM49" s="881"/>
      <c r="AN49" s="881"/>
      <c r="AO49" s="881"/>
      <c r="AP49" s="881"/>
      <c r="AQ49" s="881"/>
      <c r="AR49" s="881"/>
      <c r="AS49" s="881"/>
      <c r="AT49" s="881"/>
      <c r="AU49" s="881"/>
      <c r="AV49" s="881"/>
      <c r="AW49" s="881"/>
      <c r="AX49" s="881"/>
      <c r="AY49" s="881"/>
      <c r="AZ49" s="881"/>
      <c r="BA49" s="881"/>
      <c r="BB49" s="881"/>
      <c r="BC49" s="881"/>
      <c r="BD49" s="881"/>
      <c r="BE49" s="881"/>
      <c r="BF49" s="881"/>
      <c r="BG49" s="881"/>
      <c r="BH49" s="881"/>
      <c r="BI49" s="881"/>
    </row>
    <row r="50" spans="1:61" ht="13.8" thickBot="1" x14ac:dyDescent="0.3">
      <c r="A50" s="881"/>
      <c r="B50" s="1473"/>
      <c r="C50" s="1474"/>
      <c r="D50" s="1474"/>
      <c r="E50" s="1474"/>
      <c r="F50" s="1474"/>
      <c r="G50" s="1474"/>
      <c r="H50" s="1474"/>
      <c r="I50" s="1474"/>
      <c r="J50" s="1474"/>
      <c r="K50" s="1474"/>
      <c r="L50" s="1474"/>
      <c r="M50" s="1475"/>
      <c r="N50" s="1474"/>
      <c r="O50" s="1474"/>
      <c r="P50" s="1474"/>
      <c r="Q50" s="1474"/>
      <c r="R50" s="1474"/>
      <c r="S50" s="1474"/>
      <c r="T50" s="1474"/>
      <c r="U50" s="1474"/>
      <c r="V50" s="1474"/>
      <c r="W50" s="1474"/>
      <c r="X50" s="881"/>
      <c r="Y50" s="881"/>
      <c r="Z50" s="881"/>
      <c r="AA50" s="881"/>
      <c r="AB50" s="881"/>
      <c r="AC50" s="881"/>
      <c r="AD50" s="881"/>
      <c r="AE50" s="881"/>
      <c r="AF50" s="881"/>
      <c r="AG50" s="881"/>
      <c r="AH50" s="881"/>
      <c r="AI50" s="881"/>
      <c r="AJ50" s="881"/>
      <c r="AK50" s="881"/>
      <c r="AL50" s="881"/>
      <c r="AM50" s="881"/>
      <c r="AN50" s="881"/>
      <c r="AO50" s="881"/>
      <c r="AP50" s="881"/>
      <c r="AQ50" s="881"/>
      <c r="AR50" s="881"/>
      <c r="AS50" s="881"/>
      <c r="AT50" s="881"/>
      <c r="AU50" s="881"/>
      <c r="AV50" s="881"/>
      <c r="AW50" s="881"/>
      <c r="AX50" s="881"/>
      <c r="AY50" s="881"/>
      <c r="AZ50" s="881"/>
      <c r="BA50" s="881"/>
      <c r="BB50" s="881"/>
      <c r="BC50" s="881"/>
      <c r="BD50" s="881"/>
      <c r="BE50" s="881"/>
      <c r="BF50" s="881"/>
      <c r="BG50" s="881"/>
      <c r="BH50" s="881"/>
      <c r="BI50" s="881"/>
    </row>
    <row r="51" spans="1:61" ht="13.8" thickBot="1" x14ac:dyDescent="0.3">
      <c r="A51" s="881"/>
      <c r="B51" s="1473" t="s">
        <v>1262</v>
      </c>
      <c r="C51" s="1474">
        <v>15</v>
      </c>
      <c r="D51" s="1474">
        <v>24</v>
      </c>
      <c r="E51" s="1474">
        <v>15</v>
      </c>
      <c r="F51" s="1474">
        <v>15</v>
      </c>
      <c r="G51" s="1474">
        <v>370</v>
      </c>
      <c r="H51" s="1474">
        <v>399</v>
      </c>
      <c r="I51" s="1474">
        <v>395</v>
      </c>
      <c r="J51" s="1474">
        <v>871</v>
      </c>
      <c r="K51" s="1474">
        <v>204</v>
      </c>
      <c r="L51" s="1474">
        <v>38</v>
      </c>
      <c r="M51" s="1475">
        <v>38</v>
      </c>
      <c r="N51" s="1474">
        <v>38</v>
      </c>
      <c r="O51" s="1474">
        <v>30</v>
      </c>
      <c r="P51" s="1474">
        <v>38</v>
      </c>
      <c r="Q51" s="1474">
        <v>15</v>
      </c>
      <c r="R51" s="1474">
        <v>29</v>
      </c>
      <c r="S51" s="1474">
        <v>121</v>
      </c>
      <c r="T51" s="1474">
        <v>30</v>
      </c>
      <c r="U51" s="1474">
        <v>49</v>
      </c>
      <c r="V51" s="1474">
        <v>30</v>
      </c>
      <c r="W51" s="1474">
        <v>30</v>
      </c>
      <c r="X51" s="881"/>
      <c r="Y51" s="881"/>
      <c r="Z51" s="881"/>
      <c r="AA51" s="881"/>
      <c r="AB51" s="881"/>
      <c r="AC51" s="881"/>
      <c r="AD51" s="881"/>
      <c r="AE51" s="881"/>
      <c r="AF51" s="881"/>
      <c r="AG51" s="881"/>
      <c r="AH51" s="881"/>
      <c r="AI51" s="881"/>
      <c r="AJ51" s="881"/>
      <c r="AK51" s="881"/>
      <c r="AL51" s="881"/>
      <c r="AM51" s="881"/>
      <c r="AN51" s="881"/>
      <c r="AO51" s="881"/>
      <c r="AP51" s="881"/>
      <c r="AQ51" s="881"/>
      <c r="AR51" s="881"/>
      <c r="AS51" s="881"/>
      <c r="AT51" s="881"/>
      <c r="AU51" s="881"/>
      <c r="AV51" s="881"/>
      <c r="AW51" s="881"/>
      <c r="AX51" s="881"/>
      <c r="AY51" s="881"/>
      <c r="AZ51" s="881"/>
      <c r="BA51" s="881"/>
      <c r="BB51" s="881"/>
      <c r="BC51" s="881"/>
      <c r="BD51" s="881"/>
      <c r="BE51" s="881"/>
      <c r="BF51" s="881"/>
      <c r="BG51" s="881"/>
      <c r="BH51" s="881"/>
      <c r="BI51" s="881"/>
    </row>
    <row r="52" spans="1:61" ht="13.8" thickBot="1" x14ac:dyDescent="0.3">
      <c r="A52" s="881"/>
      <c r="B52" s="1473" t="s">
        <v>1263</v>
      </c>
      <c r="C52" s="1474">
        <v>0.1</v>
      </c>
      <c r="D52" s="1474">
        <v>0.11</v>
      </c>
      <c r="E52" s="1474">
        <v>3.1</v>
      </c>
      <c r="F52" s="1474">
        <v>3.1</v>
      </c>
      <c r="G52" s="1474">
        <v>3</v>
      </c>
      <c r="H52" s="1474">
        <v>3.1</v>
      </c>
      <c r="I52" s="1474">
        <v>2.9</v>
      </c>
      <c r="J52" s="1474">
        <v>2.83</v>
      </c>
      <c r="K52" s="1474">
        <v>2.8</v>
      </c>
      <c r="L52" s="1474">
        <v>2.4500000000000002</v>
      </c>
      <c r="M52" s="1475">
        <v>2.35</v>
      </c>
      <c r="N52" s="1474">
        <v>2.2799999999999998</v>
      </c>
      <c r="O52" s="1474">
        <v>6.48</v>
      </c>
      <c r="P52" s="1474">
        <v>0.14000000000000001</v>
      </c>
      <c r="Q52" s="1474">
        <v>3.1</v>
      </c>
      <c r="R52" s="1474">
        <v>0.14000000000000001</v>
      </c>
      <c r="S52" s="1474">
        <v>0.1</v>
      </c>
      <c r="T52" s="1474">
        <v>0.2</v>
      </c>
      <c r="U52" s="1474">
        <v>0.14000000000000001</v>
      </c>
      <c r="V52" s="1474">
        <v>15.27</v>
      </c>
      <c r="W52" s="1474">
        <v>0.1</v>
      </c>
      <c r="X52" s="881"/>
      <c r="Y52" s="881"/>
      <c r="Z52" s="881"/>
      <c r="AA52" s="881"/>
      <c r="AB52" s="881"/>
      <c r="AC52" s="881"/>
      <c r="AD52" s="881"/>
      <c r="AE52" s="881"/>
      <c r="AF52" s="881"/>
      <c r="AG52" s="881"/>
      <c r="AH52" s="881"/>
      <c r="AI52" s="881"/>
      <c r="AJ52" s="881"/>
      <c r="AK52" s="881"/>
      <c r="AL52" s="881"/>
      <c r="AM52" s="881"/>
      <c r="AN52" s="881"/>
      <c r="AO52" s="881"/>
      <c r="AP52" s="881"/>
      <c r="AQ52" s="881"/>
      <c r="AR52" s="881"/>
      <c r="AS52" s="881"/>
      <c r="AT52" s="881"/>
      <c r="AU52" s="881"/>
      <c r="AV52" s="881"/>
      <c r="AW52" s="881"/>
      <c r="AX52" s="881"/>
      <c r="AY52" s="881"/>
      <c r="AZ52" s="881"/>
      <c r="BA52" s="881"/>
      <c r="BB52" s="881"/>
      <c r="BC52" s="881"/>
      <c r="BD52" s="881"/>
      <c r="BE52" s="881"/>
      <c r="BF52" s="881"/>
      <c r="BG52" s="881"/>
      <c r="BH52" s="881"/>
      <c r="BI52" s="881"/>
    </row>
    <row r="53" spans="1:61" ht="13.8" thickBot="1" x14ac:dyDescent="0.3">
      <c r="A53" s="881"/>
      <c r="B53" s="1473" t="s">
        <v>1411</v>
      </c>
      <c r="C53" s="1474">
        <v>30.23</v>
      </c>
      <c r="D53" s="1474">
        <v>39.78</v>
      </c>
      <c r="E53" s="1474">
        <v>-6.77</v>
      </c>
      <c r="F53" s="1474">
        <v>-6.77</v>
      </c>
      <c r="G53" s="1474">
        <v>969.07</v>
      </c>
      <c r="H53" s="1481">
        <v>3216.15</v>
      </c>
      <c r="I53" s="1481">
        <v>2587.7800000000002</v>
      </c>
      <c r="J53" s="1481">
        <v>3639.94</v>
      </c>
      <c r="K53" s="1481">
        <v>1740.54</v>
      </c>
      <c r="L53" s="1474">
        <v>94.92</v>
      </c>
      <c r="M53" s="1475">
        <v>302.69</v>
      </c>
      <c r="N53" s="1474">
        <v>544.39</v>
      </c>
      <c r="O53" s="1474">
        <v>446.67</v>
      </c>
      <c r="P53" s="1474">
        <v>124.41</v>
      </c>
      <c r="Q53" s="1474">
        <v>-6.77</v>
      </c>
      <c r="R53" s="1474">
        <v>84.73</v>
      </c>
      <c r="S53" s="1474">
        <v>485.92</v>
      </c>
      <c r="T53" s="1474">
        <v>41.78</v>
      </c>
      <c r="U53" s="1474">
        <v>71.11</v>
      </c>
      <c r="V53" s="1474">
        <v>-231.09</v>
      </c>
      <c r="W53" s="1474">
        <v>88.99</v>
      </c>
      <c r="X53" s="881"/>
      <c r="Y53" s="881"/>
      <c r="Z53" s="881"/>
      <c r="AA53" s="881"/>
      <c r="AB53" s="881"/>
      <c r="AC53" s="881"/>
      <c r="AD53" s="881"/>
      <c r="AE53" s="881"/>
      <c r="AF53" s="881"/>
      <c r="AG53" s="881"/>
      <c r="AH53" s="881"/>
      <c r="AI53" s="881"/>
      <c r="AJ53" s="881"/>
      <c r="AK53" s="881"/>
      <c r="AL53" s="881"/>
      <c r="AM53" s="881"/>
      <c r="AN53" s="881"/>
      <c r="AO53" s="881"/>
      <c r="AP53" s="881"/>
      <c r="AQ53" s="881"/>
      <c r="AR53" s="881"/>
      <c r="AS53" s="881"/>
      <c r="AT53" s="881"/>
      <c r="AU53" s="881"/>
      <c r="AV53" s="881"/>
      <c r="AW53" s="881"/>
      <c r="AX53" s="881"/>
      <c r="AY53" s="881"/>
      <c r="AZ53" s="881"/>
      <c r="BA53" s="881"/>
      <c r="BB53" s="881"/>
      <c r="BC53" s="881"/>
      <c r="BD53" s="881"/>
      <c r="BE53" s="881"/>
      <c r="BF53" s="881"/>
      <c r="BG53" s="881"/>
      <c r="BH53" s="881"/>
      <c r="BI53" s="881"/>
    </row>
    <row r="54" spans="1:61" ht="13.8" thickBot="1" x14ac:dyDescent="0.3">
      <c r="A54" s="881"/>
      <c r="B54" s="1473" t="s">
        <v>1412</v>
      </c>
      <c r="C54" s="1474">
        <v>-97.58</v>
      </c>
      <c r="D54" s="1474">
        <v>-88.02</v>
      </c>
      <c r="E54" s="1481">
        <v>-4516</v>
      </c>
      <c r="F54" s="1481">
        <v>-4516</v>
      </c>
      <c r="G54" s="1481">
        <v>-3540.22</v>
      </c>
      <c r="H54" s="1481">
        <v>-12753.89</v>
      </c>
      <c r="I54" s="1481">
        <v>-10182.19</v>
      </c>
      <c r="J54" s="1481">
        <v>-6233.87</v>
      </c>
      <c r="K54" s="1481">
        <v>-8133.27</v>
      </c>
      <c r="L54" s="1481">
        <v>-9735.5300000000007</v>
      </c>
      <c r="M54" s="1482">
        <v>-2601.4299999999998</v>
      </c>
      <c r="N54" s="1474">
        <v>188.79</v>
      </c>
      <c r="O54" s="1474">
        <v>91.07</v>
      </c>
      <c r="P54" s="1481">
        <v>-4698.8900000000003</v>
      </c>
      <c r="Q54" s="1481">
        <v>-4516</v>
      </c>
      <c r="R54" s="1481">
        <v>-4643.57</v>
      </c>
      <c r="S54" s="1481">
        <v>-2844.39</v>
      </c>
      <c r="T54" s="1481">
        <v>-8969.58</v>
      </c>
      <c r="U54" s="1481">
        <v>-8972.06</v>
      </c>
      <c r="V54" s="1481">
        <v>-9194.65</v>
      </c>
      <c r="W54" s="1474">
        <v>-443.21</v>
      </c>
      <c r="X54" s="881"/>
      <c r="Y54" s="881"/>
      <c r="Z54" s="881"/>
      <c r="AA54" s="881"/>
      <c r="AB54" s="881"/>
      <c r="AC54" s="881"/>
      <c r="AD54" s="881"/>
      <c r="AE54" s="881"/>
      <c r="AF54" s="881"/>
      <c r="AG54" s="881"/>
      <c r="AH54" s="881"/>
      <c r="AI54" s="881"/>
      <c r="AJ54" s="881"/>
      <c r="AK54" s="881"/>
      <c r="AL54" s="881"/>
      <c r="AM54" s="881"/>
      <c r="AN54" s="881"/>
      <c r="AO54" s="881"/>
      <c r="AP54" s="881"/>
      <c r="AQ54" s="881"/>
      <c r="AR54" s="881"/>
      <c r="AS54" s="881"/>
      <c r="AT54" s="881"/>
      <c r="AU54" s="881"/>
      <c r="AV54" s="881"/>
      <c r="AW54" s="881"/>
      <c r="AX54" s="881"/>
      <c r="AY54" s="881"/>
      <c r="AZ54" s="881"/>
      <c r="BA54" s="881"/>
      <c r="BB54" s="881"/>
      <c r="BC54" s="881"/>
      <c r="BD54" s="881"/>
      <c r="BE54" s="881"/>
      <c r="BF54" s="881"/>
      <c r="BG54" s="881"/>
      <c r="BH54" s="881"/>
      <c r="BI54" s="881"/>
    </row>
    <row r="55" spans="1:61" ht="13.8" thickBot="1" x14ac:dyDescent="0.3">
      <c r="A55" s="881"/>
      <c r="B55" s="1473" t="s">
        <v>1413</v>
      </c>
      <c r="C55" s="1474">
        <v>1.2</v>
      </c>
      <c r="D55" s="1474">
        <v>1.3</v>
      </c>
      <c r="E55" s="1474">
        <v>24.4</v>
      </c>
      <c r="F55" s="1474">
        <v>24.4</v>
      </c>
      <c r="G55" s="1474">
        <v>9.6999999999999993</v>
      </c>
      <c r="H55" s="1474">
        <v>10.4</v>
      </c>
      <c r="I55" s="1474">
        <v>9.3000000000000007</v>
      </c>
      <c r="J55" s="1474">
        <v>3.7</v>
      </c>
      <c r="K55" s="1474">
        <v>8.8000000000000007</v>
      </c>
      <c r="L55" s="1474">
        <v>14.5</v>
      </c>
      <c r="M55" s="1475">
        <v>3.3</v>
      </c>
      <c r="N55" s="1474">
        <v>1.8</v>
      </c>
      <c r="O55" s="1474">
        <v>5</v>
      </c>
      <c r="P55" s="1474">
        <v>0.5</v>
      </c>
      <c r="Q55" s="1474">
        <v>24.4</v>
      </c>
      <c r="R55" s="1474">
        <v>0.6</v>
      </c>
      <c r="S55" s="1474">
        <v>0.8</v>
      </c>
      <c r="T55" s="1474">
        <v>3.5</v>
      </c>
      <c r="U55" s="1474">
        <v>2.2000000000000002</v>
      </c>
      <c r="V55" s="1474">
        <v>630.1</v>
      </c>
      <c r="W55" s="1474">
        <v>1.1000000000000001</v>
      </c>
      <c r="X55" s="881"/>
      <c r="Y55" s="881"/>
      <c r="Z55" s="881"/>
      <c r="AA55" s="881"/>
      <c r="AB55" s="881"/>
      <c r="AC55" s="881"/>
      <c r="AD55" s="881"/>
      <c r="AE55" s="881"/>
      <c r="AF55" s="881"/>
      <c r="AG55" s="881"/>
      <c r="AH55" s="881"/>
      <c r="AI55" s="881"/>
      <c r="AJ55" s="881"/>
      <c r="AK55" s="881"/>
      <c r="AL55" s="881"/>
      <c r="AM55" s="881"/>
      <c r="AN55" s="881"/>
      <c r="AO55" s="881"/>
      <c r="AP55" s="881"/>
      <c r="AQ55" s="881"/>
      <c r="AR55" s="881"/>
      <c r="AS55" s="881"/>
      <c r="AT55" s="881"/>
      <c r="AU55" s="881"/>
      <c r="AV55" s="881"/>
      <c r="AW55" s="881"/>
      <c r="AX55" s="881"/>
      <c r="AY55" s="881"/>
      <c r="AZ55" s="881"/>
      <c r="BA55" s="881"/>
      <c r="BB55" s="881"/>
      <c r="BC55" s="881"/>
      <c r="BD55" s="881"/>
      <c r="BE55" s="881"/>
      <c r="BF55" s="881"/>
      <c r="BG55" s="881"/>
      <c r="BH55" s="881"/>
      <c r="BI55" s="881"/>
    </row>
    <row r="56" spans="1:61" ht="13.8" thickBot="1" x14ac:dyDescent="0.3">
      <c r="A56" s="881"/>
      <c r="B56" s="1473" t="s">
        <v>1264</v>
      </c>
      <c r="C56" s="1474">
        <v>28.856999999999999</v>
      </c>
      <c r="D56" s="1474">
        <v>28.856999999999999</v>
      </c>
      <c r="E56" s="1474">
        <v>17.327999999999999</v>
      </c>
      <c r="F56" s="1474">
        <v>17.327999999999999</v>
      </c>
      <c r="G56" s="1474">
        <v>17.327999999999999</v>
      </c>
      <c r="H56" s="1474">
        <v>18.015000000000001</v>
      </c>
      <c r="I56" s="1474">
        <v>17.297999999999998</v>
      </c>
      <c r="J56" s="1474">
        <v>12.345000000000001</v>
      </c>
      <c r="K56" s="1474">
        <v>12.345000000000001</v>
      </c>
      <c r="L56" s="1474">
        <v>12.345000000000001</v>
      </c>
      <c r="M56" s="1475">
        <v>3.66</v>
      </c>
      <c r="N56" s="1474">
        <v>2.0209999999999999</v>
      </c>
      <c r="O56" s="1474">
        <v>2.0209999999999999</v>
      </c>
      <c r="P56" s="1474">
        <v>9.4</v>
      </c>
      <c r="Q56" s="1474">
        <v>17.327999999999999</v>
      </c>
      <c r="R56" s="1474">
        <v>10.909000000000001</v>
      </c>
      <c r="S56" s="1474">
        <v>27.257999999999999</v>
      </c>
      <c r="T56" s="1474">
        <v>43.581000000000003</v>
      </c>
      <c r="U56" s="1474">
        <v>43.301000000000002</v>
      </c>
      <c r="V56" s="1474">
        <v>43.997</v>
      </c>
      <c r="W56" s="1474">
        <v>28.035</v>
      </c>
      <c r="X56" s="881"/>
      <c r="Y56" s="881"/>
      <c r="Z56" s="881"/>
      <c r="AA56" s="881"/>
      <c r="AB56" s="881"/>
      <c r="AC56" s="881"/>
      <c r="AD56" s="881"/>
      <c r="AE56" s="881"/>
      <c r="AF56" s="881"/>
      <c r="AG56" s="881"/>
      <c r="AH56" s="881"/>
      <c r="AI56" s="881"/>
      <c r="AJ56" s="881"/>
      <c r="AK56" s="881"/>
      <c r="AL56" s="881"/>
      <c r="AM56" s="881"/>
      <c r="AN56" s="881"/>
      <c r="AO56" s="881"/>
      <c r="AP56" s="881"/>
      <c r="AQ56" s="881"/>
      <c r="AR56" s="881"/>
      <c r="AS56" s="881"/>
      <c r="AT56" s="881"/>
      <c r="AU56" s="881"/>
      <c r="AV56" s="881"/>
      <c r="AW56" s="881"/>
      <c r="AX56" s="881"/>
      <c r="AY56" s="881"/>
      <c r="AZ56" s="881"/>
      <c r="BA56" s="881"/>
      <c r="BB56" s="881"/>
      <c r="BC56" s="881"/>
      <c r="BD56" s="881"/>
      <c r="BE56" s="881"/>
      <c r="BF56" s="881"/>
      <c r="BG56" s="881"/>
      <c r="BH56" s="881"/>
      <c r="BI56" s="881"/>
    </row>
    <row r="57" spans="1:61" ht="13.8" thickBot="1" x14ac:dyDescent="0.3">
      <c r="A57" s="881"/>
      <c r="B57" s="1473"/>
      <c r="C57" s="1474"/>
      <c r="D57" s="1474"/>
      <c r="E57" s="1474"/>
      <c r="F57" s="1474"/>
      <c r="G57" s="1474"/>
      <c r="H57" s="1474"/>
      <c r="I57" s="1474"/>
      <c r="J57" s="1474"/>
      <c r="K57" s="1474"/>
      <c r="L57" s="1474"/>
      <c r="M57" s="1475"/>
      <c r="N57" s="1474"/>
      <c r="O57" s="1474"/>
      <c r="P57" s="1474"/>
      <c r="Q57" s="1474"/>
      <c r="R57" s="1474"/>
      <c r="S57" s="1474"/>
      <c r="T57" s="1474"/>
      <c r="U57" s="1474"/>
      <c r="V57" s="1474"/>
      <c r="W57" s="1474"/>
      <c r="X57" s="881"/>
      <c r="Y57" s="881"/>
      <c r="Z57" s="881"/>
      <c r="AA57" s="881"/>
      <c r="AB57" s="881"/>
      <c r="AC57" s="881"/>
      <c r="AD57" s="881"/>
      <c r="AE57" s="881"/>
      <c r="AF57" s="881"/>
      <c r="AG57" s="881"/>
      <c r="AH57" s="881"/>
      <c r="AI57" s="881"/>
      <c r="AJ57" s="881"/>
      <c r="AK57" s="881"/>
      <c r="AL57" s="881"/>
      <c r="AM57" s="881"/>
      <c r="AN57" s="881"/>
      <c r="AO57" s="881"/>
      <c r="AP57" s="881"/>
      <c r="AQ57" s="881"/>
      <c r="AR57" s="881"/>
      <c r="AS57" s="881"/>
      <c r="AT57" s="881"/>
      <c r="AU57" s="881"/>
      <c r="AV57" s="881"/>
      <c r="AW57" s="881"/>
      <c r="AX57" s="881"/>
      <c r="AY57" s="881"/>
      <c r="AZ57" s="881"/>
      <c r="BA57" s="881"/>
      <c r="BB57" s="881"/>
      <c r="BC57" s="881"/>
      <c r="BD57" s="881"/>
      <c r="BE57" s="881"/>
      <c r="BF57" s="881"/>
      <c r="BG57" s="881"/>
      <c r="BH57" s="881"/>
      <c r="BI57" s="881"/>
    </row>
    <row r="58" spans="1:61" ht="13.8" thickBot="1" x14ac:dyDescent="0.3">
      <c r="A58" s="881"/>
      <c r="B58" s="1473" t="s">
        <v>1414</v>
      </c>
      <c r="C58" s="1479">
        <v>45421</v>
      </c>
      <c r="D58" s="1479">
        <v>45421</v>
      </c>
      <c r="E58" s="1479">
        <v>9602</v>
      </c>
      <c r="F58" s="1479">
        <v>8128</v>
      </c>
      <c r="G58" s="1479">
        <v>8128</v>
      </c>
      <c r="H58" s="1479">
        <v>21671</v>
      </c>
      <c r="I58" s="1479">
        <v>30711</v>
      </c>
      <c r="J58" s="1479">
        <v>43033</v>
      </c>
      <c r="K58" s="1479">
        <v>43033</v>
      </c>
      <c r="L58" s="1479">
        <v>43033</v>
      </c>
      <c r="M58" s="1480">
        <v>28223</v>
      </c>
      <c r="N58" s="1479">
        <v>21955</v>
      </c>
      <c r="O58" s="1479">
        <v>21955</v>
      </c>
      <c r="P58" s="1479">
        <v>6268</v>
      </c>
      <c r="Q58" s="1479">
        <v>1474</v>
      </c>
      <c r="R58" s="1479">
        <v>7743</v>
      </c>
      <c r="S58" s="1479">
        <v>51184</v>
      </c>
      <c r="T58" s="1479">
        <v>3495</v>
      </c>
      <c r="U58" s="1479">
        <v>6373</v>
      </c>
      <c r="V58" s="1479">
        <v>9642</v>
      </c>
      <c r="W58" s="1479">
        <v>38296</v>
      </c>
      <c r="X58" s="881"/>
      <c r="Y58" s="881"/>
      <c r="Z58" s="881"/>
      <c r="AA58" s="881"/>
      <c r="AB58" s="881"/>
      <c r="AC58" s="881"/>
      <c r="AD58" s="881"/>
      <c r="AE58" s="881"/>
      <c r="AF58" s="881"/>
      <c r="AG58" s="881"/>
      <c r="AH58" s="881"/>
      <c r="AI58" s="881"/>
      <c r="AJ58" s="881"/>
      <c r="AK58" s="881"/>
      <c r="AL58" s="881"/>
      <c r="AM58" s="881"/>
      <c r="AN58" s="881"/>
      <c r="AO58" s="881"/>
      <c r="AP58" s="881"/>
      <c r="AQ58" s="881"/>
      <c r="AR58" s="881"/>
      <c r="AS58" s="881"/>
      <c r="AT58" s="881"/>
      <c r="AU58" s="881"/>
      <c r="AV58" s="881"/>
      <c r="AW58" s="881"/>
      <c r="AX58" s="881"/>
      <c r="AY58" s="881"/>
      <c r="AZ58" s="881"/>
      <c r="BA58" s="881"/>
      <c r="BB58" s="881"/>
      <c r="BC58" s="881"/>
      <c r="BD58" s="881"/>
      <c r="BE58" s="881"/>
      <c r="BF58" s="881"/>
      <c r="BG58" s="881"/>
      <c r="BH58" s="881"/>
      <c r="BI58" s="881"/>
    </row>
    <row r="59" spans="1:61" ht="13.8" thickBot="1" x14ac:dyDescent="0.3">
      <c r="A59" s="881"/>
      <c r="B59" s="1473" t="s">
        <v>1265</v>
      </c>
      <c r="C59" s="1479">
        <v>1310711</v>
      </c>
      <c r="D59" s="1479">
        <v>1310711</v>
      </c>
      <c r="E59" s="1479">
        <v>166387</v>
      </c>
      <c r="F59" s="1479">
        <v>140838</v>
      </c>
      <c r="G59" s="1479">
        <v>140836</v>
      </c>
      <c r="H59" s="1479">
        <v>390405</v>
      </c>
      <c r="I59" s="1479">
        <v>531241</v>
      </c>
      <c r="J59" s="1479">
        <v>531241</v>
      </c>
      <c r="K59" s="1479">
        <v>531241</v>
      </c>
      <c r="L59" s="1479">
        <v>531241</v>
      </c>
      <c r="M59" s="1480">
        <v>103287</v>
      </c>
      <c r="N59" s="1479">
        <v>44369</v>
      </c>
      <c r="O59" s="1479">
        <v>44369</v>
      </c>
      <c r="P59" s="1479">
        <v>58918</v>
      </c>
      <c r="Q59" s="1479">
        <v>25548</v>
      </c>
      <c r="R59" s="1479">
        <v>84466</v>
      </c>
      <c r="S59" s="1479">
        <v>1395178</v>
      </c>
      <c r="T59" s="1479">
        <v>152333</v>
      </c>
      <c r="U59" s="1479">
        <v>275974</v>
      </c>
      <c r="V59" s="1479">
        <v>424198</v>
      </c>
      <c r="W59" s="1479">
        <v>1073638</v>
      </c>
      <c r="X59" s="881"/>
      <c r="Y59" s="881"/>
      <c r="Z59" s="881"/>
      <c r="AA59" s="881"/>
      <c r="AB59" s="881"/>
      <c r="AC59" s="881"/>
      <c r="AD59" s="881"/>
      <c r="AE59" s="881"/>
      <c r="AF59" s="881"/>
      <c r="AG59" s="881"/>
      <c r="AH59" s="881"/>
      <c r="AI59" s="881"/>
      <c r="AJ59" s="881"/>
      <c r="AK59" s="881"/>
      <c r="AL59" s="881"/>
      <c r="AM59" s="881"/>
      <c r="AN59" s="881"/>
      <c r="AO59" s="881"/>
      <c r="AP59" s="881"/>
      <c r="AQ59" s="881"/>
      <c r="AR59" s="881"/>
      <c r="AS59" s="881"/>
      <c r="AT59" s="881"/>
      <c r="AU59" s="881"/>
      <c r="AV59" s="881"/>
      <c r="AW59" s="881"/>
      <c r="AX59" s="881"/>
      <c r="AY59" s="881"/>
      <c r="AZ59" s="881"/>
      <c r="BA59" s="881"/>
      <c r="BB59" s="881"/>
      <c r="BC59" s="881"/>
      <c r="BD59" s="881"/>
      <c r="BE59" s="881"/>
      <c r="BF59" s="881"/>
      <c r="BG59" s="881"/>
      <c r="BH59" s="881"/>
      <c r="BI59" s="881"/>
    </row>
    <row r="60" spans="1:61" ht="13.8" thickBot="1" x14ac:dyDescent="0.3">
      <c r="A60" s="881"/>
      <c r="B60" s="1473" t="s">
        <v>1266</v>
      </c>
      <c r="C60" s="1474">
        <v>0</v>
      </c>
      <c r="D60" s="1474">
        <v>0</v>
      </c>
      <c r="E60" s="1474">
        <v>0</v>
      </c>
      <c r="F60" s="1474">
        <v>0</v>
      </c>
      <c r="G60" s="1474">
        <v>0</v>
      </c>
      <c r="H60" s="1474">
        <v>0</v>
      </c>
      <c r="I60" s="1474">
        <v>0</v>
      </c>
      <c r="J60" s="1474">
        <v>0</v>
      </c>
      <c r="K60" s="1474">
        <v>0</v>
      </c>
      <c r="L60" s="1474">
        <v>0</v>
      </c>
      <c r="M60" s="1475">
        <v>0</v>
      </c>
      <c r="N60" s="1474">
        <v>0</v>
      </c>
      <c r="O60" s="1474">
        <v>0</v>
      </c>
      <c r="P60" s="1474">
        <v>0</v>
      </c>
      <c r="Q60" s="1474">
        <v>0</v>
      </c>
      <c r="R60" s="1474">
        <v>0</v>
      </c>
      <c r="S60" s="1474">
        <v>0</v>
      </c>
      <c r="T60" s="1474">
        <v>0</v>
      </c>
      <c r="U60" s="1474">
        <v>0</v>
      </c>
      <c r="V60" s="1474">
        <v>0</v>
      </c>
      <c r="W60" s="1474">
        <v>0</v>
      </c>
      <c r="X60" s="881"/>
      <c r="Y60" s="881"/>
      <c r="Z60" s="881"/>
      <c r="AA60" s="881"/>
      <c r="AB60" s="881"/>
      <c r="AC60" s="881"/>
      <c r="AD60" s="881"/>
      <c r="AE60" s="881"/>
      <c r="AF60" s="881"/>
      <c r="AG60" s="881"/>
      <c r="AH60" s="881"/>
      <c r="AI60" s="881"/>
      <c r="AJ60" s="881"/>
      <c r="AK60" s="881"/>
      <c r="AL60" s="881"/>
      <c r="AM60" s="881"/>
      <c r="AN60" s="881"/>
      <c r="AO60" s="881"/>
      <c r="AP60" s="881"/>
      <c r="AQ60" s="881"/>
      <c r="AR60" s="881"/>
      <c r="AS60" s="881"/>
      <c r="AT60" s="881"/>
      <c r="AU60" s="881"/>
      <c r="AV60" s="881"/>
      <c r="AW60" s="881"/>
      <c r="AX60" s="881"/>
      <c r="AY60" s="881"/>
      <c r="AZ60" s="881"/>
      <c r="BA60" s="881"/>
      <c r="BB60" s="881"/>
      <c r="BC60" s="881"/>
      <c r="BD60" s="881"/>
      <c r="BE60" s="881"/>
      <c r="BF60" s="881"/>
      <c r="BG60" s="881"/>
      <c r="BH60" s="881"/>
      <c r="BI60" s="881"/>
    </row>
    <row r="61" spans="1:61" ht="13.8" thickBot="1" x14ac:dyDescent="0.3">
      <c r="A61" s="881"/>
      <c r="B61" s="1473"/>
      <c r="C61" s="1474"/>
      <c r="D61" s="1474"/>
      <c r="E61" s="1474"/>
      <c r="F61" s="1474"/>
      <c r="G61" s="1474"/>
      <c r="H61" s="1474"/>
      <c r="I61" s="1474"/>
      <c r="J61" s="1474"/>
      <c r="K61" s="1474"/>
      <c r="L61" s="1474"/>
      <c r="M61" s="1475"/>
      <c r="N61" s="1474"/>
      <c r="O61" s="1474"/>
      <c r="P61" s="1474"/>
      <c r="Q61" s="1474"/>
      <c r="R61" s="1474"/>
      <c r="S61" s="1474"/>
      <c r="T61" s="1474"/>
      <c r="U61" s="1474"/>
      <c r="V61" s="1474"/>
      <c r="W61" s="1474"/>
      <c r="X61" s="881"/>
      <c r="Y61" s="881"/>
      <c r="Z61" s="881"/>
      <c r="AA61" s="881"/>
      <c r="AB61" s="881"/>
      <c r="AC61" s="881"/>
      <c r="AD61" s="881"/>
      <c r="AE61" s="881"/>
      <c r="AF61" s="881"/>
      <c r="AG61" s="881"/>
      <c r="AH61" s="881"/>
      <c r="AI61" s="881"/>
      <c r="AJ61" s="881"/>
      <c r="AK61" s="881"/>
      <c r="AL61" s="881"/>
      <c r="AM61" s="881"/>
      <c r="AN61" s="881"/>
      <c r="AO61" s="881"/>
      <c r="AP61" s="881"/>
      <c r="AQ61" s="881"/>
      <c r="AR61" s="881"/>
      <c r="AS61" s="881"/>
      <c r="AT61" s="881"/>
      <c r="AU61" s="881"/>
      <c r="AV61" s="881"/>
      <c r="AW61" s="881"/>
      <c r="AX61" s="881"/>
      <c r="AY61" s="881"/>
      <c r="AZ61" s="881"/>
      <c r="BA61" s="881"/>
      <c r="BB61" s="881"/>
      <c r="BC61" s="881"/>
      <c r="BD61" s="881"/>
      <c r="BE61" s="881"/>
      <c r="BF61" s="881"/>
      <c r="BG61" s="881"/>
      <c r="BH61" s="881"/>
      <c r="BI61" s="881"/>
    </row>
    <row r="62" spans="1:61" ht="13.8" thickBot="1" x14ac:dyDescent="0.3">
      <c r="A62" s="881"/>
      <c r="B62" s="1473" t="s">
        <v>1249</v>
      </c>
      <c r="C62" s="1474">
        <v>59</v>
      </c>
      <c r="D62" s="1474">
        <v>76</v>
      </c>
      <c r="E62" s="1474">
        <v>59</v>
      </c>
      <c r="F62" s="1474">
        <v>59</v>
      </c>
      <c r="G62" s="1474">
        <v>698</v>
      </c>
      <c r="H62" s="1474">
        <v>750</v>
      </c>
      <c r="I62" s="1474">
        <v>743</v>
      </c>
      <c r="J62" s="1479">
        <v>1600</v>
      </c>
      <c r="K62" s="1474">
        <v>400</v>
      </c>
      <c r="L62" s="1474">
        <v>100</v>
      </c>
      <c r="M62" s="1475">
        <v>100</v>
      </c>
      <c r="N62" s="1474">
        <v>100</v>
      </c>
      <c r="O62" s="1474">
        <v>86</v>
      </c>
      <c r="P62" s="1474">
        <v>100</v>
      </c>
      <c r="Q62" s="1474">
        <v>59</v>
      </c>
      <c r="R62" s="1474">
        <v>84</v>
      </c>
      <c r="S62" s="1474">
        <v>250</v>
      </c>
      <c r="T62" s="1474">
        <v>86</v>
      </c>
      <c r="U62" s="1474">
        <v>120</v>
      </c>
      <c r="V62" s="1474">
        <v>86</v>
      </c>
      <c r="W62" s="1474">
        <v>87</v>
      </c>
      <c r="X62" s="881"/>
      <c r="Y62" s="881"/>
      <c r="Z62" s="881"/>
      <c r="AA62" s="881"/>
      <c r="AB62" s="881"/>
      <c r="AC62" s="881"/>
      <c r="AD62" s="881"/>
      <c r="AE62" s="881"/>
      <c r="AF62" s="881"/>
      <c r="AG62" s="881"/>
      <c r="AH62" s="881"/>
      <c r="AI62" s="881"/>
      <c r="AJ62" s="881"/>
      <c r="AK62" s="881"/>
      <c r="AL62" s="881"/>
      <c r="AM62" s="881"/>
      <c r="AN62" s="881"/>
      <c r="AO62" s="881"/>
      <c r="AP62" s="881"/>
      <c r="AQ62" s="881"/>
      <c r="AR62" s="881"/>
      <c r="AS62" s="881"/>
      <c r="AT62" s="881"/>
      <c r="AU62" s="881"/>
      <c r="AV62" s="881"/>
      <c r="AW62" s="881"/>
      <c r="AX62" s="881"/>
      <c r="AY62" s="881"/>
      <c r="AZ62" s="881"/>
      <c r="BA62" s="881"/>
      <c r="BB62" s="881"/>
      <c r="BC62" s="881"/>
      <c r="BD62" s="881"/>
      <c r="BE62" s="881"/>
      <c r="BF62" s="881"/>
      <c r="BG62" s="881"/>
      <c r="BH62" s="881"/>
      <c r="BI62" s="881"/>
    </row>
    <row r="63" spans="1:61" ht="13.8" thickBot="1" x14ac:dyDescent="0.3">
      <c r="A63" s="881"/>
      <c r="B63" s="1473" t="s">
        <v>1250</v>
      </c>
      <c r="C63" s="1474">
        <v>14.7</v>
      </c>
      <c r="D63" s="1474">
        <v>16</v>
      </c>
      <c r="E63" s="1474">
        <v>450</v>
      </c>
      <c r="F63" s="1474">
        <v>450</v>
      </c>
      <c r="G63" s="1474">
        <v>435.3</v>
      </c>
      <c r="H63" s="1474">
        <v>450</v>
      </c>
      <c r="I63" s="1474">
        <v>421</v>
      </c>
      <c r="J63" s="1474">
        <v>411</v>
      </c>
      <c r="K63" s="1474">
        <v>406</v>
      </c>
      <c r="L63" s="1474">
        <v>356</v>
      </c>
      <c r="M63" s="1475">
        <v>341</v>
      </c>
      <c r="N63" s="1474">
        <v>331</v>
      </c>
      <c r="O63" s="1474">
        <v>939.7</v>
      </c>
      <c r="P63" s="1474">
        <v>20</v>
      </c>
      <c r="Q63" s="1474">
        <v>450</v>
      </c>
      <c r="R63" s="1474">
        <v>20</v>
      </c>
      <c r="S63" s="1474">
        <v>14.7</v>
      </c>
      <c r="T63" s="1474">
        <v>28.9</v>
      </c>
      <c r="U63" s="1474">
        <v>20</v>
      </c>
      <c r="V63" s="1481">
        <v>2214.6999999999998</v>
      </c>
      <c r="W63" s="1474">
        <v>14.8</v>
      </c>
      <c r="X63" s="881"/>
      <c r="Y63" s="881"/>
      <c r="Z63" s="881"/>
      <c r="AA63" s="881"/>
      <c r="AB63" s="881"/>
      <c r="AC63" s="881"/>
      <c r="AD63" s="881"/>
      <c r="AE63" s="881"/>
      <c r="AF63" s="881"/>
      <c r="AG63" s="881"/>
      <c r="AH63" s="881"/>
      <c r="AI63" s="881"/>
      <c r="AJ63" s="881"/>
      <c r="AK63" s="881"/>
      <c r="AL63" s="881"/>
      <c r="AM63" s="881"/>
      <c r="AN63" s="881"/>
      <c r="AO63" s="881"/>
      <c r="AP63" s="881"/>
      <c r="AQ63" s="881"/>
      <c r="AR63" s="881"/>
      <c r="AS63" s="881"/>
      <c r="AT63" s="881"/>
      <c r="AU63" s="881"/>
      <c r="AV63" s="881"/>
      <c r="AW63" s="881"/>
      <c r="AX63" s="881"/>
      <c r="AY63" s="881"/>
      <c r="AZ63" s="881"/>
      <c r="BA63" s="881"/>
      <c r="BB63" s="881"/>
      <c r="BC63" s="881"/>
      <c r="BD63" s="881"/>
      <c r="BE63" s="881"/>
      <c r="BF63" s="881"/>
      <c r="BG63" s="881"/>
      <c r="BH63" s="881"/>
      <c r="BI63" s="881"/>
    </row>
    <row r="64" spans="1:61" ht="13.8" thickBot="1" x14ac:dyDescent="0.3">
      <c r="A64" s="881"/>
      <c r="B64" s="1473" t="s">
        <v>1415</v>
      </c>
      <c r="C64" s="1474">
        <v>13</v>
      </c>
      <c r="D64" s="1474">
        <v>17.100000000000001</v>
      </c>
      <c r="E64" s="1474">
        <v>-2.9</v>
      </c>
      <c r="F64" s="1474">
        <v>-2.9</v>
      </c>
      <c r="G64" s="1474">
        <v>416.6</v>
      </c>
      <c r="H64" s="1481">
        <v>1382.7</v>
      </c>
      <c r="I64" s="1481">
        <v>1112.5</v>
      </c>
      <c r="J64" s="1481">
        <v>1564.9</v>
      </c>
      <c r="K64" s="1474">
        <v>748.3</v>
      </c>
      <c r="L64" s="1474">
        <v>40.799999999999997</v>
      </c>
      <c r="M64" s="1475">
        <v>130.1</v>
      </c>
      <c r="N64" s="1474">
        <v>234</v>
      </c>
      <c r="O64" s="1474">
        <v>192</v>
      </c>
      <c r="P64" s="1474">
        <v>53.5</v>
      </c>
      <c r="Q64" s="1474">
        <v>-2.9</v>
      </c>
      <c r="R64" s="1474">
        <v>36.4</v>
      </c>
      <c r="S64" s="1474">
        <v>208.9</v>
      </c>
      <c r="T64" s="1474">
        <v>18</v>
      </c>
      <c r="U64" s="1474">
        <v>30.6</v>
      </c>
      <c r="V64" s="1474">
        <v>-99.4</v>
      </c>
      <c r="W64" s="1474">
        <v>38.299999999999997</v>
      </c>
      <c r="X64" s="881"/>
      <c r="Y64" s="881"/>
      <c r="Z64" s="881"/>
      <c r="AA64" s="881"/>
      <c r="AB64" s="881"/>
      <c r="AC64" s="881"/>
      <c r="AD64" s="881"/>
      <c r="AE64" s="881"/>
      <c r="AF64" s="881"/>
      <c r="AG64" s="881"/>
      <c r="AH64" s="881"/>
      <c r="AI64" s="881"/>
      <c r="AJ64" s="881"/>
      <c r="AK64" s="881"/>
      <c r="AL64" s="881"/>
      <c r="AM64" s="881"/>
      <c r="AN64" s="881"/>
      <c r="AO64" s="881"/>
      <c r="AP64" s="881"/>
      <c r="AQ64" s="881"/>
      <c r="AR64" s="881"/>
      <c r="AS64" s="881"/>
      <c r="AT64" s="881"/>
      <c r="AU64" s="881"/>
      <c r="AV64" s="881"/>
      <c r="AW64" s="881"/>
      <c r="AX64" s="881"/>
      <c r="AY64" s="881"/>
      <c r="AZ64" s="881"/>
      <c r="BA64" s="881"/>
      <c r="BB64" s="881"/>
      <c r="BC64" s="881"/>
      <c r="BD64" s="881"/>
      <c r="BE64" s="881"/>
      <c r="BF64" s="881"/>
      <c r="BG64" s="881"/>
      <c r="BH64" s="881"/>
      <c r="BI64" s="881"/>
    </row>
    <row r="65" spans="1:61" ht="13.8" thickBot="1" x14ac:dyDescent="0.3">
      <c r="A65" s="881"/>
      <c r="B65" s="1473" t="s">
        <v>1416</v>
      </c>
      <c r="C65" s="1474">
        <v>-42</v>
      </c>
      <c r="D65" s="1474">
        <v>-37.799999999999997</v>
      </c>
      <c r="E65" s="1481">
        <v>-1941.5</v>
      </c>
      <c r="F65" s="1481">
        <v>-1941.5</v>
      </c>
      <c r="G65" s="1481">
        <v>-1522</v>
      </c>
      <c r="H65" s="1481">
        <v>-5483.2</v>
      </c>
      <c r="I65" s="1481">
        <v>-4377.6000000000004</v>
      </c>
      <c r="J65" s="1481">
        <v>-2680.1</v>
      </c>
      <c r="K65" s="1481">
        <v>-3496.7</v>
      </c>
      <c r="L65" s="1481">
        <v>-4185.5</v>
      </c>
      <c r="M65" s="1482">
        <v>-1118.4000000000001</v>
      </c>
      <c r="N65" s="1474">
        <v>81.2</v>
      </c>
      <c r="O65" s="1474">
        <v>39.200000000000003</v>
      </c>
      <c r="P65" s="1481">
        <v>-2020.2</v>
      </c>
      <c r="Q65" s="1481">
        <v>-1941.5</v>
      </c>
      <c r="R65" s="1481">
        <v>-1996.4</v>
      </c>
      <c r="S65" s="1481">
        <v>-1222.9000000000001</v>
      </c>
      <c r="T65" s="1481">
        <v>-3856.2</v>
      </c>
      <c r="U65" s="1481">
        <v>-3857.3</v>
      </c>
      <c r="V65" s="1481">
        <v>-3953</v>
      </c>
      <c r="W65" s="1474">
        <v>-190.5</v>
      </c>
      <c r="X65" s="881"/>
      <c r="Y65" s="881"/>
      <c r="Z65" s="881"/>
      <c r="AA65" s="881"/>
      <c r="AB65" s="881"/>
      <c r="AC65" s="881"/>
      <c r="AD65" s="881"/>
      <c r="AE65" s="881"/>
      <c r="AF65" s="881"/>
      <c r="AG65" s="881"/>
      <c r="AH65" s="881"/>
      <c r="AI65" s="881"/>
      <c r="AJ65" s="881"/>
      <c r="AK65" s="881"/>
      <c r="AL65" s="881"/>
      <c r="AM65" s="881"/>
      <c r="AN65" s="881"/>
      <c r="AO65" s="881"/>
      <c r="AP65" s="881"/>
      <c r="AQ65" s="881"/>
      <c r="AR65" s="881"/>
      <c r="AS65" s="881"/>
      <c r="AT65" s="881"/>
      <c r="AU65" s="881"/>
      <c r="AV65" s="881"/>
      <c r="AW65" s="881"/>
      <c r="AX65" s="881"/>
      <c r="AY65" s="881"/>
      <c r="AZ65" s="881"/>
      <c r="BA65" s="881"/>
      <c r="BB65" s="881"/>
      <c r="BC65" s="881"/>
      <c r="BD65" s="881"/>
      <c r="BE65" s="881"/>
      <c r="BF65" s="881"/>
      <c r="BG65" s="881"/>
      <c r="BH65" s="881"/>
      <c r="BI65" s="881"/>
    </row>
    <row r="66" spans="1:61" ht="13.8" thickBot="1" x14ac:dyDescent="0.3">
      <c r="A66" s="881"/>
      <c r="B66" s="1473" t="s">
        <v>1417</v>
      </c>
      <c r="C66" s="1474">
        <v>7.5999999999999998E-2</v>
      </c>
      <c r="D66" s="1474">
        <v>0.08</v>
      </c>
      <c r="E66" s="1474">
        <v>1.5249999999999999</v>
      </c>
      <c r="F66" s="1474">
        <v>1.5249999999999999</v>
      </c>
      <c r="G66" s="1474">
        <v>0.60499999999999998</v>
      </c>
      <c r="H66" s="1474">
        <v>0.65200000000000002</v>
      </c>
      <c r="I66" s="1474">
        <v>0.57799999999999996</v>
      </c>
      <c r="J66" s="1474">
        <v>0.22900000000000001</v>
      </c>
      <c r="K66" s="1474">
        <v>0.54900000000000004</v>
      </c>
      <c r="L66" s="1474">
        <v>0.90600000000000003</v>
      </c>
      <c r="M66" s="1475">
        <v>0.20599999999999999</v>
      </c>
      <c r="N66" s="1474">
        <v>0.11</v>
      </c>
      <c r="O66" s="1474">
        <v>0.314</v>
      </c>
      <c r="P66" s="1474">
        <v>3.1E-2</v>
      </c>
      <c r="Q66" s="1474">
        <v>1.5249999999999999</v>
      </c>
      <c r="R66" s="1474">
        <v>3.6999999999999998E-2</v>
      </c>
      <c r="S66" s="1474">
        <v>5.2999999999999999E-2</v>
      </c>
      <c r="T66" s="1474">
        <v>0.217</v>
      </c>
      <c r="U66" s="1474">
        <v>0.14000000000000001</v>
      </c>
      <c r="V66" s="1474">
        <v>39.338000000000001</v>
      </c>
      <c r="W66" s="1474">
        <v>7.0999999999999994E-2</v>
      </c>
      <c r="X66" s="881"/>
      <c r="Y66" s="881"/>
      <c r="Z66" s="881"/>
      <c r="AA66" s="881"/>
      <c r="AB66" s="881"/>
      <c r="AC66" s="881"/>
      <c r="AD66" s="881"/>
      <c r="AE66" s="881"/>
      <c r="AF66" s="881"/>
      <c r="AG66" s="881"/>
      <c r="AH66" s="881"/>
      <c r="AI66" s="881"/>
      <c r="AJ66" s="881"/>
      <c r="AK66" s="881"/>
      <c r="AL66" s="881"/>
      <c r="AM66" s="881"/>
      <c r="AN66" s="881"/>
      <c r="AO66" s="881"/>
      <c r="AP66" s="881"/>
      <c r="AQ66" s="881"/>
      <c r="AR66" s="881"/>
      <c r="AS66" s="881"/>
      <c r="AT66" s="881"/>
      <c r="AU66" s="881"/>
      <c r="AV66" s="881"/>
      <c r="AW66" s="881"/>
      <c r="AX66" s="881"/>
      <c r="AY66" s="881"/>
      <c r="AZ66" s="881"/>
      <c r="BA66" s="881"/>
      <c r="BB66" s="881"/>
      <c r="BC66" s="881"/>
      <c r="BD66" s="881"/>
      <c r="BE66" s="881"/>
      <c r="BF66" s="881"/>
      <c r="BG66" s="881"/>
      <c r="BH66" s="881"/>
      <c r="BI66" s="881"/>
    </row>
    <row r="67" spans="1:61" x14ac:dyDescent="0.25">
      <c r="A67" s="881"/>
      <c r="B67" s="1156"/>
      <c r="C67" s="881"/>
      <c r="D67" s="881"/>
      <c r="E67" s="881"/>
      <c r="F67" s="881"/>
      <c r="G67" s="881"/>
      <c r="H67" s="881"/>
      <c r="I67" s="881"/>
      <c r="J67" s="881"/>
      <c r="K67" s="881"/>
      <c r="L67" s="881"/>
      <c r="M67" s="881"/>
      <c r="N67" s="881"/>
      <c r="O67" s="881"/>
      <c r="P67" s="881"/>
      <c r="Q67" s="881"/>
      <c r="R67" s="881"/>
      <c r="S67" s="881"/>
      <c r="T67" s="881"/>
      <c r="U67" s="881"/>
      <c r="V67" s="881"/>
      <c r="W67" s="881"/>
      <c r="X67" s="881"/>
      <c r="Y67" s="881"/>
      <c r="Z67" s="881"/>
      <c r="AA67" s="881"/>
      <c r="AB67" s="881"/>
      <c r="AC67" s="881"/>
      <c r="AD67" s="881"/>
      <c r="AE67" s="881"/>
      <c r="AF67" s="881"/>
      <c r="AG67" s="881"/>
      <c r="AH67" s="881"/>
      <c r="AI67" s="881"/>
      <c r="AJ67" s="881"/>
      <c r="AK67" s="881"/>
      <c r="AL67" s="881"/>
      <c r="AM67" s="881"/>
      <c r="AN67" s="881"/>
      <c r="AO67" s="881"/>
      <c r="AP67" s="881"/>
      <c r="AQ67" s="881"/>
      <c r="AR67" s="881"/>
      <c r="AS67" s="881"/>
      <c r="AT67" s="881"/>
      <c r="AU67" s="881"/>
      <c r="AV67" s="881"/>
      <c r="AW67" s="881"/>
      <c r="AX67" s="881"/>
      <c r="AY67" s="881"/>
      <c r="AZ67" s="881"/>
      <c r="BA67" s="881"/>
      <c r="BB67" s="881"/>
      <c r="BC67" s="881"/>
      <c r="BD67" s="881"/>
      <c r="BE67" s="881"/>
      <c r="BF67" s="881"/>
      <c r="BG67" s="881"/>
      <c r="BH67" s="881"/>
      <c r="BI67" s="881"/>
    </row>
    <row r="68" spans="1:61" x14ac:dyDescent="0.25">
      <c r="A68" s="881"/>
      <c r="B68" s="1157" t="s">
        <v>1267</v>
      </c>
      <c r="C68" s="881"/>
      <c r="D68" s="881"/>
      <c r="E68" s="881"/>
      <c r="F68" s="881"/>
      <c r="G68" s="881"/>
      <c r="H68" s="881"/>
      <c r="I68" s="881"/>
      <c r="J68" s="881"/>
      <c r="K68" s="881"/>
      <c r="L68" s="881"/>
      <c r="M68" s="881"/>
      <c r="N68" s="881"/>
      <c r="O68" s="881"/>
      <c r="P68" s="881"/>
      <c r="Q68" s="881"/>
      <c r="R68" s="881"/>
      <c r="S68" s="881"/>
      <c r="T68" s="881"/>
      <c r="U68" s="881"/>
      <c r="V68" s="881"/>
      <c r="W68" s="881"/>
      <c r="X68" s="881"/>
      <c r="Y68" s="882" t="s">
        <v>1270</v>
      </c>
      <c r="Z68" s="882" t="s">
        <v>1271</v>
      </c>
      <c r="AA68" s="882" t="s">
        <v>1268</v>
      </c>
      <c r="AB68" s="882" t="s">
        <v>1269</v>
      </c>
      <c r="AC68" s="881"/>
      <c r="AD68" s="881"/>
      <c r="AE68" s="881"/>
      <c r="AF68" s="881"/>
      <c r="AG68" s="881"/>
      <c r="AH68" s="881"/>
      <c r="AI68" s="881"/>
      <c r="AJ68" s="881"/>
      <c r="AK68" s="881"/>
      <c r="AL68" s="881"/>
      <c r="AM68" s="881"/>
      <c r="AN68" s="881"/>
      <c r="AO68" s="881"/>
      <c r="AP68" s="881"/>
      <c r="AQ68" s="881"/>
      <c r="AR68" s="881"/>
      <c r="AS68" s="881"/>
      <c r="AT68" s="881"/>
      <c r="AU68" s="881"/>
      <c r="AV68" s="881"/>
      <c r="AW68" s="881"/>
      <c r="AX68" s="881"/>
      <c r="AY68" s="881"/>
      <c r="AZ68" s="881"/>
      <c r="BA68" s="881"/>
      <c r="BB68" s="881"/>
      <c r="BC68" s="881"/>
      <c r="BD68" s="881"/>
      <c r="BE68" s="881"/>
      <c r="BF68" s="881"/>
      <c r="BG68" s="881"/>
      <c r="BH68" s="881"/>
      <c r="BI68" s="881"/>
    </row>
    <row r="69" spans="1:61" x14ac:dyDescent="0.25">
      <c r="A69" s="881"/>
      <c r="B69" s="1385" t="s">
        <v>1258</v>
      </c>
      <c r="C69" s="1385">
        <f>+C32*C$47</f>
        <v>189.54759999999999</v>
      </c>
      <c r="D69" s="1385">
        <f t="shared" ref="D69:W81" si="0">+D32*D$47</f>
        <v>189.54759999999999</v>
      </c>
      <c r="E69" s="1385">
        <f t="shared" si="0"/>
        <v>0</v>
      </c>
      <c r="F69" s="1385">
        <f t="shared" si="0"/>
        <v>0</v>
      </c>
      <c r="G69" s="1385">
        <f t="shared" si="0"/>
        <v>0</v>
      </c>
      <c r="H69" s="1385">
        <f t="shared" si="0"/>
        <v>0</v>
      </c>
      <c r="I69" s="1385">
        <f t="shared" si="0"/>
        <v>0</v>
      </c>
      <c r="J69" s="1385">
        <f t="shared" si="0"/>
        <v>0</v>
      </c>
      <c r="K69" s="1385">
        <f t="shared" si="0"/>
        <v>0</v>
      </c>
      <c r="L69" s="1385">
        <f t="shared" si="0"/>
        <v>0</v>
      </c>
      <c r="M69" s="1385">
        <f t="shared" si="0"/>
        <v>0</v>
      </c>
      <c r="N69" s="1385">
        <f t="shared" si="0"/>
        <v>0</v>
      </c>
      <c r="O69" s="1385">
        <f t="shared" si="0"/>
        <v>0</v>
      </c>
      <c r="P69" s="1385">
        <f t="shared" si="0"/>
        <v>0</v>
      </c>
      <c r="Q69" s="1385">
        <f t="shared" si="0"/>
        <v>0</v>
      </c>
      <c r="R69" s="1385">
        <f t="shared" si="0"/>
        <v>0</v>
      </c>
      <c r="S69" s="1385">
        <f t="shared" si="0"/>
        <v>190.37120000000002</v>
      </c>
      <c r="T69" s="1385">
        <f t="shared" si="0"/>
        <v>0</v>
      </c>
      <c r="U69" s="1385">
        <f t="shared" si="0"/>
        <v>0</v>
      </c>
      <c r="V69" s="1385">
        <f t="shared" si="0"/>
        <v>0</v>
      </c>
      <c r="W69" s="1385">
        <f t="shared" si="0"/>
        <v>191.08099999999999</v>
      </c>
      <c r="X69" s="881"/>
      <c r="Y69" s="1178">
        <v>0</v>
      </c>
      <c r="Z69" s="1004"/>
      <c r="AA69" s="1005"/>
      <c r="AB69" s="1005"/>
      <c r="AC69" s="881"/>
      <c r="AD69" s="881"/>
      <c r="AE69" s="881"/>
      <c r="AF69" s="881"/>
      <c r="AG69" s="881"/>
      <c r="AH69" s="881"/>
      <c r="AI69" s="881"/>
      <c r="AJ69" s="881"/>
      <c r="AK69" s="881"/>
      <c r="AL69" s="881"/>
      <c r="AM69" s="881"/>
      <c r="AN69" s="881"/>
      <c r="AO69" s="881"/>
      <c r="AP69" s="881"/>
      <c r="AQ69" s="881"/>
      <c r="AR69" s="881"/>
      <c r="AS69" s="881"/>
      <c r="AT69" s="881"/>
      <c r="AU69" s="881"/>
      <c r="AV69" s="881"/>
      <c r="AW69" s="881"/>
      <c r="AX69" s="881"/>
      <c r="AY69" s="881"/>
      <c r="AZ69" s="881"/>
      <c r="BA69" s="881"/>
      <c r="BB69" s="881"/>
      <c r="BC69" s="881"/>
      <c r="BD69" s="881"/>
      <c r="BE69" s="881"/>
      <c r="BF69" s="881"/>
      <c r="BG69" s="881"/>
      <c r="BH69" s="881"/>
      <c r="BI69" s="881"/>
    </row>
    <row r="70" spans="1:61" x14ac:dyDescent="0.25">
      <c r="A70" s="881"/>
      <c r="B70" s="1385" t="s">
        <v>1330</v>
      </c>
      <c r="C70" s="1385">
        <f t="shared" ref="C70:R82" si="1">+C33*C$47</f>
        <v>0</v>
      </c>
      <c r="D70" s="1385">
        <f t="shared" si="0"/>
        <v>0</v>
      </c>
      <c r="E70" s="1385">
        <f t="shared" si="0"/>
        <v>4055.4360000000001</v>
      </c>
      <c r="F70" s="1385">
        <f t="shared" si="0"/>
        <v>3432.5970000000002</v>
      </c>
      <c r="G70" s="1385">
        <f t="shared" si="0"/>
        <v>3432.5970000000002</v>
      </c>
      <c r="H70" s="1385">
        <f t="shared" si="0"/>
        <v>0</v>
      </c>
      <c r="I70" s="1385">
        <f t="shared" si="0"/>
        <v>3598.1189999999997</v>
      </c>
      <c r="J70" s="1385">
        <f t="shared" si="0"/>
        <v>802.23089999999991</v>
      </c>
      <c r="K70" s="1385">
        <f t="shared" si="0"/>
        <v>802.23089999999991</v>
      </c>
      <c r="L70" s="1385">
        <f t="shared" si="0"/>
        <v>802.23089999999991</v>
      </c>
      <c r="M70" s="1385">
        <f t="shared" si="0"/>
        <v>802.68540000000007</v>
      </c>
      <c r="N70" s="1385">
        <f t="shared" si="0"/>
        <v>0</v>
      </c>
      <c r="O70" s="1385">
        <f t="shared" si="0"/>
        <v>0</v>
      </c>
      <c r="P70" s="1385">
        <f t="shared" si="0"/>
        <v>802.86320000000001</v>
      </c>
      <c r="Q70" s="1385">
        <f t="shared" si="0"/>
        <v>622.83900000000006</v>
      </c>
      <c r="R70" s="1385">
        <f t="shared" si="0"/>
        <v>1425.5208</v>
      </c>
      <c r="S70" s="1385">
        <f t="shared" si="0"/>
        <v>0</v>
      </c>
      <c r="T70" s="1385">
        <f t="shared" si="0"/>
        <v>0</v>
      </c>
      <c r="U70" s="1385">
        <f t="shared" si="0"/>
        <v>0</v>
      </c>
      <c r="V70" s="1385">
        <f t="shared" si="0"/>
        <v>0</v>
      </c>
      <c r="W70" s="1385">
        <f t="shared" si="0"/>
        <v>0</v>
      </c>
      <c r="X70" s="881"/>
      <c r="Y70" s="1178">
        <v>-74.599999999999994</v>
      </c>
      <c r="Z70" s="1004"/>
      <c r="AA70" s="1161">
        <f>2*Y78+Y76-Y70</f>
        <v>-802.56200000000001</v>
      </c>
      <c r="AB70" s="1161">
        <f>2*Z78+Y76-Y70</f>
        <v>-890.56999999999994</v>
      </c>
      <c r="AC70" s="881"/>
      <c r="AD70" s="881"/>
      <c r="AE70" s="881"/>
      <c r="AF70" s="881"/>
      <c r="AG70" s="881"/>
      <c r="AH70" s="881"/>
      <c r="AI70" s="881"/>
      <c r="AJ70" s="881"/>
      <c r="AK70" s="881"/>
      <c r="AL70" s="881"/>
      <c r="AM70" s="881"/>
      <c r="AN70" s="881"/>
      <c r="AO70" s="881"/>
      <c r="AP70" s="881"/>
      <c r="AQ70" s="881"/>
      <c r="AR70" s="881"/>
      <c r="AS70" s="881"/>
      <c r="AT70" s="881"/>
      <c r="AU70" s="881"/>
      <c r="AV70" s="881"/>
      <c r="AW70" s="881"/>
      <c r="AX70" s="881"/>
      <c r="AY70" s="881"/>
      <c r="AZ70" s="881"/>
      <c r="BA70" s="881"/>
      <c r="BB70" s="881"/>
      <c r="BC70" s="881"/>
      <c r="BD70" s="881"/>
      <c r="BE70" s="881"/>
      <c r="BF70" s="881"/>
      <c r="BG70" s="881"/>
      <c r="BH70" s="881"/>
      <c r="BI70" s="881"/>
    </row>
    <row r="71" spans="1:61" x14ac:dyDescent="0.25">
      <c r="A71" s="881"/>
      <c r="B71" s="1385" t="s">
        <v>1331</v>
      </c>
      <c r="C71" s="1385">
        <f t="shared" si="1"/>
        <v>0</v>
      </c>
      <c r="D71" s="1385">
        <f t="shared" si="0"/>
        <v>0</v>
      </c>
      <c r="E71" s="1385">
        <f t="shared" si="0"/>
        <v>0</v>
      </c>
      <c r="F71" s="1385">
        <f t="shared" si="0"/>
        <v>0</v>
      </c>
      <c r="G71" s="1385">
        <f t="shared" si="0"/>
        <v>0</v>
      </c>
      <c r="H71" s="1385">
        <f t="shared" si="0"/>
        <v>0</v>
      </c>
      <c r="I71" s="1385">
        <f t="shared" si="0"/>
        <v>0</v>
      </c>
      <c r="J71" s="1385">
        <f t="shared" si="0"/>
        <v>0</v>
      </c>
      <c r="K71" s="1385">
        <f t="shared" si="0"/>
        <v>0</v>
      </c>
      <c r="L71" s="1385">
        <f t="shared" si="0"/>
        <v>0</v>
      </c>
      <c r="M71" s="1385">
        <f t="shared" si="0"/>
        <v>0</v>
      </c>
      <c r="N71" s="1385">
        <f t="shared" si="0"/>
        <v>0</v>
      </c>
      <c r="O71" s="1385">
        <f t="shared" si="0"/>
        <v>0</v>
      </c>
      <c r="P71" s="1385">
        <f t="shared" si="0"/>
        <v>0</v>
      </c>
      <c r="Q71" s="1385">
        <f t="shared" si="0"/>
        <v>0</v>
      </c>
      <c r="R71" s="1385">
        <f t="shared" si="0"/>
        <v>0</v>
      </c>
      <c r="S71" s="1385">
        <f t="shared" si="0"/>
        <v>0</v>
      </c>
      <c r="T71" s="1385">
        <f t="shared" si="0"/>
        <v>0</v>
      </c>
      <c r="U71" s="1385">
        <f t="shared" si="0"/>
        <v>0</v>
      </c>
      <c r="V71" s="1385">
        <f t="shared" si="0"/>
        <v>0</v>
      </c>
      <c r="W71" s="1385">
        <f t="shared" si="0"/>
        <v>0</v>
      </c>
      <c r="X71" s="881"/>
      <c r="Y71" s="1178">
        <v>-22.8</v>
      </c>
      <c r="Z71" s="1386"/>
      <c r="AA71" s="1160"/>
      <c r="AB71" s="1160"/>
      <c r="AC71" s="881"/>
      <c r="AD71" s="881"/>
      <c r="AE71" s="881"/>
      <c r="AF71" s="881"/>
      <c r="AG71" s="881"/>
      <c r="AH71" s="881"/>
      <c r="AI71" s="881"/>
      <c r="AJ71" s="881"/>
      <c r="AK71" s="881"/>
      <c r="AL71" s="881"/>
      <c r="AM71" s="881"/>
      <c r="AN71" s="881"/>
      <c r="AO71" s="881"/>
      <c r="AP71" s="881"/>
      <c r="AQ71" s="881"/>
      <c r="AR71" s="881"/>
      <c r="AS71" s="881"/>
      <c r="AT71" s="881"/>
      <c r="AU71" s="881"/>
      <c r="AV71" s="881"/>
      <c r="AW71" s="881"/>
      <c r="AX71" s="881"/>
      <c r="AY71" s="881"/>
      <c r="AZ71" s="881"/>
      <c r="BA71" s="881"/>
      <c r="BB71" s="881"/>
      <c r="BC71" s="881"/>
      <c r="BD71" s="881"/>
      <c r="BE71" s="881"/>
      <c r="BF71" s="881"/>
      <c r="BG71" s="881"/>
      <c r="BH71" s="881"/>
      <c r="BI71" s="881"/>
    </row>
    <row r="72" spans="1:61" x14ac:dyDescent="0.25">
      <c r="A72" s="881"/>
      <c r="B72" s="1385" t="s">
        <v>1332</v>
      </c>
      <c r="C72" s="1385">
        <f t="shared" si="1"/>
        <v>0</v>
      </c>
      <c r="D72" s="1385">
        <f t="shared" si="0"/>
        <v>0</v>
      </c>
      <c r="E72" s="1385">
        <f t="shared" si="0"/>
        <v>139.392</v>
      </c>
      <c r="F72" s="1385">
        <f t="shared" si="0"/>
        <v>117.98400000000001</v>
      </c>
      <c r="G72" s="1385">
        <f t="shared" si="0"/>
        <v>117.98400000000001</v>
      </c>
      <c r="H72" s="1385">
        <f t="shared" si="0"/>
        <v>0</v>
      </c>
      <c r="I72" s="1385">
        <f t="shared" si="0"/>
        <v>0</v>
      </c>
      <c r="J72" s="1385">
        <f t="shared" si="0"/>
        <v>0</v>
      </c>
      <c r="K72" s="1385">
        <f t="shared" si="0"/>
        <v>0</v>
      </c>
      <c r="L72" s="1385">
        <f t="shared" si="0"/>
        <v>0</v>
      </c>
      <c r="M72" s="1385">
        <f t="shared" si="0"/>
        <v>0</v>
      </c>
      <c r="N72" s="1385">
        <f t="shared" si="0"/>
        <v>0</v>
      </c>
      <c r="O72" s="1385">
        <f t="shared" si="0"/>
        <v>0</v>
      </c>
      <c r="P72" s="1385">
        <f t="shared" si="0"/>
        <v>0</v>
      </c>
      <c r="Q72" s="1385">
        <f t="shared" si="0"/>
        <v>21.408000000000001</v>
      </c>
      <c r="R72" s="1385">
        <f t="shared" si="0"/>
        <v>21.423200000000001</v>
      </c>
      <c r="S72" s="1385">
        <f t="shared" si="0"/>
        <v>0</v>
      </c>
      <c r="T72" s="1385">
        <f t="shared" si="0"/>
        <v>0</v>
      </c>
      <c r="U72" s="1385">
        <f t="shared" si="0"/>
        <v>0</v>
      </c>
      <c r="V72" s="1385">
        <f t="shared" si="0"/>
        <v>0</v>
      </c>
      <c r="W72" s="1385">
        <f t="shared" si="0"/>
        <v>0</v>
      </c>
      <c r="X72" s="881"/>
      <c r="Y72" s="1178">
        <v>-84</v>
      </c>
      <c r="Z72" s="1004"/>
      <c r="AA72" s="1161">
        <f>+(6*Y78+4*Y76-2*Y72)/2</f>
        <v>-1428.498</v>
      </c>
      <c r="AB72" s="1161">
        <f>+(6*Z78+4*Y76-2*Y72)/2</f>
        <v>-1560.51</v>
      </c>
      <c r="AC72" s="881"/>
      <c r="AD72" s="881"/>
      <c r="AE72" s="881"/>
      <c r="AF72" s="881"/>
      <c r="AG72" s="881"/>
      <c r="AH72" s="881"/>
      <c r="AI72" s="881"/>
      <c r="AJ72" s="881"/>
      <c r="AK72" s="881"/>
      <c r="AL72" s="881"/>
      <c r="AM72" s="881"/>
      <c r="AN72" s="881"/>
      <c r="AO72" s="881"/>
      <c r="AP72" s="881"/>
      <c r="AQ72" s="881"/>
      <c r="AR72" s="881"/>
      <c r="AS72" s="881"/>
      <c r="AT72" s="881"/>
      <c r="AU72" s="881"/>
      <c r="AV72" s="881"/>
      <c r="AW72" s="881"/>
      <c r="AX72" s="881"/>
      <c r="AY72" s="881"/>
      <c r="AZ72" s="881"/>
      <c r="BA72" s="881"/>
      <c r="BB72" s="881"/>
      <c r="BC72" s="881"/>
      <c r="BD72" s="881"/>
      <c r="BE72" s="881"/>
      <c r="BF72" s="881"/>
      <c r="BG72" s="881"/>
      <c r="BH72" s="881"/>
      <c r="BI72" s="881"/>
    </row>
    <row r="73" spans="1:61" x14ac:dyDescent="0.25">
      <c r="A73" s="881"/>
      <c r="B73" s="1385" t="s">
        <v>1333</v>
      </c>
      <c r="C73" s="1385">
        <f t="shared" si="1"/>
        <v>0</v>
      </c>
      <c r="D73" s="1385">
        <f t="shared" si="0"/>
        <v>0</v>
      </c>
      <c r="E73" s="1385">
        <f t="shared" si="0"/>
        <v>30.492000000000001</v>
      </c>
      <c r="F73" s="1385">
        <f t="shared" si="0"/>
        <v>25.809000000000001</v>
      </c>
      <c r="G73" s="1385">
        <f t="shared" si="0"/>
        <v>25.809000000000001</v>
      </c>
      <c r="H73" s="1385">
        <f t="shared" si="0"/>
        <v>0</v>
      </c>
      <c r="I73" s="1385">
        <f t="shared" si="0"/>
        <v>0</v>
      </c>
      <c r="J73" s="1385">
        <f t="shared" si="0"/>
        <v>0</v>
      </c>
      <c r="K73" s="1385">
        <f t="shared" si="0"/>
        <v>0</v>
      </c>
      <c r="L73" s="1385">
        <f t="shared" si="0"/>
        <v>0</v>
      </c>
      <c r="M73" s="1385">
        <f t="shared" si="0"/>
        <v>0</v>
      </c>
      <c r="N73" s="1385">
        <f t="shared" si="0"/>
        <v>0</v>
      </c>
      <c r="O73" s="1385">
        <f t="shared" si="0"/>
        <v>0</v>
      </c>
      <c r="P73" s="1385">
        <f t="shared" si="0"/>
        <v>0</v>
      </c>
      <c r="Q73" s="1385">
        <f t="shared" si="0"/>
        <v>4.6829999999999998</v>
      </c>
      <c r="R73" s="1385">
        <f t="shared" si="0"/>
        <v>4.5655999999999999</v>
      </c>
      <c r="S73" s="1385">
        <f t="shared" si="0"/>
        <v>0</v>
      </c>
      <c r="T73" s="1385">
        <f t="shared" si="0"/>
        <v>0</v>
      </c>
      <c r="U73" s="1385">
        <f t="shared" si="0"/>
        <v>0</v>
      </c>
      <c r="V73" s="1385">
        <f t="shared" si="0"/>
        <v>0</v>
      </c>
      <c r="W73" s="1385">
        <f t="shared" si="0"/>
        <v>0</v>
      </c>
      <c r="X73" s="881"/>
      <c r="Y73" s="1178">
        <v>-104.7</v>
      </c>
      <c r="Z73" s="1004"/>
      <c r="AA73" s="1161">
        <f>3*Y76+4*Y78-Y73</f>
        <v>-2043.1339999999998</v>
      </c>
      <c r="AB73" s="1161">
        <f>3*Y76+4*Z78-Y73</f>
        <v>-2219.15</v>
      </c>
      <c r="AC73" s="881"/>
      <c r="AD73" s="881"/>
      <c r="AE73" s="881"/>
      <c r="AF73" s="881"/>
      <c r="AG73" s="881"/>
      <c r="AH73" s="881"/>
      <c r="AI73" s="881"/>
      <c r="AJ73" s="881"/>
      <c r="AK73" s="881"/>
      <c r="AL73" s="881"/>
      <c r="AM73" s="881"/>
      <c r="AN73" s="881"/>
      <c r="AO73" s="881"/>
      <c r="AP73" s="881"/>
      <c r="AQ73" s="881"/>
      <c r="AR73" s="881"/>
      <c r="AS73" s="881"/>
      <c r="AT73" s="881"/>
      <c r="AU73" s="881"/>
      <c r="AV73" s="881"/>
      <c r="AW73" s="881"/>
      <c r="AX73" s="881"/>
      <c r="AY73" s="881"/>
      <c r="AZ73" s="881"/>
      <c r="BA73" s="881"/>
      <c r="BB73" s="881"/>
      <c r="BC73" s="881"/>
      <c r="BD73" s="881"/>
      <c r="BE73" s="881"/>
      <c r="BF73" s="881"/>
      <c r="BG73" s="881"/>
      <c r="BH73" s="881"/>
      <c r="BI73" s="881"/>
    </row>
    <row r="74" spans="1:61" x14ac:dyDescent="0.25">
      <c r="A74" s="881"/>
      <c r="B74" s="1385" t="s">
        <v>1334</v>
      </c>
      <c r="C74" s="1385">
        <f t="shared" si="1"/>
        <v>0</v>
      </c>
      <c r="D74" s="1385">
        <f t="shared" si="0"/>
        <v>0</v>
      </c>
      <c r="E74" s="1385">
        <f t="shared" si="0"/>
        <v>17.423999999999999</v>
      </c>
      <c r="F74" s="1385">
        <f t="shared" si="0"/>
        <v>14.748000000000001</v>
      </c>
      <c r="G74" s="1385">
        <f t="shared" si="0"/>
        <v>14.748000000000001</v>
      </c>
      <c r="H74" s="1385">
        <f t="shared" si="0"/>
        <v>0</v>
      </c>
      <c r="I74" s="1385">
        <f t="shared" si="0"/>
        <v>0</v>
      </c>
      <c r="J74" s="1385">
        <f t="shared" si="0"/>
        <v>0</v>
      </c>
      <c r="K74" s="1385">
        <f t="shared" si="0"/>
        <v>0</v>
      </c>
      <c r="L74" s="1385">
        <f t="shared" si="0"/>
        <v>0</v>
      </c>
      <c r="M74" s="1385">
        <f t="shared" si="0"/>
        <v>0</v>
      </c>
      <c r="N74" s="1385">
        <f t="shared" si="0"/>
        <v>0</v>
      </c>
      <c r="O74" s="1385">
        <f t="shared" si="0"/>
        <v>0</v>
      </c>
      <c r="P74" s="1385">
        <f t="shared" si="0"/>
        <v>0</v>
      </c>
      <c r="Q74" s="1385">
        <f t="shared" si="0"/>
        <v>2.6760000000000002</v>
      </c>
      <c r="R74" s="1385">
        <f t="shared" si="0"/>
        <v>2.8096000000000001</v>
      </c>
      <c r="S74" s="1385">
        <f t="shared" si="0"/>
        <v>0</v>
      </c>
      <c r="T74" s="1385">
        <f t="shared" si="0"/>
        <v>0</v>
      </c>
      <c r="U74" s="1385">
        <f t="shared" si="0"/>
        <v>0</v>
      </c>
      <c r="V74" s="1385">
        <f t="shared" si="0"/>
        <v>0</v>
      </c>
      <c r="W74" s="1385">
        <f t="shared" si="0"/>
        <v>0</v>
      </c>
      <c r="X74" s="881"/>
      <c r="Y74" s="1178">
        <v>-125.6</v>
      </c>
      <c r="Z74" s="1004"/>
      <c r="AA74" s="1161">
        <f>4*Y76+5*Y78-Y74</f>
        <v>-2657.57</v>
      </c>
      <c r="AB74" s="1161">
        <f>4*Y76+5*Z78-Y74</f>
        <v>-2877.5899999999997</v>
      </c>
      <c r="AC74" s="881"/>
      <c r="AD74" s="881"/>
      <c r="AE74" s="881"/>
      <c r="AF74" s="881"/>
      <c r="AG74" s="881"/>
      <c r="AH74" s="881"/>
      <c r="AI74" s="881"/>
      <c r="AJ74" s="881"/>
      <c r="AK74" s="881"/>
      <c r="AL74" s="881"/>
      <c r="AM74" s="881"/>
      <c r="AN74" s="881"/>
      <c r="AO74" s="881"/>
      <c r="AP74" s="881"/>
      <c r="AQ74" s="881"/>
      <c r="AR74" s="881"/>
      <c r="AS74" s="881"/>
      <c r="AT74" s="881"/>
      <c r="AU74" s="881"/>
      <c r="AV74" s="881"/>
      <c r="AW74" s="881"/>
      <c r="AX74" s="881"/>
      <c r="AY74" s="881"/>
      <c r="AZ74" s="881"/>
      <c r="BA74" s="881"/>
      <c r="BB74" s="881"/>
      <c r="BC74" s="881"/>
      <c r="BD74" s="881"/>
      <c r="BE74" s="881"/>
      <c r="BF74" s="881"/>
      <c r="BG74" s="881"/>
      <c r="BH74" s="881"/>
      <c r="BI74" s="881"/>
    </row>
    <row r="75" spans="1:61" x14ac:dyDescent="0.25">
      <c r="A75" s="881"/>
      <c r="B75" s="1385" t="s">
        <v>1259</v>
      </c>
      <c r="C75" s="1385">
        <f t="shared" si="1"/>
        <v>0</v>
      </c>
      <c r="D75" s="1385">
        <f t="shared" si="0"/>
        <v>0</v>
      </c>
      <c r="E75" s="1385">
        <f t="shared" si="0"/>
        <v>0</v>
      </c>
      <c r="F75" s="1385">
        <f t="shared" si="0"/>
        <v>0</v>
      </c>
      <c r="G75" s="1385">
        <f t="shared" si="0"/>
        <v>0</v>
      </c>
      <c r="H75" s="1385">
        <f t="shared" si="0"/>
        <v>0</v>
      </c>
      <c r="I75" s="1385">
        <f t="shared" si="0"/>
        <v>1.393</v>
      </c>
      <c r="J75" s="1385">
        <f t="shared" si="0"/>
        <v>2795.1207999999997</v>
      </c>
      <c r="K75" s="1385">
        <f t="shared" si="0"/>
        <v>2795.1207999999997</v>
      </c>
      <c r="L75" s="1385">
        <f t="shared" si="0"/>
        <v>78.076000000000008</v>
      </c>
      <c r="M75" s="1385">
        <f t="shared" si="0"/>
        <v>78.092200000000005</v>
      </c>
      <c r="N75" s="1385">
        <f t="shared" si="0"/>
        <v>0</v>
      </c>
      <c r="O75" s="1385">
        <f t="shared" si="0"/>
        <v>0</v>
      </c>
      <c r="P75" s="1385">
        <f t="shared" si="0"/>
        <v>77.898200000000003</v>
      </c>
      <c r="Q75" s="1385">
        <f t="shared" si="0"/>
        <v>0</v>
      </c>
      <c r="R75" s="1385">
        <f t="shared" si="0"/>
        <v>77.966400000000007</v>
      </c>
      <c r="S75" s="1385">
        <f t="shared" si="0"/>
        <v>0</v>
      </c>
      <c r="T75" s="1385">
        <f t="shared" si="0"/>
        <v>0</v>
      </c>
      <c r="U75" s="1385">
        <f t="shared" si="0"/>
        <v>0</v>
      </c>
      <c r="V75" s="1385">
        <f t="shared" si="0"/>
        <v>0</v>
      </c>
      <c r="W75" s="1385">
        <f t="shared" si="0"/>
        <v>0</v>
      </c>
      <c r="X75" s="881"/>
      <c r="Y75" s="1178">
        <v>-110.53</v>
      </c>
      <c r="Z75" s="1004"/>
      <c r="AA75" s="1160"/>
      <c r="AB75" s="1160"/>
      <c r="AC75" s="881"/>
      <c r="AD75" s="881"/>
      <c r="AE75" s="881"/>
      <c r="AF75" s="881"/>
      <c r="AG75" s="881"/>
      <c r="AH75" s="881"/>
      <c r="AI75" s="881"/>
      <c r="AJ75" s="881"/>
      <c r="AK75" s="881"/>
      <c r="AL75" s="881"/>
      <c r="AM75" s="881"/>
      <c r="AN75" s="881"/>
      <c r="AO75" s="881"/>
      <c r="AP75" s="881"/>
      <c r="AQ75" s="881"/>
      <c r="AR75" s="881"/>
      <c r="AS75" s="881"/>
      <c r="AT75" s="881"/>
      <c r="AU75" s="881"/>
      <c r="AV75" s="881"/>
      <c r="AW75" s="881"/>
      <c r="AX75" s="881"/>
      <c r="AY75" s="881"/>
      <c r="AZ75" s="881"/>
      <c r="BA75" s="881"/>
      <c r="BB75" s="881"/>
      <c r="BC75" s="881"/>
      <c r="BD75" s="881"/>
      <c r="BE75" s="881"/>
      <c r="BF75" s="881"/>
      <c r="BG75" s="881"/>
      <c r="BH75" s="881"/>
      <c r="BI75" s="881"/>
    </row>
    <row r="76" spans="1:61" x14ac:dyDescent="0.25">
      <c r="A76" s="881"/>
      <c r="B76" s="1385" t="s">
        <v>1335</v>
      </c>
      <c r="C76" s="1385">
        <f t="shared" si="1"/>
        <v>6.1808999999999994</v>
      </c>
      <c r="D76" s="1385">
        <f t="shared" si="0"/>
        <v>6.1808999999999994</v>
      </c>
      <c r="E76" s="1385">
        <f t="shared" si="0"/>
        <v>43.56</v>
      </c>
      <c r="F76" s="1385">
        <f t="shared" si="0"/>
        <v>36.869999999999997</v>
      </c>
      <c r="G76" s="1385">
        <f t="shared" si="0"/>
        <v>36.869999999999997</v>
      </c>
      <c r="H76" s="1385">
        <f t="shared" si="0"/>
        <v>0</v>
      </c>
      <c r="I76" s="1385">
        <f t="shared" si="0"/>
        <v>242.38199999999998</v>
      </c>
      <c r="J76" s="1385">
        <f t="shared" si="0"/>
        <v>242.03559999999999</v>
      </c>
      <c r="K76" s="1385">
        <f t="shared" si="0"/>
        <v>242.03559999999999</v>
      </c>
      <c r="L76" s="1385">
        <f t="shared" si="0"/>
        <v>2961.0322999999999</v>
      </c>
      <c r="M76" s="1385">
        <f t="shared" si="0"/>
        <v>148.50319999999999</v>
      </c>
      <c r="N76" s="1385">
        <f t="shared" si="0"/>
        <v>0</v>
      </c>
      <c r="O76" s="1385">
        <f t="shared" si="0"/>
        <v>0</v>
      </c>
      <c r="P76" s="1385">
        <f t="shared" si="0"/>
        <v>148.12030000000001</v>
      </c>
      <c r="Q76" s="1385">
        <f t="shared" si="0"/>
        <v>6.69</v>
      </c>
      <c r="R76" s="1385">
        <f t="shared" si="0"/>
        <v>154.8792</v>
      </c>
      <c r="S76" s="1385">
        <f t="shared" si="0"/>
        <v>1731.9136000000001</v>
      </c>
      <c r="T76" s="1385">
        <f t="shared" si="0"/>
        <v>1558.8475000000001</v>
      </c>
      <c r="U76" s="1385">
        <f t="shared" si="0"/>
        <v>2812.3647999999998</v>
      </c>
      <c r="V76" s="1385">
        <f t="shared" si="0"/>
        <v>4370.8135000000002</v>
      </c>
      <c r="W76" s="1385">
        <f t="shared" si="0"/>
        <v>173.71</v>
      </c>
      <c r="X76" s="881"/>
      <c r="Y76" s="1178">
        <v>-393.51</v>
      </c>
      <c r="Z76" s="1004"/>
      <c r="AA76" s="1160"/>
      <c r="AB76" s="1160"/>
      <c r="AC76" s="881"/>
      <c r="AD76" s="881"/>
      <c r="AE76" s="881"/>
      <c r="AF76" s="881"/>
      <c r="AG76" s="881"/>
      <c r="AH76" s="881"/>
      <c r="AI76" s="881"/>
      <c r="AJ76" s="881"/>
      <c r="AK76" s="881"/>
      <c r="AL76" s="881"/>
      <c r="AM76" s="881"/>
      <c r="AN76" s="881"/>
      <c r="AO76" s="881"/>
      <c r="AP76" s="881"/>
      <c r="AQ76" s="881"/>
      <c r="AR76" s="881"/>
      <c r="AS76" s="881"/>
      <c r="AT76" s="881"/>
      <c r="AU76" s="881"/>
      <c r="AV76" s="881"/>
      <c r="AW76" s="881"/>
      <c r="AX76" s="881"/>
      <c r="AY76" s="881"/>
      <c r="AZ76" s="881"/>
      <c r="BA76" s="881"/>
      <c r="BB76" s="881"/>
      <c r="BC76" s="881"/>
      <c r="BD76" s="881"/>
      <c r="BE76" s="881"/>
      <c r="BF76" s="881"/>
      <c r="BG76" s="881"/>
      <c r="BH76" s="881"/>
      <c r="BI76" s="881"/>
    </row>
    <row r="77" spans="1:61" x14ac:dyDescent="0.25">
      <c r="A77" s="881"/>
      <c r="B77" s="1385" t="s">
        <v>1336</v>
      </c>
      <c r="C77" s="1385">
        <f t="shared" si="1"/>
        <v>0</v>
      </c>
      <c r="D77" s="1385">
        <f t="shared" si="0"/>
        <v>0</v>
      </c>
      <c r="E77" s="1385">
        <f t="shared" si="0"/>
        <v>0</v>
      </c>
      <c r="F77" s="1385">
        <f t="shared" si="0"/>
        <v>0</v>
      </c>
      <c r="G77" s="1385">
        <f t="shared" si="0"/>
        <v>0</v>
      </c>
      <c r="H77" s="1385">
        <f t="shared" si="0"/>
        <v>0</v>
      </c>
      <c r="I77" s="1385">
        <f t="shared" si="0"/>
        <v>612.91999999999996</v>
      </c>
      <c r="J77" s="1385">
        <f t="shared" si="0"/>
        <v>8996.3071</v>
      </c>
      <c r="K77" s="1385">
        <f t="shared" si="0"/>
        <v>8996.3071</v>
      </c>
      <c r="L77" s="1385">
        <f t="shared" si="0"/>
        <v>11713.3519</v>
      </c>
      <c r="M77" s="1385">
        <f t="shared" si="0"/>
        <v>11713.83</v>
      </c>
      <c r="N77" s="1385">
        <f t="shared" si="0"/>
        <v>9957.0082000000002</v>
      </c>
      <c r="O77" s="1385">
        <f t="shared" si="0"/>
        <v>9957.0082000000002</v>
      </c>
      <c r="P77" s="1385">
        <f t="shared" si="0"/>
        <v>1756.9739999999999</v>
      </c>
      <c r="Q77" s="1385">
        <f t="shared" si="0"/>
        <v>0</v>
      </c>
      <c r="R77" s="1385">
        <f t="shared" si="0"/>
        <v>1757.0536</v>
      </c>
      <c r="S77" s="1385">
        <f t="shared" si="0"/>
        <v>0</v>
      </c>
      <c r="T77" s="1385">
        <f t="shared" si="0"/>
        <v>0</v>
      </c>
      <c r="U77" s="1385">
        <f t="shared" si="0"/>
        <v>0.57820000000000005</v>
      </c>
      <c r="V77" s="1385">
        <f t="shared" si="0"/>
        <v>0</v>
      </c>
      <c r="W77" s="1385">
        <f t="shared" si="0"/>
        <v>0</v>
      </c>
      <c r="X77" s="881"/>
      <c r="Y77" s="1178">
        <v>0</v>
      </c>
      <c r="Z77" s="1004"/>
      <c r="AA77" s="1161">
        <f>Y78</f>
        <v>-241.82599999999999</v>
      </c>
      <c r="AB77" s="1161">
        <f>+Z78</f>
        <v>-285.83</v>
      </c>
      <c r="AC77" s="881"/>
      <c r="AD77" s="881"/>
      <c r="AE77" s="881"/>
      <c r="AF77" s="881"/>
      <c r="AG77" s="881"/>
      <c r="AH77" s="881"/>
      <c r="AI77" s="881"/>
      <c r="AJ77" s="881"/>
      <c r="AK77" s="881"/>
      <c r="AL77" s="881"/>
      <c r="AM77" s="881"/>
      <c r="AN77" s="881"/>
      <c r="AO77" s="881"/>
      <c r="AP77" s="881"/>
      <c r="AQ77" s="881"/>
      <c r="AR77" s="881"/>
      <c r="AS77" s="881"/>
      <c r="AT77" s="881"/>
      <c r="AU77" s="881"/>
      <c r="AV77" s="881"/>
      <c r="AW77" s="881"/>
      <c r="AX77" s="881"/>
      <c r="AY77" s="881"/>
      <c r="AZ77" s="881"/>
      <c r="BA77" s="881"/>
      <c r="BB77" s="881"/>
      <c r="BC77" s="881"/>
      <c r="BD77" s="881"/>
      <c r="BE77" s="881"/>
      <c r="BF77" s="881"/>
      <c r="BG77" s="881"/>
      <c r="BH77" s="881"/>
      <c r="BI77" s="881"/>
    </row>
    <row r="78" spans="1:61" x14ac:dyDescent="0.25">
      <c r="A78" s="881"/>
      <c r="B78" s="1385" t="s">
        <v>1337</v>
      </c>
      <c r="C78" s="1385">
        <f t="shared" si="1"/>
        <v>203.96970000000002</v>
      </c>
      <c r="D78" s="1385">
        <f t="shared" si="0"/>
        <v>203.96970000000002</v>
      </c>
      <c r="E78" s="1385">
        <f t="shared" si="0"/>
        <v>0</v>
      </c>
      <c r="F78" s="1385">
        <f t="shared" si="0"/>
        <v>0</v>
      </c>
      <c r="G78" s="1385">
        <f t="shared" si="0"/>
        <v>0</v>
      </c>
      <c r="H78" s="1385">
        <f t="shared" si="0"/>
        <v>9830</v>
      </c>
      <c r="I78" s="1385">
        <f t="shared" si="0"/>
        <v>9416.68</v>
      </c>
      <c r="J78" s="1385">
        <f t="shared" si="0"/>
        <v>6622.7966999999999</v>
      </c>
      <c r="K78" s="1385">
        <f t="shared" si="0"/>
        <v>6622.7966999999999</v>
      </c>
      <c r="L78" s="1385">
        <f t="shared" si="0"/>
        <v>3903.8</v>
      </c>
      <c r="M78" s="1385">
        <f t="shared" si="0"/>
        <v>0</v>
      </c>
      <c r="N78" s="1385">
        <f t="shared" si="0"/>
        <v>0</v>
      </c>
      <c r="O78" s="1385">
        <f t="shared" si="0"/>
        <v>0</v>
      </c>
      <c r="P78" s="1385">
        <f t="shared" si="0"/>
        <v>0</v>
      </c>
      <c r="Q78" s="1385">
        <f t="shared" si="0"/>
        <v>0</v>
      </c>
      <c r="R78" s="1385">
        <f t="shared" si="0"/>
        <v>0</v>
      </c>
      <c r="S78" s="1385">
        <f t="shared" si="0"/>
        <v>4907.8624</v>
      </c>
      <c r="T78" s="1385">
        <f t="shared" si="0"/>
        <v>26.1525</v>
      </c>
      <c r="U78" s="1385">
        <f t="shared" si="0"/>
        <v>78.057000000000002</v>
      </c>
      <c r="V78" s="1385">
        <f t="shared" si="0"/>
        <v>2.1865000000000001</v>
      </c>
      <c r="W78" s="1385">
        <f t="shared" si="0"/>
        <v>621.8818</v>
      </c>
      <c r="X78" s="881"/>
      <c r="Y78" s="1178">
        <v>-241.82599999999999</v>
      </c>
      <c r="Z78" s="1178">
        <v>-285.83</v>
      </c>
      <c r="AA78" s="1159"/>
      <c r="AB78" s="1159"/>
      <c r="AC78" s="881"/>
      <c r="AD78" s="881"/>
      <c r="AE78" s="881"/>
      <c r="AF78" s="881"/>
      <c r="AG78" s="881"/>
      <c r="AH78" s="881"/>
      <c r="AI78" s="881"/>
      <c r="AJ78" s="881"/>
      <c r="AK78" s="881"/>
      <c r="AL78" s="881"/>
      <c r="AM78" s="881"/>
      <c r="AN78" s="881"/>
      <c r="AO78" s="881"/>
      <c r="AP78" s="881"/>
      <c r="AQ78" s="881"/>
      <c r="AR78" s="881"/>
      <c r="AS78" s="881"/>
      <c r="AT78" s="881"/>
      <c r="AU78" s="881"/>
      <c r="AV78" s="881"/>
      <c r="AW78" s="881"/>
      <c r="AX78" s="881"/>
      <c r="AY78" s="881"/>
      <c r="AZ78" s="881"/>
      <c r="BA78" s="881"/>
      <c r="BB78" s="881"/>
      <c r="BC78" s="881"/>
      <c r="BD78" s="881"/>
      <c r="BE78" s="881"/>
      <c r="BF78" s="881"/>
      <c r="BG78" s="881"/>
      <c r="BH78" s="881"/>
      <c r="BI78" s="881"/>
    </row>
    <row r="79" spans="1:61" x14ac:dyDescent="0.25">
      <c r="A79" s="881"/>
      <c r="B79" s="1385" t="s">
        <v>1338</v>
      </c>
      <c r="C79" s="1385">
        <f t="shared" si="1"/>
        <v>15930.239600000001</v>
      </c>
      <c r="D79" s="1385">
        <f t="shared" si="0"/>
        <v>15930.239600000001</v>
      </c>
      <c r="E79" s="1385">
        <f t="shared" si="0"/>
        <v>69.695999999999998</v>
      </c>
      <c r="F79" s="1385">
        <f t="shared" si="0"/>
        <v>58.992000000000004</v>
      </c>
      <c r="G79" s="1385">
        <f t="shared" si="0"/>
        <v>58.992000000000004</v>
      </c>
      <c r="H79" s="1385">
        <f t="shared" si="0"/>
        <v>0</v>
      </c>
      <c r="I79" s="1385">
        <f t="shared" si="0"/>
        <v>58.505999999999993</v>
      </c>
      <c r="J79" s="1385">
        <f t="shared" si="0"/>
        <v>58.557000000000002</v>
      </c>
      <c r="K79" s="1385">
        <f t="shared" si="0"/>
        <v>58.557000000000002</v>
      </c>
      <c r="L79" s="1385">
        <f t="shared" si="0"/>
        <v>58.557000000000002</v>
      </c>
      <c r="M79" s="1385">
        <f t="shared" si="0"/>
        <v>58.889200000000002</v>
      </c>
      <c r="N79" s="1385">
        <f t="shared" si="0"/>
        <v>1.9918</v>
      </c>
      <c r="O79" s="1385">
        <f t="shared" si="0"/>
        <v>1.9918</v>
      </c>
      <c r="P79" s="1385">
        <f t="shared" si="0"/>
        <v>57.144300000000001</v>
      </c>
      <c r="Q79" s="1385">
        <f t="shared" si="0"/>
        <v>10.704000000000001</v>
      </c>
      <c r="R79" s="1385">
        <f t="shared" si="0"/>
        <v>67.781599999999997</v>
      </c>
      <c r="S79" s="1385">
        <f t="shared" si="0"/>
        <v>15995.823999999999</v>
      </c>
      <c r="T79" s="1385">
        <f t="shared" si="0"/>
        <v>0</v>
      </c>
      <c r="U79" s="1385">
        <f t="shared" si="0"/>
        <v>0</v>
      </c>
      <c r="V79" s="1385">
        <f t="shared" si="0"/>
        <v>0</v>
      </c>
      <c r="W79" s="1385">
        <f t="shared" si="0"/>
        <v>15996.9539</v>
      </c>
      <c r="X79" s="881"/>
      <c r="Y79" s="1178">
        <v>0</v>
      </c>
      <c r="Z79" s="1004"/>
      <c r="AA79" s="1159"/>
      <c r="AB79" s="1159"/>
      <c r="AC79" s="881"/>
      <c r="AD79" s="881"/>
      <c r="AE79" s="881"/>
      <c r="AF79" s="881"/>
      <c r="AG79" s="881"/>
      <c r="AH79" s="881"/>
      <c r="AI79" s="881"/>
      <c r="AJ79" s="881"/>
      <c r="AK79" s="881"/>
      <c r="AL79" s="881"/>
      <c r="AM79" s="881"/>
      <c r="AN79" s="881"/>
      <c r="AO79" s="881"/>
      <c r="AP79" s="881"/>
      <c r="AQ79" s="881"/>
      <c r="AR79" s="881"/>
      <c r="AS79" s="881"/>
      <c r="AT79" s="881"/>
      <c r="AU79" s="881"/>
      <c r="AV79" s="881"/>
      <c r="AW79" s="881"/>
      <c r="AX79" s="881"/>
      <c r="AY79" s="881"/>
      <c r="AZ79" s="881"/>
      <c r="BA79" s="881"/>
      <c r="BB79" s="881"/>
      <c r="BC79" s="881"/>
      <c r="BD79" s="881"/>
      <c r="BE79" s="881"/>
      <c r="BF79" s="881"/>
      <c r="BG79" s="881"/>
      <c r="BH79" s="881"/>
      <c r="BI79" s="881"/>
    </row>
    <row r="80" spans="1:61" x14ac:dyDescent="0.25">
      <c r="A80" s="881"/>
      <c r="B80" s="1385" t="s">
        <v>1339</v>
      </c>
      <c r="C80" s="1385">
        <f t="shared" si="1"/>
        <v>4273.0622000000003</v>
      </c>
      <c r="D80" s="1385">
        <f t="shared" si="0"/>
        <v>4273.0622000000003</v>
      </c>
      <c r="E80" s="1385">
        <f t="shared" si="0"/>
        <v>0</v>
      </c>
      <c r="F80" s="1385">
        <f t="shared" si="0"/>
        <v>0</v>
      </c>
      <c r="G80" s="1385">
        <f t="shared" si="0"/>
        <v>0</v>
      </c>
      <c r="H80" s="1385">
        <f t="shared" si="0"/>
        <v>0</v>
      </c>
      <c r="I80" s="1385">
        <f t="shared" si="0"/>
        <v>0</v>
      </c>
      <c r="J80" s="1385">
        <f t="shared" si="0"/>
        <v>0</v>
      </c>
      <c r="K80" s="1385">
        <f t="shared" si="0"/>
        <v>0</v>
      </c>
      <c r="L80" s="1385">
        <f t="shared" si="0"/>
        <v>0</v>
      </c>
      <c r="M80" s="1385">
        <f t="shared" si="0"/>
        <v>0</v>
      </c>
      <c r="N80" s="1385">
        <f t="shared" si="0"/>
        <v>0</v>
      </c>
      <c r="O80" s="1385">
        <f t="shared" si="0"/>
        <v>0</v>
      </c>
      <c r="P80" s="1385">
        <f t="shared" si="0"/>
        <v>0</v>
      </c>
      <c r="Q80" s="1385">
        <f t="shared" si="0"/>
        <v>0</v>
      </c>
      <c r="R80" s="1385">
        <f t="shared" si="0"/>
        <v>0</v>
      </c>
      <c r="S80" s="1385">
        <f t="shared" si="0"/>
        <v>387.7072</v>
      </c>
      <c r="T80" s="1385">
        <f t="shared" si="0"/>
        <v>0</v>
      </c>
      <c r="U80" s="1385">
        <f t="shared" si="0"/>
        <v>0</v>
      </c>
      <c r="V80" s="1385">
        <f t="shared" si="0"/>
        <v>0</v>
      </c>
      <c r="W80" s="1385">
        <f t="shared" si="0"/>
        <v>389.11039999999997</v>
      </c>
      <c r="X80" s="881"/>
      <c r="Y80" s="1178">
        <v>0</v>
      </c>
      <c r="Z80" s="1004"/>
      <c r="AA80" s="1159"/>
      <c r="AB80" s="1159"/>
      <c r="AC80" s="881"/>
      <c r="AD80" s="881"/>
      <c r="AE80" s="881"/>
      <c r="AF80" s="881"/>
      <c r="AG80" s="881"/>
      <c r="AH80" s="881"/>
      <c r="AI80" s="881"/>
      <c r="AJ80" s="881"/>
      <c r="AK80" s="881"/>
      <c r="AL80" s="881"/>
      <c r="AM80" s="881"/>
      <c r="AN80" s="881"/>
      <c r="AO80" s="881"/>
      <c r="AP80" s="881"/>
      <c r="AQ80" s="881"/>
      <c r="AR80" s="881"/>
      <c r="AS80" s="881"/>
      <c r="AT80" s="881"/>
      <c r="AU80" s="881"/>
      <c r="AV80" s="881"/>
      <c r="AW80" s="881"/>
      <c r="AX80" s="881"/>
      <c r="AY80" s="881"/>
      <c r="AZ80" s="881"/>
      <c r="BA80" s="881"/>
      <c r="BB80" s="881"/>
      <c r="BC80" s="881"/>
      <c r="BD80" s="881"/>
      <c r="BE80" s="881"/>
      <c r="BF80" s="881"/>
      <c r="BG80" s="881"/>
      <c r="BH80" s="881"/>
      <c r="BI80" s="881"/>
    </row>
    <row r="81" spans="1:61" x14ac:dyDescent="0.25">
      <c r="A81" s="881"/>
      <c r="B81" s="1385" t="s">
        <v>1340</v>
      </c>
      <c r="C81" s="1385">
        <f t="shared" si="1"/>
        <v>0</v>
      </c>
      <c r="D81" s="1385">
        <f t="shared" si="0"/>
        <v>0</v>
      </c>
      <c r="E81" s="1385">
        <f t="shared" si="0"/>
        <v>0</v>
      </c>
      <c r="F81" s="1385">
        <f t="shared" si="0"/>
        <v>0</v>
      </c>
      <c r="G81" s="1385">
        <f t="shared" si="0"/>
        <v>0</v>
      </c>
      <c r="H81" s="1385">
        <f t="shared" si="0"/>
        <v>0</v>
      </c>
      <c r="I81" s="1385">
        <f t="shared" si="0"/>
        <v>0</v>
      </c>
      <c r="J81" s="1385">
        <f t="shared" si="0"/>
        <v>0</v>
      </c>
      <c r="K81" s="1385">
        <f t="shared" si="0"/>
        <v>0</v>
      </c>
      <c r="L81" s="1385">
        <f t="shared" si="0"/>
        <v>0</v>
      </c>
      <c r="M81" s="1385">
        <f t="shared" si="0"/>
        <v>0</v>
      </c>
      <c r="N81" s="1385">
        <f t="shared" si="0"/>
        <v>0</v>
      </c>
      <c r="O81" s="1385">
        <f t="shared" si="0"/>
        <v>0</v>
      </c>
      <c r="P81" s="1385">
        <f t="shared" si="0"/>
        <v>0</v>
      </c>
      <c r="Q81" s="1385">
        <f t="shared" si="0"/>
        <v>0</v>
      </c>
      <c r="R81" s="1385">
        <f t="shared" si="0"/>
        <v>0</v>
      </c>
      <c r="S81" s="1385">
        <f t="shared" ref="S81:W82" si="2">+S44*S$47</f>
        <v>0</v>
      </c>
      <c r="T81" s="1385">
        <f t="shared" si="2"/>
        <v>0</v>
      </c>
      <c r="U81" s="1385">
        <f t="shared" si="2"/>
        <v>0</v>
      </c>
      <c r="V81" s="1385">
        <f t="shared" si="2"/>
        <v>0</v>
      </c>
      <c r="W81" s="1385">
        <f t="shared" si="2"/>
        <v>0</v>
      </c>
      <c r="X81" s="881"/>
      <c r="Y81" s="1178">
        <v>-296.81</v>
      </c>
      <c r="Z81" s="1004"/>
      <c r="AA81" s="1159"/>
      <c r="AB81" s="1159"/>
      <c r="AC81" s="881"/>
      <c r="AD81" s="881"/>
      <c r="AE81" s="881"/>
      <c r="AF81" s="881"/>
      <c r="AG81" s="881"/>
      <c r="AH81" s="881"/>
      <c r="AI81" s="881"/>
      <c r="AJ81" s="881"/>
      <c r="AK81" s="881"/>
      <c r="AL81" s="881"/>
      <c r="AM81" s="881"/>
      <c r="AN81" s="881"/>
      <c r="AO81" s="881"/>
      <c r="AP81" s="881"/>
      <c r="AQ81" s="881"/>
      <c r="AR81" s="881"/>
      <c r="AS81" s="881"/>
      <c r="AT81" s="881"/>
      <c r="AU81" s="881"/>
      <c r="AV81" s="881"/>
      <c r="AW81" s="881"/>
      <c r="AX81" s="881"/>
      <c r="AY81" s="881"/>
      <c r="AZ81" s="881"/>
      <c r="BA81" s="881"/>
      <c r="BB81" s="881"/>
      <c r="BC81" s="881"/>
      <c r="BD81" s="881"/>
      <c r="BE81" s="881"/>
      <c r="BF81" s="881"/>
      <c r="BG81" s="881"/>
      <c r="BH81" s="881"/>
      <c r="BI81" s="881"/>
    </row>
    <row r="82" spans="1:61" x14ac:dyDescent="0.25">
      <c r="A82" s="881"/>
      <c r="B82" s="1385" t="s">
        <v>55</v>
      </c>
      <c r="C82" s="1385">
        <f t="shared" si="1"/>
        <v>20603</v>
      </c>
      <c r="D82" s="1385">
        <f t="shared" si="1"/>
        <v>20603</v>
      </c>
      <c r="E82" s="1385">
        <f t="shared" si="1"/>
        <v>4356</v>
      </c>
      <c r="F82" s="1385">
        <f t="shared" si="1"/>
        <v>3687</v>
      </c>
      <c r="G82" s="1385">
        <f t="shared" si="1"/>
        <v>3687</v>
      </c>
      <c r="H82" s="1385">
        <f t="shared" si="1"/>
        <v>9830</v>
      </c>
      <c r="I82" s="1385">
        <f t="shared" si="1"/>
        <v>13930</v>
      </c>
      <c r="J82" s="1385">
        <f t="shared" si="1"/>
        <v>19519</v>
      </c>
      <c r="K82" s="1385">
        <f t="shared" si="1"/>
        <v>19519</v>
      </c>
      <c r="L82" s="1385">
        <f t="shared" si="1"/>
        <v>19519</v>
      </c>
      <c r="M82" s="1385">
        <f t="shared" si="1"/>
        <v>12802</v>
      </c>
      <c r="N82" s="1385">
        <f t="shared" si="1"/>
        <v>9959</v>
      </c>
      <c r="O82" s="1385">
        <f t="shared" si="1"/>
        <v>9959</v>
      </c>
      <c r="P82" s="1385">
        <f t="shared" si="1"/>
        <v>2843</v>
      </c>
      <c r="Q82" s="1385">
        <f t="shared" si="1"/>
        <v>669</v>
      </c>
      <c r="R82" s="1385">
        <f t="shared" si="1"/>
        <v>3512</v>
      </c>
      <c r="S82" s="1385">
        <f t="shared" si="2"/>
        <v>23216</v>
      </c>
      <c r="T82" s="1385">
        <f t="shared" si="2"/>
        <v>1585</v>
      </c>
      <c r="U82" s="1385">
        <f t="shared" si="2"/>
        <v>2891</v>
      </c>
      <c r="V82" s="1385">
        <f t="shared" si="2"/>
        <v>4373</v>
      </c>
      <c r="W82" s="1385">
        <f t="shared" si="2"/>
        <v>17371</v>
      </c>
      <c r="X82" s="881"/>
      <c r="Y82" s="881"/>
      <c r="Z82" s="881"/>
      <c r="AA82" s="881"/>
      <c r="AB82" s="881"/>
      <c r="AC82" s="881"/>
      <c r="AD82" s="881"/>
      <c r="AE82" s="881"/>
      <c r="AF82" s="881"/>
      <c r="AG82" s="881"/>
      <c r="AH82" s="881"/>
      <c r="AI82" s="881"/>
      <c r="AJ82" s="881"/>
      <c r="AK82" s="881"/>
      <c r="AL82" s="881"/>
      <c r="AM82" s="881"/>
      <c r="AN82" s="881"/>
      <c r="AO82" s="881"/>
      <c r="AP82" s="881"/>
      <c r="AQ82" s="881"/>
      <c r="AR82" s="881"/>
      <c r="AS82" s="881"/>
      <c r="AT82" s="881"/>
      <c r="AU82" s="881"/>
      <c r="AV82" s="881"/>
      <c r="AW82" s="881"/>
      <c r="AX82" s="881"/>
      <c r="AY82" s="881"/>
      <c r="AZ82" s="881"/>
      <c r="BA82" s="881"/>
      <c r="BB82" s="881"/>
      <c r="BC82" s="881"/>
      <c r="BD82" s="881"/>
      <c r="BE82" s="881"/>
      <c r="BF82" s="881"/>
      <c r="BG82" s="881"/>
      <c r="BH82" s="881"/>
      <c r="BI82" s="881"/>
    </row>
    <row r="83" spans="1:61" x14ac:dyDescent="0.25">
      <c r="A83" s="881"/>
      <c r="B83" s="1156"/>
      <c r="C83" s="881"/>
      <c r="D83" s="881"/>
      <c r="E83" s="881"/>
      <c r="F83" s="881"/>
      <c r="G83" s="881"/>
      <c r="H83" s="881"/>
      <c r="I83" s="881"/>
      <c r="J83" s="881"/>
      <c r="K83" s="881"/>
      <c r="L83" s="881"/>
      <c r="M83" s="881"/>
      <c r="N83" s="881"/>
      <c r="O83" s="881"/>
      <c r="P83" s="881"/>
      <c r="Q83" s="881"/>
      <c r="R83" s="881"/>
      <c r="S83" s="881"/>
      <c r="T83" s="881"/>
      <c r="U83" s="881"/>
      <c r="V83" s="881"/>
      <c r="W83" s="881"/>
      <c r="X83" s="881"/>
      <c r="Y83" s="881"/>
      <c r="Z83" s="881"/>
      <c r="AA83" s="881"/>
      <c r="AB83" s="881"/>
      <c r="AC83" s="881"/>
      <c r="AD83" s="881"/>
      <c r="AE83" s="881"/>
      <c r="AF83" s="881"/>
      <c r="AG83" s="881"/>
      <c r="AH83" s="881"/>
      <c r="AI83" s="881"/>
      <c r="AJ83" s="881"/>
      <c r="AK83" s="881"/>
      <c r="AL83" s="881"/>
      <c r="AM83" s="881"/>
      <c r="AN83" s="881"/>
      <c r="AO83" s="881"/>
      <c r="AP83" s="881"/>
      <c r="AQ83" s="881"/>
      <c r="AR83" s="881"/>
      <c r="AS83" s="881"/>
      <c r="AT83" s="881"/>
      <c r="AU83" s="881"/>
      <c r="AV83" s="881"/>
      <c r="AW83" s="881"/>
      <c r="AX83" s="881"/>
      <c r="AY83" s="881"/>
      <c r="AZ83" s="881"/>
      <c r="BA83" s="881"/>
      <c r="BB83" s="881"/>
      <c r="BC83" s="881"/>
      <c r="BD83" s="881"/>
      <c r="BE83" s="881"/>
      <c r="BF83" s="881"/>
      <c r="BG83" s="881"/>
      <c r="BH83" s="881"/>
      <c r="BI83" s="881"/>
    </row>
    <row r="84" spans="1:61" x14ac:dyDescent="0.25">
      <c r="A84" s="881"/>
      <c r="B84" s="1156"/>
      <c r="C84" s="881"/>
      <c r="D84" s="881"/>
      <c r="E84" s="881"/>
      <c r="F84" s="881"/>
      <c r="G84" s="881"/>
      <c r="H84" s="881"/>
      <c r="I84" s="881"/>
      <c r="J84" s="881"/>
      <c r="K84" s="881"/>
      <c r="L84" s="881"/>
      <c r="M84" s="881"/>
      <c r="N84" s="881"/>
      <c r="O84" s="881"/>
      <c r="P84" s="881"/>
      <c r="Q84" s="881"/>
      <c r="R84" s="881"/>
      <c r="S84" s="881"/>
      <c r="T84" s="881"/>
      <c r="U84" s="881"/>
      <c r="V84" s="881"/>
      <c r="W84" s="881"/>
      <c r="X84" s="881"/>
      <c r="Y84" s="881"/>
      <c r="Z84" s="881"/>
      <c r="AA84" s="881"/>
      <c r="AB84" s="881"/>
      <c r="AC84" s="881"/>
      <c r="AD84" s="881"/>
      <c r="AE84" s="881"/>
      <c r="AF84" s="881"/>
      <c r="AG84" s="881"/>
      <c r="AH84" s="881"/>
      <c r="AI84" s="881"/>
      <c r="AJ84" s="881"/>
      <c r="AK84" s="881"/>
      <c r="AL84" s="881"/>
      <c r="AM84" s="881"/>
      <c r="AN84" s="881"/>
      <c r="AO84" s="881"/>
      <c r="AP84" s="881"/>
      <c r="AQ84" s="881"/>
      <c r="AR84" s="881"/>
      <c r="AS84" s="881"/>
      <c r="AT84" s="881"/>
      <c r="AU84" s="881"/>
      <c r="AV84" s="881"/>
      <c r="AW84" s="881"/>
      <c r="AX84" s="881"/>
      <c r="AY84" s="881"/>
      <c r="AZ84" s="881"/>
      <c r="BA84" s="881"/>
      <c r="BB84" s="881"/>
      <c r="BC84" s="881"/>
      <c r="BD84" s="881"/>
      <c r="BE84" s="881"/>
      <c r="BF84" s="881"/>
      <c r="BG84" s="881"/>
      <c r="BH84" s="881"/>
      <c r="BI84" s="881"/>
    </row>
    <row r="85" spans="1:61" x14ac:dyDescent="0.25">
      <c r="A85" s="881"/>
      <c r="B85" s="1156"/>
      <c r="C85" s="881"/>
      <c r="D85" s="881"/>
      <c r="E85" s="881"/>
      <c r="F85" s="881"/>
      <c r="G85" s="881"/>
      <c r="H85" s="881"/>
      <c r="I85" s="881"/>
      <c r="J85" s="881"/>
      <c r="K85" s="881"/>
      <c r="L85" s="881"/>
      <c r="M85" s="881"/>
      <c r="N85" s="881"/>
      <c r="O85" s="881"/>
      <c r="P85" s="881"/>
      <c r="Q85" s="881"/>
      <c r="R85" s="881"/>
      <c r="S85" s="881"/>
      <c r="T85" s="881"/>
      <c r="U85" s="881"/>
      <c r="V85" s="881"/>
      <c r="W85" s="881"/>
      <c r="X85" s="881"/>
      <c r="Y85" s="881"/>
      <c r="Z85" s="881"/>
      <c r="AA85" s="881"/>
      <c r="AB85" s="881"/>
      <c r="AC85" s="881"/>
      <c r="AD85" s="881"/>
      <c r="AE85" s="881"/>
      <c r="AF85" s="881"/>
      <c r="AG85" s="881"/>
      <c r="AH85" s="881"/>
      <c r="AI85" s="881"/>
      <c r="AJ85" s="881"/>
      <c r="AK85" s="881"/>
      <c r="AL85" s="881"/>
      <c r="AM85" s="881"/>
      <c r="AN85" s="881"/>
      <c r="AO85" s="881"/>
      <c r="AP85" s="881"/>
      <c r="AQ85" s="881"/>
      <c r="AR85" s="881"/>
      <c r="AS85" s="881"/>
      <c r="AT85" s="881"/>
      <c r="AU85" s="881"/>
      <c r="AV85" s="881"/>
      <c r="AW85" s="881"/>
      <c r="AX85" s="881"/>
      <c r="AY85" s="881"/>
      <c r="AZ85" s="881"/>
      <c r="BA85" s="881"/>
      <c r="BB85" s="881"/>
      <c r="BC85" s="881"/>
      <c r="BD85" s="881"/>
      <c r="BE85" s="881"/>
      <c r="BF85" s="881"/>
      <c r="BG85" s="881"/>
      <c r="BH85" s="881"/>
      <c r="BI85" s="881"/>
    </row>
    <row r="86" spans="1:61" x14ac:dyDescent="0.25">
      <c r="A86" s="881"/>
      <c r="B86" s="1156"/>
      <c r="C86" s="881"/>
      <c r="D86" s="881"/>
      <c r="E86" s="881"/>
      <c r="F86" s="881"/>
      <c r="G86" s="881"/>
      <c r="H86" s="881"/>
      <c r="I86" s="881"/>
      <c r="J86" s="881"/>
      <c r="K86" s="881"/>
      <c r="L86" s="881"/>
      <c r="M86" s="881"/>
      <c r="N86" s="881"/>
      <c r="O86" s="881"/>
      <c r="P86" s="881"/>
      <c r="Q86" s="881"/>
      <c r="R86" s="881"/>
      <c r="S86" s="881"/>
      <c r="T86" s="881"/>
      <c r="U86" s="881"/>
      <c r="V86" s="881"/>
      <c r="W86" s="881"/>
      <c r="X86" s="881"/>
      <c r="Y86" s="881"/>
      <c r="Z86" s="881"/>
      <c r="AA86" s="881"/>
      <c r="AB86" s="881"/>
      <c r="AC86" s="881"/>
      <c r="AD86" s="881"/>
      <c r="AE86" s="881"/>
      <c r="AF86" s="881"/>
      <c r="AG86" s="881"/>
      <c r="AH86" s="881"/>
      <c r="AI86" s="881"/>
      <c r="AJ86" s="881"/>
      <c r="AK86" s="881"/>
      <c r="AL86" s="881"/>
      <c r="AM86" s="881"/>
      <c r="AN86" s="881"/>
      <c r="AO86" s="881"/>
      <c r="AP86" s="881"/>
      <c r="AQ86" s="881"/>
      <c r="AR86" s="881"/>
      <c r="AS86" s="881"/>
      <c r="AT86" s="881"/>
      <c r="AU86" s="881"/>
      <c r="AV86" s="881"/>
      <c r="AW86" s="881"/>
      <c r="AX86" s="881"/>
      <c r="AY86" s="881"/>
      <c r="AZ86" s="881"/>
      <c r="BA86" s="881"/>
      <c r="BB86" s="881"/>
      <c r="BC86" s="881"/>
      <c r="BD86" s="881"/>
      <c r="BE86" s="881"/>
      <c r="BF86" s="881"/>
      <c r="BG86" s="881"/>
      <c r="BH86" s="881"/>
      <c r="BI86" s="881"/>
    </row>
    <row r="87" spans="1:61" x14ac:dyDescent="0.25">
      <c r="A87" s="881"/>
      <c r="B87" s="1156"/>
      <c r="C87" s="881"/>
      <c r="D87" s="881"/>
      <c r="E87" s="881"/>
      <c r="F87" s="881"/>
      <c r="G87" s="881"/>
      <c r="H87" s="881"/>
      <c r="I87" s="881"/>
      <c r="J87" s="881"/>
      <c r="K87" s="881"/>
      <c r="L87" s="881"/>
      <c r="M87" s="881"/>
      <c r="N87" s="881"/>
      <c r="O87" s="881"/>
      <c r="P87" s="881"/>
      <c r="Q87" s="881"/>
      <c r="R87" s="881"/>
      <c r="S87" s="881"/>
      <c r="T87" s="881"/>
      <c r="U87" s="881"/>
      <c r="V87" s="881"/>
      <c r="W87" s="881"/>
      <c r="X87" s="881"/>
      <c r="Y87" s="881"/>
      <c r="Z87" s="881"/>
      <c r="AA87" s="881"/>
      <c r="AB87" s="881"/>
      <c r="AC87" s="881"/>
      <c r="AD87" s="881"/>
      <c r="AE87" s="881"/>
      <c r="AF87" s="881"/>
      <c r="AG87" s="881"/>
      <c r="AH87" s="881"/>
      <c r="AI87" s="881"/>
      <c r="AJ87" s="881"/>
      <c r="AK87" s="881"/>
      <c r="AL87" s="881"/>
      <c r="AM87" s="881"/>
      <c r="AN87" s="881"/>
      <c r="AO87" s="881"/>
      <c r="AP87" s="881"/>
      <c r="AQ87" s="881"/>
      <c r="AR87" s="881"/>
      <c r="AS87" s="881"/>
      <c r="AT87" s="881"/>
      <c r="AU87" s="881"/>
      <c r="AV87" s="881"/>
      <c r="AW87" s="881"/>
      <c r="AX87" s="881"/>
      <c r="AY87" s="881"/>
      <c r="AZ87" s="881"/>
      <c r="BA87" s="881"/>
      <c r="BB87" s="881"/>
      <c r="BC87" s="881"/>
      <c r="BD87" s="881"/>
      <c r="BE87" s="881"/>
      <c r="BF87" s="881"/>
      <c r="BG87" s="881"/>
      <c r="BH87" s="881"/>
      <c r="BI87" s="881"/>
    </row>
    <row r="88" spans="1:61" ht="13.8" thickBot="1" x14ac:dyDescent="0.3">
      <c r="A88" s="881"/>
      <c r="B88" s="1156"/>
      <c r="C88" s="881"/>
      <c r="D88" s="881"/>
      <c r="E88" s="881"/>
      <c r="F88" s="881"/>
      <c r="G88" s="881"/>
      <c r="H88" s="881"/>
      <c r="I88" s="881"/>
      <c r="J88" s="881"/>
      <c r="K88" s="881"/>
      <c r="L88" s="881"/>
      <c r="M88" s="881"/>
      <c r="N88" s="881"/>
      <c r="O88" s="881"/>
      <c r="P88" s="881"/>
      <c r="Q88" s="881"/>
      <c r="R88" s="881"/>
      <c r="S88" s="881"/>
      <c r="T88" s="881"/>
      <c r="U88" s="881"/>
      <c r="V88" s="881"/>
      <c r="W88" s="881"/>
      <c r="X88" s="881"/>
      <c r="Y88" s="881"/>
      <c r="Z88" s="881"/>
      <c r="AA88" s="881"/>
      <c r="AB88" s="881"/>
      <c r="AC88" s="881"/>
      <c r="AD88" s="881"/>
      <c r="AE88" s="881"/>
      <c r="AF88" s="881"/>
      <c r="AG88" s="881"/>
      <c r="AH88" s="881"/>
      <c r="AI88" s="881"/>
      <c r="AJ88" s="881"/>
      <c r="AK88" s="881"/>
      <c r="AL88" s="881"/>
      <c r="AM88" s="881"/>
      <c r="AN88" s="881"/>
      <c r="AO88" s="881"/>
      <c r="AP88" s="881"/>
      <c r="AQ88" s="881"/>
      <c r="AR88" s="881"/>
      <c r="AS88" s="881"/>
      <c r="AT88" s="881"/>
      <c r="AU88" s="881"/>
      <c r="AV88" s="881"/>
      <c r="AW88" s="881"/>
      <c r="AX88" s="881"/>
      <c r="AY88" s="881"/>
      <c r="AZ88" s="881"/>
      <c r="BA88" s="881"/>
      <c r="BB88" s="881"/>
      <c r="BC88" s="881"/>
      <c r="BD88" s="881"/>
      <c r="BE88" s="881"/>
      <c r="BF88" s="881"/>
      <c r="BG88" s="881"/>
      <c r="BH88" s="881"/>
      <c r="BI88" s="881"/>
    </row>
    <row r="89" spans="1:61" ht="14.4" thickBot="1" x14ac:dyDescent="0.3">
      <c r="A89" s="881"/>
      <c r="B89" s="1496" t="s">
        <v>1274</v>
      </c>
      <c r="C89" s="1497"/>
      <c r="D89" s="881"/>
      <c r="E89" s="881"/>
      <c r="F89" s="881"/>
      <c r="G89" s="881"/>
      <c r="H89" s="881"/>
      <c r="I89" s="881"/>
      <c r="J89" s="881"/>
      <c r="K89" s="881"/>
      <c r="L89" s="881"/>
      <c r="M89" s="881"/>
      <c r="N89" s="881"/>
      <c r="O89" s="881"/>
      <c r="P89" s="881"/>
      <c r="Q89" s="881"/>
      <c r="R89" s="881"/>
      <c r="S89" s="881"/>
      <c r="T89" s="881"/>
      <c r="U89" s="881"/>
      <c r="V89" s="881"/>
      <c r="W89" s="881"/>
      <c r="X89" s="881"/>
      <c r="Y89" s="881"/>
      <c r="Z89" s="881"/>
      <c r="AA89" s="881"/>
      <c r="AB89" s="881"/>
      <c r="AC89" s="881"/>
      <c r="AD89" s="881"/>
      <c r="AE89" s="881"/>
      <c r="AF89" s="881"/>
      <c r="AG89" s="881"/>
      <c r="AH89" s="881"/>
      <c r="AI89" s="881"/>
      <c r="AJ89" s="881"/>
      <c r="AK89" s="881"/>
      <c r="AL89" s="881"/>
      <c r="AM89" s="881"/>
      <c r="AN89" s="881"/>
      <c r="AO89" s="881"/>
      <c r="AP89" s="881"/>
      <c r="AQ89" s="881"/>
      <c r="AR89" s="881"/>
      <c r="AS89" s="881"/>
      <c r="AT89" s="881"/>
      <c r="AU89" s="881"/>
      <c r="AV89" s="881"/>
      <c r="AW89" s="881"/>
      <c r="AX89" s="881"/>
      <c r="AY89" s="881"/>
      <c r="AZ89" s="881"/>
      <c r="BA89" s="881"/>
      <c r="BB89" s="881"/>
      <c r="BC89" s="881"/>
      <c r="BD89" s="881"/>
      <c r="BE89" s="881"/>
      <c r="BF89" s="881"/>
      <c r="BG89" s="881"/>
      <c r="BH89" s="881"/>
      <c r="BI89" s="881"/>
    </row>
    <row r="90" spans="1:61" ht="14.4" thickBot="1" x14ac:dyDescent="0.3">
      <c r="A90" s="881"/>
      <c r="B90" s="1490" t="s">
        <v>1275</v>
      </c>
      <c r="C90" s="1492"/>
      <c r="D90" s="882" t="s">
        <v>1341</v>
      </c>
      <c r="E90" s="881"/>
      <c r="F90" s="881"/>
      <c r="G90" s="881"/>
      <c r="H90" s="881"/>
      <c r="I90" s="881"/>
      <c r="J90" s="881"/>
      <c r="K90" s="881"/>
      <c r="L90" s="881"/>
      <c r="M90" s="881"/>
      <c r="N90" s="881"/>
      <c r="O90" s="881"/>
      <c r="P90" s="881"/>
      <c r="Q90" s="881"/>
      <c r="R90" s="881"/>
      <c r="S90" s="881"/>
      <c r="T90" s="881"/>
      <c r="U90" s="881"/>
      <c r="V90" s="881"/>
      <c r="W90" s="881"/>
      <c r="X90" s="881"/>
      <c r="Y90" s="881"/>
      <c r="Z90" s="881"/>
      <c r="AA90" s="881"/>
      <c r="AB90" s="881"/>
      <c r="AC90" s="881"/>
      <c r="AD90" s="881"/>
      <c r="AE90" s="881"/>
      <c r="AF90" s="881"/>
      <c r="AG90" s="881"/>
      <c r="AH90" s="881"/>
      <c r="AI90" s="881"/>
      <c r="AJ90" s="881"/>
      <c r="AK90" s="881"/>
      <c r="AL90" s="881"/>
      <c r="AM90" s="881"/>
      <c r="AN90" s="881"/>
      <c r="AO90" s="881"/>
      <c r="AP90" s="881"/>
      <c r="AQ90" s="881"/>
      <c r="AR90" s="881"/>
      <c r="AS90" s="881"/>
      <c r="AT90" s="881"/>
      <c r="AU90" s="881"/>
      <c r="AV90" s="881"/>
      <c r="AW90" s="881"/>
      <c r="AX90" s="881"/>
      <c r="AY90" s="881"/>
      <c r="AZ90" s="881"/>
      <c r="BA90" s="881"/>
      <c r="BB90" s="881"/>
      <c r="BC90" s="881"/>
      <c r="BD90" s="881"/>
      <c r="BE90" s="881"/>
      <c r="BF90" s="881"/>
      <c r="BG90" s="881"/>
      <c r="BH90" s="881"/>
      <c r="BI90" s="881"/>
    </row>
    <row r="91" spans="1:61" ht="14.4" thickBot="1" x14ac:dyDescent="0.3">
      <c r="A91" s="881"/>
      <c r="B91" s="1301" t="s">
        <v>1276</v>
      </c>
      <c r="C91" s="1483">
        <v>1640</v>
      </c>
      <c r="D91" s="1484">
        <f t="shared" ref="D91:D97" si="3">+C91</f>
        <v>1640</v>
      </c>
      <c r="E91" s="881"/>
      <c r="F91" s="881"/>
      <c r="G91" s="881"/>
      <c r="H91" s="881"/>
      <c r="I91" s="881"/>
      <c r="J91" s="881"/>
      <c r="K91" s="881"/>
      <c r="L91" s="881"/>
      <c r="M91" s="881"/>
      <c r="N91" s="881"/>
      <c r="O91" s="881"/>
      <c r="P91" s="881"/>
      <c r="Q91" s="881"/>
      <c r="R91" s="881"/>
      <c r="S91" s="881"/>
      <c r="T91" s="881"/>
      <c r="U91" s="881"/>
      <c r="V91" s="881"/>
      <c r="W91" s="881"/>
      <c r="X91" s="881"/>
      <c r="Y91" s="881"/>
      <c r="Z91" s="881"/>
      <c r="AA91" s="881"/>
      <c r="AB91" s="881"/>
      <c r="AC91" s="881"/>
      <c r="AD91" s="881"/>
      <c r="AE91" s="881"/>
      <c r="AF91" s="881"/>
      <c r="AG91" s="881"/>
      <c r="AH91" s="881"/>
      <c r="AI91" s="881"/>
      <c r="AJ91" s="881"/>
      <c r="AK91" s="881"/>
      <c r="AL91" s="881"/>
      <c r="AM91" s="881"/>
      <c r="AN91" s="881"/>
      <c r="AO91" s="881"/>
      <c r="AP91" s="881"/>
      <c r="AQ91" s="881"/>
      <c r="AR91" s="881"/>
      <c r="AS91" s="881"/>
      <c r="AT91" s="881"/>
      <c r="AU91" s="881"/>
      <c r="AV91" s="881"/>
      <c r="AW91" s="881"/>
      <c r="AX91" s="881"/>
      <c r="AY91" s="881"/>
      <c r="AZ91" s="881"/>
      <c r="BA91" s="881"/>
      <c r="BB91" s="881"/>
      <c r="BC91" s="881"/>
      <c r="BD91" s="881"/>
      <c r="BE91" s="881"/>
      <c r="BF91" s="881"/>
      <c r="BG91" s="881"/>
      <c r="BH91" s="881"/>
      <c r="BI91" s="881"/>
    </row>
    <row r="92" spans="1:61" ht="14.4" thickBot="1" x14ac:dyDescent="0.3">
      <c r="A92" s="881"/>
      <c r="B92" s="1301" t="s">
        <v>1277</v>
      </c>
      <c r="C92" s="1483">
        <v>2500</v>
      </c>
      <c r="D92" s="1484">
        <f t="shared" si="3"/>
        <v>2500</v>
      </c>
      <c r="E92" s="881"/>
      <c r="F92" s="881"/>
      <c r="G92" s="881"/>
      <c r="H92" s="881"/>
      <c r="I92" s="881"/>
      <c r="J92" s="881"/>
      <c r="K92" s="881"/>
      <c r="L92" s="881"/>
      <c r="M92" s="881"/>
      <c r="N92" s="881"/>
      <c r="O92" s="881"/>
      <c r="P92" s="881"/>
      <c r="Q92" s="881"/>
      <c r="R92" s="881"/>
      <c r="S92" s="881"/>
      <c r="T92" s="881"/>
      <c r="U92" s="881"/>
      <c r="V92" s="881"/>
      <c r="W92" s="881"/>
      <c r="X92" s="881"/>
      <c r="Y92" s="881"/>
      <c r="Z92" s="881"/>
      <c r="AA92" s="881"/>
      <c r="AB92" s="881"/>
      <c r="AC92" s="881"/>
      <c r="AD92" s="881"/>
      <c r="AE92" s="881"/>
      <c r="AF92" s="881"/>
      <c r="AG92" s="881"/>
      <c r="AH92" s="881"/>
      <c r="AI92" s="881"/>
      <c r="AJ92" s="881"/>
      <c r="AK92" s="881"/>
      <c r="AL92" s="881"/>
      <c r="AM92" s="881"/>
      <c r="AN92" s="881"/>
      <c r="AO92" s="881"/>
      <c r="AP92" s="881"/>
      <c r="AQ92" s="881"/>
      <c r="AR92" s="881"/>
      <c r="AS92" s="881"/>
      <c r="AT92" s="881"/>
      <c r="AU92" s="881"/>
      <c r="AV92" s="881"/>
      <c r="AW92" s="881"/>
      <c r="AX92" s="881"/>
      <c r="AY92" s="881"/>
      <c r="AZ92" s="881"/>
      <c r="BA92" s="881"/>
      <c r="BB92" s="881"/>
      <c r="BC92" s="881"/>
      <c r="BD92" s="881"/>
      <c r="BE92" s="881"/>
      <c r="BF92" s="881"/>
      <c r="BG92" s="881"/>
      <c r="BH92" s="881"/>
      <c r="BI92" s="881"/>
    </row>
    <row r="93" spans="1:61" ht="14.4" thickBot="1" x14ac:dyDescent="0.3">
      <c r="A93" s="881"/>
      <c r="B93" s="1301" t="s">
        <v>1278</v>
      </c>
      <c r="C93" s="1483">
        <v>1290</v>
      </c>
      <c r="D93" s="1484">
        <f t="shared" si="3"/>
        <v>1290</v>
      </c>
      <c r="E93" s="881"/>
      <c r="F93" s="881"/>
      <c r="G93" s="881"/>
      <c r="H93" s="881"/>
      <c r="I93" s="881"/>
      <c r="J93" s="881"/>
      <c r="K93" s="881"/>
      <c r="L93" s="881"/>
      <c r="M93" s="881"/>
      <c r="N93" s="881"/>
      <c r="O93" s="881"/>
      <c r="P93" s="881"/>
      <c r="Q93" s="881"/>
      <c r="R93" s="881"/>
      <c r="S93" s="881"/>
      <c r="T93" s="881"/>
      <c r="U93" s="881"/>
      <c r="V93" s="881"/>
      <c r="W93" s="881"/>
      <c r="X93" s="881"/>
      <c r="Y93" s="881"/>
      <c r="Z93" s="881"/>
      <c r="AA93" s="881"/>
      <c r="AB93" s="881"/>
      <c r="AC93" s="881"/>
      <c r="AD93" s="881"/>
      <c r="AE93" s="881"/>
      <c r="AF93" s="881"/>
      <c r="AG93" s="881"/>
      <c r="AH93" s="881"/>
      <c r="AI93" s="881"/>
      <c r="AJ93" s="881"/>
      <c r="AK93" s="881"/>
      <c r="AL93" s="881"/>
      <c r="AM93" s="881"/>
      <c r="AN93" s="881"/>
      <c r="AO93" s="881"/>
      <c r="AP93" s="881"/>
      <c r="AQ93" s="881"/>
      <c r="AR93" s="881"/>
      <c r="AS93" s="881"/>
      <c r="AT93" s="881"/>
      <c r="AU93" s="881"/>
      <c r="AV93" s="881"/>
      <c r="AW93" s="881"/>
      <c r="AX93" s="881"/>
      <c r="AY93" s="881"/>
      <c r="AZ93" s="881"/>
      <c r="BA93" s="881"/>
      <c r="BB93" s="881"/>
      <c r="BC93" s="881"/>
      <c r="BD93" s="881"/>
      <c r="BE93" s="881"/>
      <c r="BF93" s="881"/>
      <c r="BG93" s="881"/>
      <c r="BH93" s="881"/>
      <c r="BI93" s="881"/>
    </row>
    <row r="94" spans="1:61" ht="15.6" thickBot="1" x14ac:dyDescent="0.3">
      <c r="A94" s="881"/>
      <c r="B94" s="1301" t="s">
        <v>1342</v>
      </c>
      <c r="C94" s="1483">
        <v>6710</v>
      </c>
      <c r="D94" s="1484">
        <f t="shared" si="3"/>
        <v>6710</v>
      </c>
      <c r="E94" s="881"/>
      <c r="F94" s="881"/>
      <c r="G94" s="881"/>
      <c r="H94" s="881"/>
      <c r="I94" s="881"/>
      <c r="J94" s="881"/>
      <c r="K94" s="881"/>
      <c r="L94" s="881"/>
      <c r="M94" s="881"/>
      <c r="N94" s="881"/>
      <c r="O94" s="881"/>
      <c r="P94" s="881"/>
      <c r="Q94" s="881"/>
      <c r="R94" s="881"/>
      <c r="S94" s="881"/>
      <c r="T94" s="881"/>
      <c r="U94" s="881"/>
      <c r="V94" s="881"/>
      <c r="W94" s="881"/>
      <c r="X94" s="881"/>
      <c r="Y94" s="881"/>
      <c r="Z94" s="881"/>
      <c r="AA94" s="881"/>
      <c r="AB94" s="881"/>
      <c r="AC94" s="881"/>
      <c r="AD94" s="881"/>
      <c r="AE94" s="881"/>
      <c r="AF94" s="881"/>
      <c r="AG94" s="881"/>
      <c r="AH94" s="881"/>
      <c r="AI94" s="881"/>
      <c r="AJ94" s="881"/>
      <c r="AK94" s="881"/>
      <c r="AL94" s="881"/>
      <c r="AM94" s="881"/>
      <c r="AN94" s="881"/>
      <c r="AO94" s="881"/>
      <c r="AP94" s="881"/>
      <c r="AQ94" s="881"/>
      <c r="AR94" s="881"/>
      <c r="AS94" s="881"/>
      <c r="AT94" s="881"/>
      <c r="AU94" s="881"/>
      <c r="AV94" s="881"/>
      <c r="AW94" s="881"/>
      <c r="AX94" s="881"/>
      <c r="AY94" s="881"/>
      <c r="AZ94" s="881"/>
      <c r="BA94" s="881"/>
      <c r="BB94" s="881"/>
      <c r="BC94" s="881"/>
      <c r="BD94" s="881"/>
      <c r="BE94" s="881"/>
      <c r="BF94" s="881"/>
      <c r="BG94" s="881"/>
      <c r="BH94" s="881"/>
      <c r="BI94" s="881"/>
    </row>
    <row r="95" spans="1:61" ht="15.6" thickBot="1" x14ac:dyDescent="0.3">
      <c r="A95" s="881"/>
      <c r="B95" s="1485" t="s">
        <v>1418</v>
      </c>
      <c r="C95" s="1486">
        <v>16460</v>
      </c>
      <c r="D95" s="1484">
        <f t="shared" si="3"/>
        <v>16460</v>
      </c>
      <c r="E95" s="881"/>
      <c r="F95" s="881"/>
      <c r="G95" s="881"/>
      <c r="H95" s="881"/>
      <c r="I95" s="881"/>
      <c r="J95" s="881"/>
      <c r="K95" s="881"/>
      <c r="L95" s="881"/>
      <c r="M95" s="881"/>
      <c r="N95" s="881"/>
      <c r="O95" s="881"/>
      <c r="P95" s="881"/>
      <c r="Q95" s="881"/>
      <c r="R95" s="881"/>
      <c r="S95" s="881"/>
      <c r="T95" s="881"/>
      <c r="U95" s="881"/>
      <c r="V95" s="881"/>
      <c r="W95" s="881"/>
      <c r="X95" s="881"/>
      <c r="Y95" s="881"/>
      <c r="Z95" s="881"/>
      <c r="AA95" s="881"/>
      <c r="AB95" s="881"/>
      <c r="AC95" s="881"/>
      <c r="AD95" s="881"/>
      <c r="AE95" s="881"/>
      <c r="AF95" s="881"/>
      <c r="AG95" s="881"/>
      <c r="AH95" s="881"/>
      <c r="AI95" s="881"/>
      <c r="AJ95" s="881"/>
      <c r="AK95" s="881"/>
      <c r="AL95" s="881"/>
      <c r="AM95" s="881"/>
      <c r="AN95" s="881"/>
      <c r="AO95" s="881"/>
      <c r="AP95" s="881"/>
      <c r="AQ95" s="881"/>
      <c r="AR95" s="881"/>
      <c r="AS95" s="881"/>
      <c r="AT95" s="881"/>
      <c r="AU95" s="881"/>
      <c r="AV95" s="881"/>
      <c r="AW95" s="881"/>
      <c r="AX95" s="881"/>
      <c r="AY95" s="881"/>
      <c r="AZ95" s="881"/>
      <c r="BA95" s="881"/>
      <c r="BB95" s="881"/>
      <c r="BC95" s="881"/>
      <c r="BD95" s="881"/>
      <c r="BE95" s="881"/>
      <c r="BF95" s="881"/>
      <c r="BG95" s="881"/>
      <c r="BH95" s="881"/>
      <c r="BI95" s="881"/>
    </row>
    <row r="96" spans="1:61" ht="14.4" thickBot="1" x14ac:dyDescent="0.3">
      <c r="A96" s="881"/>
      <c r="B96" s="1301" t="s">
        <v>1279</v>
      </c>
      <c r="C96" s="1486">
        <v>140</v>
      </c>
      <c r="D96" s="1385">
        <f t="shared" si="3"/>
        <v>140</v>
      </c>
      <c r="E96" s="881"/>
      <c r="F96" s="881"/>
      <c r="G96" s="881"/>
      <c r="H96" s="881"/>
      <c r="I96" s="881"/>
      <c r="J96" s="881"/>
      <c r="K96" s="881"/>
      <c r="L96" s="881"/>
      <c r="M96" s="881"/>
      <c r="N96" s="881"/>
      <c r="O96" s="881"/>
      <c r="P96" s="881"/>
      <c r="Q96" s="881"/>
      <c r="R96" s="881"/>
      <c r="S96" s="881"/>
      <c r="T96" s="881"/>
      <c r="U96" s="881"/>
      <c r="V96" s="881"/>
      <c r="W96" s="881"/>
      <c r="X96" s="881"/>
      <c r="Y96" s="881"/>
      <c r="Z96" s="881"/>
      <c r="AA96" s="881"/>
      <c r="AB96" s="881"/>
      <c r="AC96" s="881"/>
      <c r="AD96" s="881"/>
      <c r="AE96" s="881"/>
      <c r="AF96" s="881"/>
      <c r="AG96" s="881"/>
      <c r="AH96" s="881"/>
      <c r="AI96" s="881"/>
      <c r="AJ96" s="881"/>
      <c r="AK96" s="881"/>
      <c r="AL96" s="881"/>
      <c r="AM96" s="881"/>
      <c r="AN96" s="881"/>
      <c r="AO96" s="881"/>
      <c r="AP96" s="881"/>
      <c r="AQ96" s="881"/>
      <c r="AR96" s="881"/>
      <c r="AS96" s="881"/>
      <c r="AT96" s="881"/>
      <c r="AU96" s="881"/>
      <c r="AV96" s="881"/>
      <c r="AW96" s="881"/>
      <c r="AX96" s="881"/>
      <c r="AY96" s="881"/>
      <c r="AZ96" s="881"/>
      <c r="BA96" s="881"/>
      <c r="BB96" s="881"/>
      <c r="BC96" s="881"/>
      <c r="BD96" s="881"/>
      <c r="BE96" s="881"/>
      <c r="BF96" s="881"/>
      <c r="BG96" s="881"/>
      <c r="BH96" s="881"/>
      <c r="BI96" s="881"/>
    </row>
    <row r="97" spans="1:61" ht="14.4" thickBot="1" x14ac:dyDescent="0.3">
      <c r="A97" s="881"/>
      <c r="B97" s="1301" t="s">
        <v>1280</v>
      </c>
      <c r="C97" s="1486">
        <v>250</v>
      </c>
      <c r="D97" s="1385">
        <f t="shared" si="3"/>
        <v>250</v>
      </c>
      <c r="E97" s="881"/>
      <c r="F97" s="881"/>
      <c r="G97" s="881"/>
      <c r="H97" s="881"/>
      <c r="I97" s="881"/>
      <c r="J97" s="881"/>
      <c r="K97" s="881"/>
      <c r="L97" s="881"/>
      <c r="M97" s="881"/>
      <c r="N97" s="881"/>
      <c r="O97" s="881"/>
      <c r="P97" s="881"/>
      <c r="Q97" s="881"/>
      <c r="R97" s="881"/>
      <c r="S97" s="881"/>
      <c r="T97" s="881"/>
      <c r="U97" s="881"/>
      <c r="V97" s="881"/>
      <c r="W97" s="881"/>
      <c r="X97" s="881"/>
      <c r="Y97" s="881"/>
      <c r="Z97" s="881"/>
      <c r="AA97" s="881"/>
      <c r="AB97" s="881"/>
      <c r="AC97" s="881"/>
      <c r="AD97" s="881"/>
      <c r="AE97" s="881"/>
      <c r="AF97" s="881"/>
      <c r="AG97" s="881"/>
      <c r="AH97" s="881"/>
      <c r="AI97" s="881"/>
      <c r="AJ97" s="881"/>
      <c r="AK97" s="881"/>
      <c r="AL97" s="881"/>
      <c r="AM97" s="881"/>
      <c r="AN97" s="881"/>
      <c r="AO97" s="881"/>
      <c r="AP97" s="881"/>
      <c r="AQ97" s="881"/>
      <c r="AR97" s="881"/>
      <c r="AS97" s="881"/>
      <c r="AT97" s="881"/>
      <c r="AU97" s="881"/>
      <c r="AV97" s="881"/>
      <c r="AW97" s="881"/>
      <c r="AX97" s="881"/>
      <c r="AY97" s="881"/>
      <c r="AZ97" s="881"/>
      <c r="BA97" s="881"/>
      <c r="BB97" s="881"/>
      <c r="BC97" s="881"/>
      <c r="BD97" s="881"/>
      <c r="BE97" s="881"/>
      <c r="BF97" s="881"/>
      <c r="BG97" s="881"/>
      <c r="BH97" s="881"/>
      <c r="BI97" s="881"/>
    </row>
    <row r="98" spans="1:61" ht="14.4" thickBot="1" x14ac:dyDescent="0.3">
      <c r="A98" s="881"/>
      <c r="B98" s="1301" t="s">
        <v>1281</v>
      </c>
      <c r="C98" s="1483">
        <v>10430</v>
      </c>
      <c r="D98" s="1387">
        <f t="shared" ref="D98" si="4">+C98*0</f>
        <v>0</v>
      </c>
      <c r="E98" s="881"/>
      <c r="F98" s="881"/>
      <c r="G98" s="881"/>
      <c r="H98" s="881"/>
      <c r="I98" s="881"/>
      <c r="J98" s="881"/>
      <c r="K98" s="881"/>
      <c r="L98" s="881"/>
      <c r="M98" s="881"/>
      <c r="N98" s="881"/>
      <c r="O98" s="881"/>
      <c r="P98" s="881"/>
      <c r="Q98" s="881"/>
      <c r="R98" s="881"/>
      <c r="S98" s="881"/>
      <c r="T98" s="881"/>
      <c r="U98" s="881"/>
      <c r="V98" s="881"/>
      <c r="W98" s="881"/>
      <c r="X98" s="881"/>
      <c r="Y98" s="881"/>
      <c r="Z98" s="881"/>
      <c r="AA98" s="881"/>
      <c r="AB98" s="881"/>
      <c r="AC98" s="881"/>
      <c r="AD98" s="881"/>
      <c r="AE98" s="881"/>
      <c r="AF98" s="881"/>
      <c r="AG98" s="881"/>
      <c r="AH98" s="881"/>
      <c r="AI98" s="881"/>
      <c r="AJ98" s="881"/>
      <c r="AK98" s="881"/>
      <c r="AL98" s="881"/>
      <c r="AM98" s="881"/>
      <c r="AN98" s="881"/>
      <c r="AO98" s="881"/>
      <c r="AP98" s="881"/>
      <c r="AQ98" s="881"/>
      <c r="AR98" s="881"/>
      <c r="AS98" s="881"/>
      <c r="AT98" s="881"/>
      <c r="AU98" s="881"/>
      <c r="AV98" s="881"/>
      <c r="AW98" s="881"/>
      <c r="AX98" s="881"/>
      <c r="AY98" s="881"/>
      <c r="AZ98" s="881"/>
      <c r="BA98" s="881"/>
      <c r="BB98" s="881"/>
      <c r="BC98" s="881"/>
      <c r="BD98" s="881"/>
      <c r="BE98" s="881"/>
      <c r="BF98" s="881"/>
      <c r="BG98" s="881"/>
      <c r="BH98" s="881"/>
      <c r="BI98" s="881"/>
    </row>
    <row r="99" spans="1:61" ht="15.6" thickBot="1" x14ac:dyDescent="0.3">
      <c r="A99" s="881"/>
      <c r="B99" s="1301" t="s">
        <v>1303</v>
      </c>
      <c r="C99" s="1483">
        <v>1000</v>
      </c>
      <c r="D99" s="1385">
        <f>+C99</f>
        <v>1000</v>
      </c>
      <c r="E99" s="881"/>
      <c r="F99" s="881"/>
      <c r="G99" s="881"/>
      <c r="H99" s="881"/>
      <c r="I99" s="881"/>
      <c r="J99" s="881"/>
      <c r="K99" s="881"/>
      <c r="L99" s="881"/>
      <c r="M99" s="881"/>
      <c r="N99" s="881"/>
      <c r="O99" s="881"/>
      <c r="P99" s="881"/>
      <c r="Q99" s="881"/>
      <c r="R99" s="881"/>
      <c r="S99" s="881"/>
      <c r="T99" s="881"/>
      <c r="U99" s="881"/>
      <c r="V99" s="881"/>
      <c r="W99" s="881"/>
      <c r="X99" s="881"/>
      <c r="Y99" s="881"/>
      <c r="Z99" s="881"/>
      <c r="AA99" s="881"/>
      <c r="AB99" s="881"/>
      <c r="AC99" s="881"/>
      <c r="AD99" s="881"/>
      <c r="AE99" s="881"/>
      <c r="AF99" s="881"/>
      <c r="AG99" s="881"/>
      <c r="AH99" s="881"/>
      <c r="AI99" s="881"/>
      <c r="AJ99" s="881"/>
      <c r="AK99" s="881"/>
      <c r="AL99" s="881"/>
      <c r="AM99" s="881"/>
      <c r="AN99" s="881"/>
      <c r="AO99" s="881"/>
      <c r="AP99" s="881"/>
      <c r="AQ99" s="881"/>
      <c r="AR99" s="881"/>
      <c r="AS99" s="881"/>
      <c r="AT99" s="881"/>
      <c r="AU99" s="881"/>
      <c r="AV99" s="881"/>
      <c r="AW99" s="881"/>
      <c r="AX99" s="881"/>
      <c r="AY99" s="881"/>
      <c r="AZ99" s="881"/>
      <c r="BA99" s="881"/>
      <c r="BB99" s="881"/>
      <c r="BC99" s="881"/>
      <c r="BD99" s="881"/>
      <c r="BE99" s="881"/>
      <c r="BF99" s="881"/>
      <c r="BG99" s="881"/>
      <c r="BH99" s="881"/>
      <c r="BI99" s="881"/>
    </row>
    <row r="100" spans="1:61" ht="14.4" thickBot="1" x14ac:dyDescent="0.3">
      <c r="A100" s="881"/>
      <c r="B100" s="1301" t="s">
        <v>1282</v>
      </c>
      <c r="C100" s="1486">
        <v>250</v>
      </c>
      <c r="D100" s="1385">
        <f>+C100</f>
        <v>250</v>
      </c>
      <c r="E100" s="881"/>
      <c r="F100" s="881"/>
      <c r="G100" s="881"/>
      <c r="H100" s="881"/>
      <c r="I100" s="881"/>
      <c r="J100" s="881"/>
      <c r="K100" s="881"/>
      <c r="L100" s="881"/>
      <c r="M100" s="881"/>
      <c r="N100" s="881"/>
      <c r="O100" s="881"/>
      <c r="P100" s="881"/>
      <c r="Q100" s="881"/>
      <c r="R100" s="881"/>
      <c r="S100" s="881"/>
      <c r="T100" s="881"/>
      <c r="U100" s="881"/>
      <c r="V100" s="881"/>
      <c r="W100" s="881"/>
      <c r="X100" s="881"/>
      <c r="Y100" s="881"/>
      <c r="Z100" s="881"/>
      <c r="AA100" s="881"/>
      <c r="AB100" s="881"/>
      <c r="AC100" s="881"/>
      <c r="AD100" s="881"/>
      <c r="AE100" s="881"/>
      <c r="AF100" s="881"/>
      <c r="AG100" s="881"/>
      <c r="AH100" s="881"/>
      <c r="AI100" s="881"/>
      <c r="AJ100" s="881"/>
      <c r="AK100" s="881"/>
      <c r="AL100" s="881"/>
      <c r="AM100" s="881"/>
      <c r="AN100" s="881"/>
      <c r="AO100" s="881"/>
      <c r="AP100" s="881"/>
      <c r="AQ100" s="881"/>
      <c r="AR100" s="881"/>
      <c r="AS100" s="881"/>
      <c r="AT100" s="881"/>
      <c r="AU100" s="881"/>
      <c r="AV100" s="881"/>
      <c r="AW100" s="881"/>
      <c r="AX100" s="881"/>
      <c r="AY100" s="881"/>
      <c r="AZ100" s="881"/>
      <c r="BA100" s="881"/>
      <c r="BB100" s="881"/>
      <c r="BC100" s="881"/>
      <c r="BD100" s="881"/>
      <c r="BE100" s="881"/>
      <c r="BF100" s="881"/>
      <c r="BG100" s="881"/>
      <c r="BH100" s="881"/>
      <c r="BI100" s="881"/>
    </row>
    <row r="101" spans="1:61" ht="14.4" thickBot="1" x14ac:dyDescent="0.3">
      <c r="A101" s="881"/>
      <c r="B101" s="1302" t="s">
        <v>1343</v>
      </c>
      <c r="C101" s="1483">
        <f>+SUM(C91:C100)</f>
        <v>40670</v>
      </c>
      <c r="D101" s="1484">
        <f>+SUM(D91:D100)</f>
        <v>30240</v>
      </c>
      <c r="E101" s="881"/>
      <c r="F101" s="881"/>
      <c r="G101" s="881"/>
      <c r="H101" s="881"/>
      <c r="I101" s="881"/>
      <c r="J101" s="881"/>
      <c r="K101" s="881"/>
      <c r="L101" s="881"/>
      <c r="M101" s="881"/>
      <c r="N101" s="881"/>
      <c r="O101" s="881"/>
      <c r="P101" s="881"/>
      <c r="Q101" s="881"/>
      <c r="R101" s="881"/>
      <c r="S101" s="881"/>
      <c r="T101" s="881"/>
      <c r="U101" s="881"/>
      <c r="V101" s="881"/>
      <c r="W101" s="881"/>
      <c r="X101" s="881"/>
      <c r="Y101" s="881"/>
      <c r="Z101" s="881"/>
      <c r="AA101" s="881"/>
      <c r="AB101" s="881"/>
      <c r="AC101" s="881"/>
      <c r="AD101" s="881"/>
      <c r="AE101" s="881"/>
      <c r="AF101" s="881"/>
      <c r="AG101" s="881"/>
      <c r="AH101" s="881"/>
      <c r="AI101" s="881"/>
      <c r="AJ101" s="881"/>
      <c r="AK101" s="881"/>
      <c r="AL101" s="881"/>
      <c r="AM101" s="881"/>
      <c r="AN101" s="881"/>
      <c r="AO101" s="881"/>
      <c r="AP101" s="881"/>
      <c r="AQ101" s="881"/>
      <c r="AR101" s="881"/>
      <c r="AS101" s="881"/>
      <c r="AT101" s="881"/>
      <c r="AU101" s="881"/>
      <c r="AV101" s="881"/>
      <c r="AW101" s="881"/>
      <c r="AX101" s="881"/>
      <c r="AY101" s="881"/>
      <c r="AZ101" s="881"/>
      <c r="BA101" s="881"/>
      <c r="BB101" s="881"/>
      <c r="BC101" s="881"/>
      <c r="BD101" s="881"/>
      <c r="BE101" s="881"/>
      <c r="BF101" s="881"/>
      <c r="BG101" s="881"/>
      <c r="BH101" s="881"/>
      <c r="BI101" s="881"/>
    </row>
    <row r="102" spans="1:61" x14ac:dyDescent="0.25">
      <c r="A102" s="881"/>
      <c r="B102" s="1156"/>
      <c r="C102" s="881"/>
      <c r="D102" s="881"/>
      <c r="E102" s="881"/>
      <c r="F102" s="881"/>
      <c r="G102" s="881"/>
      <c r="H102" s="881"/>
      <c r="I102" s="881"/>
      <c r="J102" s="881"/>
      <c r="K102" s="881"/>
      <c r="L102" s="881"/>
      <c r="M102" s="881"/>
      <c r="N102" s="881"/>
      <c r="O102" s="881"/>
      <c r="P102" s="881"/>
      <c r="Q102" s="881"/>
      <c r="R102" s="881"/>
      <c r="S102" s="881"/>
      <c r="T102" s="881"/>
      <c r="U102" s="881"/>
      <c r="V102" s="881"/>
      <c r="W102" s="881"/>
      <c r="X102" s="881"/>
      <c r="Y102" s="881"/>
      <c r="Z102" s="881"/>
      <c r="AA102" s="881"/>
      <c r="AB102" s="881"/>
      <c r="AC102" s="881"/>
      <c r="AD102" s="881"/>
      <c r="AE102" s="881"/>
      <c r="AF102" s="881"/>
      <c r="AG102" s="881"/>
      <c r="AH102" s="881"/>
      <c r="AI102" s="881"/>
      <c r="AJ102" s="881"/>
      <c r="AK102" s="881"/>
      <c r="AL102" s="881"/>
      <c r="AM102" s="881"/>
      <c r="AN102" s="881"/>
      <c r="AO102" s="881"/>
      <c r="AP102" s="881"/>
      <c r="AQ102" s="881"/>
      <c r="AR102" s="881"/>
      <c r="AS102" s="881"/>
      <c r="AT102" s="881"/>
      <c r="AU102" s="881"/>
      <c r="AV102" s="881"/>
      <c r="AW102" s="881"/>
      <c r="AX102" s="881"/>
      <c r="AY102" s="881"/>
      <c r="AZ102" s="881"/>
      <c r="BA102" s="881"/>
      <c r="BB102" s="881"/>
      <c r="BC102" s="881"/>
      <c r="BD102" s="881"/>
      <c r="BE102" s="881"/>
      <c r="BF102" s="881"/>
      <c r="BG102" s="881"/>
      <c r="BH102" s="881"/>
      <c r="BI102" s="881"/>
    </row>
    <row r="103" spans="1:61" x14ac:dyDescent="0.25">
      <c r="A103" s="881"/>
      <c r="B103" s="1156"/>
      <c r="C103" s="881"/>
      <c r="D103" s="881"/>
      <c r="E103" s="881"/>
      <c r="F103" s="881"/>
      <c r="G103" s="881"/>
      <c r="H103" s="881"/>
      <c r="I103" s="881"/>
      <c r="J103" s="881"/>
      <c r="K103" s="881"/>
      <c r="L103" s="881"/>
      <c r="M103" s="881"/>
      <c r="N103" s="881"/>
      <c r="O103" s="881"/>
      <c r="P103" s="881"/>
      <c r="Q103" s="881"/>
      <c r="R103" s="881"/>
      <c r="S103" s="881"/>
      <c r="T103" s="881"/>
      <c r="U103" s="881"/>
      <c r="V103" s="881"/>
      <c r="W103" s="881"/>
      <c r="X103" s="881"/>
      <c r="Y103" s="881"/>
      <c r="Z103" s="881"/>
      <c r="AA103" s="881"/>
      <c r="AB103" s="881"/>
      <c r="AC103" s="881"/>
      <c r="AD103" s="881"/>
      <c r="AE103" s="881"/>
      <c r="AF103" s="881"/>
      <c r="AG103" s="881"/>
      <c r="AH103" s="881"/>
      <c r="AI103" s="881"/>
      <c r="AJ103" s="881"/>
      <c r="AK103" s="881"/>
      <c r="AL103" s="881"/>
      <c r="AM103" s="881"/>
      <c r="AN103" s="881"/>
      <c r="AO103" s="881"/>
      <c r="AP103" s="881"/>
      <c r="AQ103" s="881"/>
      <c r="AR103" s="881"/>
      <c r="AS103" s="881"/>
      <c r="AT103" s="881"/>
      <c r="AU103" s="881"/>
      <c r="AV103" s="881"/>
      <c r="AW103" s="881"/>
      <c r="AX103" s="881"/>
      <c r="AY103" s="881"/>
      <c r="AZ103" s="881"/>
      <c r="BA103" s="881"/>
      <c r="BB103" s="881"/>
      <c r="BC103" s="881"/>
      <c r="BD103" s="881"/>
      <c r="BE103" s="881"/>
      <c r="BF103" s="881"/>
      <c r="BG103" s="881"/>
      <c r="BH103" s="881"/>
      <c r="BI103" s="881"/>
    </row>
    <row r="104" spans="1:61" ht="13.8" thickBot="1" x14ac:dyDescent="0.3">
      <c r="A104" s="881"/>
      <c r="B104" s="1156"/>
      <c r="C104" s="881"/>
      <c r="D104" s="881"/>
      <c r="E104" s="881"/>
      <c r="F104" s="881"/>
      <c r="G104" s="881"/>
      <c r="H104" s="881"/>
      <c r="I104" s="881"/>
      <c r="J104" s="881"/>
      <c r="K104" s="881"/>
      <c r="L104" s="881"/>
      <c r="M104" s="881"/>
      <c r="N104" s="881"/>
      <c r="O104" s="881"/>
      <c r="P104" s="881"/>
      <c r="Q104" s="881"/>
      <c r="R104" s="881"/>
      <c r="S104" s="881"/>
      <c r="T104" s="881"/>
      <c r="U104" s="881"/>
      <c r="V104" s="881"/>
      <c r="W104" s="881"/>
      <c r="X104" s="881"/>
      <c r="Y104" s="881"/>
      <c r="Z104" s="881"/>
      <c r="AA104" s="881"/>
      <c r="AB104" s="881"/>
      <c r="AC104" s="881"/>
      <c r="AD104" s="881"/>
      <c r="AE104" s="881"/>
      <c r="AF104" s="881"/>
      <c r="AG104" s="881"/>
      <c r="AH104" s="881"/>
      <c r="AI104" s="881"/>
      <c r="AJ104" s="881"/>
      <c r="AK104" s="881"/>
      <c r="AL104" s="881"/>
      <c r="AM104" s="881"/>
      <c r="AN104" s="881"/>
      <c r="AO104" s="881"/>
      <c r="AP104" s="881"/>
      <c r="AQ104" s="881"/>
      <c r="AR104" s="881"/>
      <c r="AS104" s="881"/>
      <c r="AT104" s="881"/>
      <c r="AU104" s="881"/>
      <c r="AV104" s="881"/>
      <c r="AW104" s="881"/>
      <c r="AX104" s="881"/>
      <c r="AY104" s="881"/>
      <c r="AZ104" s="881"/>
      <c r="BA104" s="881"/>
      <c r="BB104" s="881"/>
      <c r="BC104" s="881"/>
      <c r="BD104" s="881"/>
      <c r="BE104" s="881"/>
      <c r="BF104" s="881"/>
      <c r="BG104" s="881"/>
      <c r="BH104" s="881"/>
      <c r="BI104" s="881"/>
    </row>
    <row r="105" spans="1:61" ht="29.4" thickBot="1" x14ac:dyDescent="0.3">
      <c r="A105" s="881"/>
      <c r="B105" s="1402" t="s">
        <v>125</v>
      </c>
      <c r="C105" s="1412" t="s">
        <v>1350</v>
      </c>
      <c r="D105" s="1412" t="s">
        <v>1351</v>
      </c>
      <c r="E105" s="881"/>
      <c r="F105" s="881"/>
      <c r="G105" s="881"/>
      <c r="H105" s="881"/>
      <c r="I105" s="881"/>
      <c r="J105" s="881"/>
      <c r="K105" s="881"/>
      <c r="L105" s="881"/>
      <c r="M105" s="881"/>
      <c r="N105" s="881"/>
      <c r="O105" s="881"/>
      <c r="P105" s="881"/>
      <c r="Q105" s="881"/>
      <c r="R105" s="881"/>
      <c r="S105" s="881"/>
      <c r="T105" s="881"/>
      <c r="U105" s="881"/>
      <c r="V105" s="881"/>
      <c r="W105" s="881"/>
      <c r="X105" s="881"/>
      <c r="Y105" s="881"/>
      <c r="Z105" s="881"/>
      <c r="AA105" s="881"/>
      <c r="AB105" s="881"/>
      <c r="AC105" s="881"/>
      <c r="AD105" s="881"/>
      <c r="AE105" s="881"/>
      <c r="AF105" s="881"/>
      <c r="AG105" s="881"/>
      <c r="AH105" s="881"/>
      <c r="AI105" s="881"/>
      <c r="AJ105" s="881"/>
      <c r="AK105" s="881"/>
      <c r="AL105" s="881"/>
      <c r="AM105" s="881"/>
      <c r="AN105" s="881"/>
      <c r="AO105" s="881"/>
      <c r="AP105" s="881"/>
      <c r="AQ105" s="881"/>
      <c r="AR105" s="881"/>
      <c r="AS105" s="881"/>
      <c r="AT105" s="881"/>
      <c r="AU105" s="881"/>
      <c r="AV105" s="881"/>
      <c r="AW105" s="881"/>
      <c r="AX105" s="881"/>
      <c r="AY105" s="881"/>
      <c r="AZ105" s="881"/>
      <c r="BA105" s="881"/>
      <c r="BB105" s="881"/>
      <c r="BC105" s="881"/>
      <c r="BD105" s="881"/>
      <c r="BE105" s="881"/>
      <c r="BF105" s="881"/>
      <c r="BG105" s="881"/>
      <c r="BH105" s="881"/>
      <c r="BI105" s="881"/>
    </row>
    <row r="106" spans="1:61" ht="14.4" thickBot="1" x14ac:dyDescent="0.3">
      <c r="A106" s="881"/>
      <c r="B106" s="1490" t="s">
        <v>1352</v>
      </c>
      <c r="C106" s="1491"/>
      <c r="D106" s="1492"/>
      <c r="E106" s="881"/>
      <c r="F106" s="881"/>
      <c r="G106" s="881"/>
      <c r="H106" s="881"/>
      <c r="I106" s="881"/>
      <c r="J106" s="881"/>
      <c r="K106" s="881"/>
      <c r="L106" s="881"/>
      <c r="M106" s="881"/>
      <c r="N106" s="881"/>
      <c r="O106" s="881"/>
      <c r="P106" s="881"/>
      <c r="Q106" s="881"/>
      <c r="R106" s="881"/>
      <c r="S106" s="881"/>
      <c r="T106" s="881"/>
      <c r="U106" s="881"/>
      <c r="V106" s="881"/>
      <c r="W106" s="881"/>
      <c r="X106" s="881"/>
      <c r="Y106" s="881"/>
      <c r="Z106" s="881"/>
      <c r="AA106" s="881"/>
      <c r="AB106" s="881"/>
      <c r="AC106" s="881"/>
      <c r="AD106" s="881"/>
      <c r="AE106" s="881"/>
      <c r="AF106" s="881"/>
      <c r="AG106" s="881"/>
      <c r="AH106" s="881"/>
      <c r="AI106" s="881"/>
      <c r="AJ106" s="881"/>
      <c r="AK106" s="881"/>
      <c r="AL106" s="881"/>
      <c r="AM106" s="881"/>
      <c r="AN106" s="881"/>
      <c r="AO106" s="881"/>
      <c r="AP106" s="881"/>
      <c r="AQ106" s="881"/>
      <c r="AR106" s="881"/>
      <c r="AS106" s="881"/>
      <c r="AT106" s="881"/>
      <c r="AU106" s="881"/>
      <c r="AV106" s="881"/>
      <c r="AW106" s="881"/>
      <c r="AX106" s="881"/>
      <c r="AY106" s="881"/>
      <c r="AZ106" s="881"/>
      <c r="BA106" s="881"/>
      <c r="BB106" s="881"/>
      <c r="BC106" s="881"/>
      <c r="BD106" s="881"/>
      <c r="BE106" s="881"/>
      <c r="BF106" s="881"/>
      <c r="BG106" s="881"/>
      <c r="BH106" s="881"/>
      <c r="BI106" s="881"/>
    </row>
    <row r="107" spans="1:61" ht="14.4" thickBot="1" x14ac:dyDescent="0.3">
      <c r="A107" s="881"/>
      <c r="B107" s="1403" t="s">
        <v>1353</v>
      </c>
      <c r="C107" s="1404">
        <v>4934</v>
      </c>
      <c r="D107" s="1404">
        <v>10</v>
      </c>
      <c r="E107" s="881"/>
      <c r="F107" s="881"/>
      <c r="G107" s="881"/>
      <c r="H107" s="881"/>
      <c r="I107" s="881"/>
      <c r="J107" s="881"/>
      <c r="K107" s="881"/>
      <c r="L107" s="881"/>
      <c r="M107" s="881"/>
      <c r="N107" s="881"/>
      <c r="O107" s="881"/>
      <c r="P107" s="881"/>
      <c r="Q107" s="881"/>
      <c r="R107" s="881"/>
      <c r="S107" s="881"/>
      <c r="T107" s="881"/>
      <c r="U107" s="881"/>
      <c r="V107" s="881"/>
      <c r="W107" s="881"/>
      <c r="X107" s="881"/>
      <c r="Y107" s="881"/>
      <c r="Z107" s="881"/>
      <c r="AA107" s="881"/>
      <c r="AB107" s="881"/>
      <c r="AC107" s="881"/>
      <c r="AD107" s="881"/>
      <c r="AE107" s="881"/>
      <c r="AF107" s="881"/>
      <c r="AG107" s="881"/>
      <c r="AH107" s="881"/>
      <c r="AI107" s="881"/>
      <c r="AJ107" s="881"/>
      <c r="AK107" s="881"/>
      <c r="AL107" s="881"/>
      <c r="AM107" s="881"/>
      <c r="AN107" s="881"/>
      <c r="AO107" s="881"/>
      <c r="AP107" s="881"/>
      <c r="AQ107" s="881"/>
      <c r="AR107" s="881"/>
      <c r="AS107" s="881"/>
      <c r="AT107" s="881"/>
      <c r="AU107" s="881"/>
      <c r="AV107" s="881"/>
      <c r="AW107" s="881"/>
      <c r="AX107" s="881"/>
      <c r="AY107" s="881"/>
      <c r="AZ107" s="881"/>
      <c r="BA107" s="881"/>
      <c r="BB107" s="881"/>
      <c r="BC107" s="881"/>
      <c r="BD107" s="881"/>
      <c r="BE107" s="881"/>
      <c r="BF107" s="881"/>
      <c r="BG107" s="881"/>
      <c r="BH107" s="881"/>
      <c r="BI107" s="881"/>
    </row>
    <row r="108" spans="1:61" ht="14.4" customHeight="1" thickBot="1" x14ac:dyDescent="0.3">
      <c r="A108" s="881"/>
      <c r="B108" s="1403" t="s">
        <v>1354</v>
      </c>
      <c r="C108" s="1404">
        <v>711</v>
      </c>
      <c r="D108" s="1404">
        <v>1</v>
      </c>
      <c r="E108" s="881"/>
      <c r="F108" s="881"/>
      <c r="G108" s="881"/>
      <c r="H108" s="881"/>
      <c r="I108" s="881"/>
      <c r="J108" s="881"/>
      <c r="K108" s="881"/>
      <c r="L108" s="881"/>
      <c r="M108" s="881"/>
      <c r="N108" s="881"/>
      <c r="O108" s="881"/>
      <c r="P108" s="881"/>
      <c r="Q108" s="881"/>
      <c r="R108" s="881"/>
      <c r="S108" s="881"/>
      <c r="T108" s="881"/>
      <c r="U108" s="881"/>
      <c r="V108" s="881"/>
      <c r="W108" s="881"/>
      <c r="X108" s="881"/>
      <c r="Y108" s="881"/>
      <c r="Z108" s="881"/>
      <c r="AA108" s="881"/>
      <c r="AB108" s="881"/>
      <c r="AC108" s="881"/>
      <c r="AD108" s="881"/>
      <c r="AE108" s="881"/>
      <c r="AF108" s="881"/>
      <c r="AG108" s="881"/>
      <c r="AH108" s="881"/>
      <c r="AI108" s="881"/>
      <c r="AJ108" s="881"/>
      <c r="AK108" s="881"/>
      <c r="AL108" s="881"/>
      <c r="AM108" s="881"/>
      <c r="AN108" s="881"/>
      <c r="AO108" s="881"/>
      <c r="AP108" s="881"/>
      <c r="AQ108" s="881"/>
      <c r="AR108" s="881"/>
      <c r="AS108" s="881"/>
      <c r="AT108" s="881"/>
      <c r="AU108" s="881"/>
      <c r="AV108" s="881"/>
      <c r="AW108" s="881"/>
      <c r="AX108" s="881"/>
      <c r="AY108" s="881"/>
      <c r="AZ108" s="881"/>
      <c r="BA108" s="881"/>
      <c r="BB108" s="881"/>
      <c r="BC108" s="881"/>
      <c r="BD108" s="881"/>
      <c r="BE108" s="881"/>
      <c r="BF108" s="881"/>
      <c r="BG108" s="881"/>
      <c r="BH108" s="881"/>
      <c r="BI108" s="881"/>
    </row>
    <row r="109" spans="1:61" ht="14.4" thickBot="1" x14ac:dyDescent="0.3">
      <c r="A109" s="881"/>
      <c r="B109" s="1403" t="s">
        <v>1355</v>
      </c>
      <c r="C109" s="1404">
        <v>2838</v>
      </c>
      <c r="D109" s="1404">
        <v>6</v>
      </c>
      <c r="E109" s="881"/>
      <c r="F109" s="881"/>
      <c r="G109" s="881"/>
      <c r="H109" s="881"/>
      <c r="I109" s="881"/>
      <c r="J109" s="881"/>
      <c r="K109" s="881"/>
      <c r="L109" s="881"/>
      <c r="M109" s="881"/>
      <c r="N109" s="881"/>
      <c r="O109" s="881"/>
      <c r="P109" s="881"/>
      <c r="Q109" s="881"/>
      <c r="R109" s="881"/>
      <c r="S109" s="881"/>
      <c r="T109" s="881"/>
      <c r="U109" s="881"/>
      <c r="V109" s="881"/>
      <c r="W109" s="881"/>
      <c r="X109" s="881"/>
      <c r="Y109" s="881"/>
      <c r="Z109" s="881"/>
      <c r="AA109" s="881"/>
      <c r="AB109" s="881"/>
      <c r="AC109" s="881"/>
      <c r="AD109" s="881"/>
      <c r="AE109" s="881"/>
      <c r="AF109" s="881"/>
      <c r="AG109" s="881"/>
      <c r="AH109" s="881"/>
      <c r="AI109" s="881"/>
      <c r="AJ109" s="881"/>
      <c r="AK109" s="881"/>
      <c r="AL109" s="881"/>
      <c r="AM109" s="881"/>
      <c r="AN109" s="881"/>
      <c r="AO109" s="881"/>
      <c r="AP109" s="881"/>
      <c r="AQ109" s="881"/>
      <c r="AR109" s="881"/>
      <c r="AS109" s="881"/>
      <c r="AT109" s="881"/>
      <c r="AU109" s="881"/>
      <c r="AV109" s="881"/>
      <c r="AW109" s="881"/>
      <c r="AX109" s="881"/>
      <c r="AY109" s="881"/>
      <c r="AZ109" s="881"/>
      <c r="BA109" s="881"/>
      <c r="BB109" s="881"/>
      <c r="BC109" s="881"/>
      <c r="BD109" s="881"/>
      <c r="BE109" s="881"/>
      <c r="BF109" s="881"/>
      <c r="BG109" s="881"/>
      <c r="BH109" s="881"/>
      <c r="BI109" s="881"/>
    </row>
    <row r="110" spans="1:61" ht="14.4" thickBot="1" x14ac:dyDescent="0.3">
      <c r="A110" s="881"/>
      <c r="B110" s="1403" t="s">
        <v>1356</v>
      </c>
      <c r="C110" s="1404">
        <v>5</v>
      </c>
      <c r="D110" s="1404">
        <v>0</v>
      </c>
      <c r="E110" s="881"/>
      <c r="F110" s="881"/>
      <c r="G110" s="881"/>
      <c r="H110" s="881"/>
      <c r="I110" s="881"/>
      <c r="J110" s="881"/>
      <c r="K110" s="881"/>
      <c r="L110" s="881"/>
      <c r="M110" s="881"/>
      <c r="N110" s="881"/>
      <c r="O110" s="881"/>
      <c r="P110" s="881"/>
      <c r="Q110" s="881"/>
      <c r="R110" s="881"/>
      <c r="S110" s="881"/>
      <c r="T110" s="881"/>
      <c r="U110" s="881"/>
      <c r="V110" s="881"/>
      <c r="W110" s="881"/>
      <c r="X110" s="881"/>
      <c r="Y110" s="881"/>
      <c r="Z110" s="881"/>
      <c r="AA110" s="881"/>
      <c r="AB110" s="881"/>
      <c r="AC110" s="881"/>
      <c r="AD110" s="881"/>
      <c r="AE110" s="881"/>
      <c r="AF110" s="881"/>
      <c r="AG110" s="881"/>
      <c r="AH110" s="881"/>
      <c r="AI110" s="881"/>
      <c r="AJ110" s="881"/>
      <c r="AK110" s="881"/>
      <c r="AL110" s="881"/>
      <c r="AM110" s="881"/>
      <c r="AN110" s="881"/>
      <c r="AO110" s="881"/>
      <c r="AP110" s="881"/>
      <c r="AQ110" s="881"/>
      <c r="AR110" s="881"/>
      <c r="AS110" s="881"/>
      <c r="AT110" s="881"/>
      <c r="AU110" s="881"/>
      <c r="AV110" s="881"/>
      <c r="AW110" s="881"/>
      <c r="AX110" s="881"/>
      <c r="AY110" s="881"/>
      <c r="AZ110" s="881"/>
      <c r="BA110" s="881"/>
      <c r="BB110" s="881"/>
      <c r="BC110" s="881"/>
      <c r="BD110" s="881"/>
      <c r="BE110" s="881"/>
      <c r="BF110" s="881"/>
      <c r="BG110" s="881"/>
      <c r="BH110" s="881"/>
      <c r="BI110" s="881"/>
    </row>
    <row r="111" spans="1:61" ht="14.4" thickBot="1" x14ac:dyDescent="0.3">
      <c r="A111" s="881"/>
      <c r="B111" s="1403" t="s">
        <v>1357</v>
      </c>
      <c r="C111" s="1404">
        <v>3018</v>
      </c>
      <c r="D111" s="1404">
        <v>6</v>
      </c>
      <c r="E111" s="881"/>
      <c r="F111" s="881"/>
      <c r="G111" s="881"/>
      <c r="H111" s="881"/>
      <c r="I111" s="881"/>
      <c r="J111" s="881"/>
      <c r="K111" s="881"/>
      <c r="L111" s="881"/>
      <c r="M111" s="881"/>
      <c r="N111" s="881"/>
      <c r="O111" s="881"/>
      <c r="P111" s="881"/>
      <c r="Q111" s="881"/>
      <c r="R111" s="881"/>
      <c r="S111" s="881"/>
      <c r="T111" s="881"/>
      <c r="U111" s="881"/>
      <c r="V111" s="881"/>
      <c r="W111" s="881"/>
      <c r="X111" s="881"/>
      <c r="Y111" s="881"/>
      <c r="Z111" s="881"/>
      <c r="AA111" s="881"/>
      <c r="AB111" s="881"/>
      <c r="AC111" s="881"/>
      <c r="AD111" s="881"/>
      <c r="AE111" s="881"/>
      <c r="AF111" s="881"/>
      <c r="AG111" s="881"/>
      <c r="AH111" s="881"/>
      <c r="AI111" s="881"/>
      <c r="AJ111" s="881"/>
      <c r="AK111" s="881"/>
      <c r="AL111" s="881"/>
      <c r="AM111" s="881"/>
      <c r="AN111" s="881"/>
      <c r="AO111" s="881"/>
      <c r="AP111" s="881"/>
      <c r="AQ111" s="881"/>
      <c r="AR111" s="881"/>
      <c r="AS111" s="881"/>
      <c r="AT111" s="881"/>
      <c r="AU111" s="881"/>
      <c r="AV111" s="881"/>
      <c r="AW111" s="881"/>
      <c r="AX111" s="881"/>
      <c r="AY111" s="881"/>
      <c r="AZ111" s="881"/>
      <c r="BA111" s="881"/>
      <c r="BB111" s="881"/>
      <c r="BC111" s="881"/>
      <c r="BD111" s="881"/>
      <c r="BE111" s="881"/>
      <c r="BF111" s="881"/>
      <c r="BG111" s="881"/>
      <c r="BH111" s="881"/>
      <c r="BI111" s="881"/>
    </row>
    <row r="112" spans="1:61" ht="14.4" thickBot="1" x14ac:dyDescent="0.3">
      <c r="A112" s="881"/>
      <c r="B112" s="1403" t="s">
        <v>1358</v>
      </c>
      <c r="C112" s="1404">
        <v>13466</v>
      </c>
      <c r="D112" s="1404">
        <v>28</v>
      </c>
      <c r="E112" s="881"/>
      <c r="F112" s="881"/>
      <c r="G112" s="881"/>
      <c r="H112" s="881"/>
      <c r="I112" s="881"/>
      <c r="J112" s="881"/>
      <c r="K112" s="881"/>
      <c r="L112" s="881"/>
      <c r="M112" s="881"/>
      <c r="N112" s="881"/>
      <c r="O112" s="881"/>
      <c r="P112" s="881"/>
      <c r="Q112" s="881"/>
      <c r="R112" s="881"/>
      <c r="S112" s="881"/>
      <c r="T112" s="881"/>
      <c r="U112" s="881"/>
      <c r="V112" s="881"/>
      <c r="W112" s="881"/>
      <c r="X112" s="881"/>
      <c r="Y112" s="881"/>
      <c r="Z112" s="881"/>
      <c r="AA112" s="881"/>
      <c r="AB112" s="881"/>
      <c r="AC112" s="881"/>
      <c r="AD112" s="881"/>
      <c r="AE112" s="881"/>
      <c r="AF112" s="881"/>
      <c r="AG112" s="881"/>
      <c r="AH112" s="881"/>
      <c r="AI112" s="881"/>
      <c r="AJ112" s="881"/>
      <c r="AK112" s="881"/>
      <c r="AL112" s="881"/>
      <c r="AM112" s="881"/>
      <c r="AN112" s="881"/>
      <c r="AO112" s="881"/>
      <c r="AP112" s="881"/>
      <c r="AQ112" s="881"/>
      <c r="AR112" s="881"/>
      <c r="AS112" s="881"/>
      <c r="AT112" s="881"/>
      <c r="AU112" s="881"/>
      <c r="AV112" s="881"/>
      <c r="AW112" s="881"/>
      <c r="AX112" s="881"/>
      <c r="AY112" s="881"/>
      <c r="AZ112" s="881"/>
      <c r="BA112" s="881"/>
      <c r="BB112" s="881"/>
      <c r="BC112" s="881"/>
      <c r="BD112" s="881"/>
      <c r="BE112" s="881"/>
      <c r="BF112" s="881"/>
      <c r="BG112" s="881"/>
      <c r="BH112" s="881"/>
      <c r="BI112" s="881"/>
    </row>
    <row r="113" spans="1:61" ht="14.4" thickBot="1" x14ac:dyDescent="0.3">
      <c r="A113" s="881"/>
      <c r="B113" s="1405" t="s">
        <v>55</v>
      </c>
      <c r="C113" s="1406">
        <v>24970</v>
      </c>
      <c r="D113" s="1406">
        <v>52</v>
      </c>
      <c r="E113" s="881"/>
      <c r="F113" s="881"/>
      <c r="G113" s="881"/>
      <c r="H113" s="881"/>
      <c r="I113" s="881"/>
      <c r="J113" s="881"/>
      <c r="K113" s="881"/>
      <c r="L113" s="881"/>
      <c r="M113" s="881"/>
      <c r="N113" s="881"/>
      <c r="O113" s="881"/>
      <c r="P113" s="881"/>
      <c r="Q113" s="881"/>
      <c r="R113" s="881"/>
      <c r="S113" s="881"/>
      <c r="T113" s="881"/>
      <c r="U113" s="881"/>
      <c r="V113" s="881"/>
      <c r="W113" s="881"/>
      <c r="X113" s="881"/>
      <c r="Y113" s="881"/>
      <c r="Z113" s="881"/>
      <c r="AA113" s="881"/>
      <c r="AB113" s="881"/>
      <c r="AC113" s="881"/>
      <c r="AD113" s="881"/>
      <c r="AE113" s="881"/>
      <c r="AF113" s="881"/>
      <c r="AG113" s="881"/>
      <c r="AH113" s="881"/>
      <c r="AI113" s="881"/>
      <c r="AJ113" s="881"/>
      <c r="AK113" s="881"/>
      <c r="AL113" s="881"/>
      <c r="AM113" s="881"/>
      <c r="AN113" s="881"/>
      <c r="AO113" s="881"/>
      <c r="AP113" s="881"/>
      <c r="AQ113" s="881"/>
      <c r="AR113" s="881"/>
      <c r="AS113" s="881"/>
      <c r="AT113" s="881"/>
      <c r="AU113" s="881"/>
      <c r="AV113" s="881"/>
      <c r="AW113" s="881"/>
      <c r="AX113" s="881"/>
      <c r="AY113" s="881"/>
      <c r="AZ113" s="881"/>
      <c r="BA113" s="881"/>
      <c r="BB113" s="881"/>
      <c r="BC113" s="881"/>
      <c r="BD113" s="881"/>
      <c r="BE113" s="881"/>
      <c r="BF113" s="881"/>
      <c r="BG113" s="881"/>
      <c r="BH113" s="881"/>
      <c r="BI113" s="881"/>
    </row>
    <row r="114" spans="1:61" ht="14.4" thickBot="1" x14ac:dyDescent="0.3">
      <c r="A114" s="881"/>
      <c r="B114" s="1490" t="s">
        <v>1359</v>
      </c>
      <c r="C114" s="1491"/>
      <c r="D114" s="1492"/>
      <c r="E114" s="881"/>
      <c r="F114" s="881"/>
      <c r="G114" s="881"/>
      <c r="H114" s="881"/>
      <c r="I114" s="881"/>
      <c r="J114" s="881"/>
      <c r="K114" s="881"/>
      <c r="L114" s="881"/>
      <c r="M114" s="881"/>
      <c r="N114" s="881"/>
      <c r="O114" s="881"/>
      <c r="P114" s="881"/>
      <c r="Q114" s="881"/>
      <c r="R114" s="881"/>
      <c r="S114" s="881"/>
      <c r="T114" s="881"/>
      <c r="U114" s="881"/>
      <c r="V114" s="881"/>
      <c r="W114" s="881"/>
      <c r="X114" s="881"/>
      <c r="Y114" s="881"/>
      <c r="Z114" s="881"/>
      <c r="AA114" s="881"/>
      <c r="AB114" s="881"/>
      <c r="AC114" s="881"/>
      <c r="AD114" s="881"/>
      <c r="AE114" s="881"/>
      <c r="AF114" s="881"/>
      <c r="AG114" s="881"/>
      <c r="AH114" s="881"/>
      <c r="AI114" s="881"/>
      <c r="AJ114" s="881"/>
      <c r="AK114" s="881"/>
      <c r="AL114" s="881"/>
      <c r="AM114" s="881"/>
      <c r="AN114" s="881"/>
      <c r="AO114" s="881"/>
      <c r="AP114" s="881"/>
      <c r="AQ114" s="881"/>
      <c r="AR114" s="881"/>
      <c r="AS114" s="881"/>
      <c r="AT114" s="881"/>
      <c r="AU114" s="881"/>
      <c r="AV114" s="881"/>
      <c r="AW114" s="881"/>
      <c r="AX114" s="881"/>
      <c r="AY114" s="881"/>
      <c r="AZ114" s="881"/>
      <c r="BA114" s="881"/>
      <c r="BB114" s="881"/>
      <c r="BC114" s="881"/>
      <c r="BD114" s="881"/>
      <c r="BE114" s="881"/>
      <c r="BF114" s="881"/>
      <c r="BG114" s="881"/>
      <c r="BH114" s="881"/>
      <c r="BI114" s="881"/>
    </row>
    <row r="115" spans="1:61" ht="14.4" thickBot="1" x14ac:dyDescent="0.3">
      <c r="A115" s="881"/>
      <c r="B115" s="1403" t="s">
        <v>1360</v>
      </c>
      <c r="C115" s="1404">
        <v>1191</v>
      </c>
      <c r="D115" s="1404">
        <v>2</v>
      </c>
      <c r="E115" s="881"/>
      <c r="F115" s="881"/>
      <c r="G115" s="881"/>
      <c r="H115" s="881"/>
      <c r="I115" s="881"/>
      <c r="J115" s="881"/>
      <c r="K115" s="881"/>
      <c r="L115" s="881"/>
      <c r="M115" s="881"/>
      <c r="N115" s="881"/>
      <c r="O115" s="881"/>
      <c r="P115" s="881"/>
      <c r="Q115" s="881"/>
      <c r="R115" s="881"/>
      <c r="S115" s="881"/>
      <c r="T115" s="881"/>
      <c r="U115" s="881"/>
      <c r="V115" s="881"/>
      <c r="W115" s="881"/>
      <c r="X115" s="881"/>
      <c r="Y115" s="881"/>
      <c r="Z115" s="881"/>
      <c r="AA115" s="881"/>
      <c r="AB115" s="881"/>
      <c r="AC115" s="881"/>
      <c r="AD115" s="881"/>
      <c r="AE115" s="881"/>
      <c r="AF115" s="881"/>
      <c r="AG115" s="881"/>
      <c r="AH115" s="881"/>
      <c r="AI115" s="881"/>
      <c r="AJ115" s="881"/>
      <c r="AK115" s="881"/>
      <c r="AL115" s="881"/>
      <c r="AM115" s="881"/>
      <c r="AN115" s="881"/>
      <c r="AO115" s="881"/>
      <c r="AP115" s="881"/>
      <c r="AQ115" s="881"/>
      <c r="AR115" s="881"/>
      <c r="AS115" s="881"/>
      <c r="AT115" s="881"/>
      <c r="AU115" s="881"/>
      <c r="AV115" s="881"/>
      <c r="AW115" s="881"/>
      <c r="AX115" s="881"/>
      <c r="AY115" s="881"/>
      <c r="AZ115" s="881"/>
      <c r="BA115" s="881"/>
      <c r="BB115" s="881"/>
      <c r="BC115" s="881"/>
      <c r="BD115" s="881"/>
      <c r="BE115" s="881"/>
      <c r="BF115" s="881"/>
      <c r="BG115" s="881"/>
      <c r="BH115" s="881"/>
      <c r="BI115" s="881"/>
    </row>
    <row r="116" spans="1:61" ht="14.4" customHeight="1" thickBot="1" x14ac:dyDescent="0.3">
      <c r="A116" s="881"/>
      <c r="B116" s="1403" t="s">
        <v>1361</v>
      </c>
      <c r="C116" s="1404">
        <v>3366</v>
      </c>
      <c r="D116" s="1404">
        <v>7</v>
      </c>
      <c r="E116" s="881"/>
      <c r="F116" s="881"/>
      <c r="G116" s="881"/>
      <c r="H116" s="881"/>
      <c r="I116" s="881"/>
      <c r="J116" s="881"/>
      <c r="K116" s="881"/>
      <c r="L116" s="881"/>
      <c r="M116" s="881"/>
      <c r="N116" s="881"/>
      <c r="O116" s="881"/>
      <c r="P116" s="881"/>
      <c r="Q116" s="881"/>
      <c r="R116" s="881"/>
      <c r="S116" s="881"/>
      <c r="T116" s="881"/>
      <c r="U116" s="881"/>
      <c r="V116" s="881"/>
      <c r="W116" s="881"/>
      <c r="X116" s="881"/>
      <c r="Y116" s="881"/>
      <c r="Z116" s="881"/>
      <c r="AA116" s="881"/>
      <c r="AB116" s="881"/>
      <c r="AC116" s="881"/>
      <c r="AD116" s="881"/>
      <c r="AE116" s="881"/>
      <c r="AF116" s="881"/>
      <c r="AG116" s="881"/>
      <c r="AH116" s="881"/>
      <c r="AI116" s="881"/>
      <c r="AJ116" s="881"/>
      <c r="AK116" s="881"/>
      <c r="AL116" s="881"/>
      <c r="AM116" s="881"/>
      <c r="AN116" s="881"/>
      <c r="AO116" s="881"/>
      <c r="AP116" s="881"/>
      <c r="AQ116" s="881"/>
      <c r="AR116" s="881"/>
      <c r="AS116" s="881"/>
      <c r="AT116" s="881"/>
      <c r="AU116" s="881"/>
      <c r="AV116" s="881"/>
      <c r="AW116" s="881"/>
      <c r="AX116" s="881"/>
      <c r="AY116" s="881"/>
      <c r="AZ116" s="881"/>
      <c r="BA116" s="881"/>
      <c r="BB116" s="881"/>
      <c r="BC116" s="881"/>
      <c r="BD116" s="881"/>
      <c r="BE116" s="881"/>
      <c r="BF116" s="881"/>
      <c r="BG116" s="881"/>
      <c r="BH116" s="881"/>
      <c r="BI116" s="881"/>
    </row>
    <row r="117" spans="1:61" ht="14.4" thickBot="1" x14ac:dyDescent="0.3">
      <c r="A117" s="881"/>
      <c r="B117" s="1405" t="s">
        <v>55</v>
      </c>
      <c r="C117" s="1406">
        <v>4558</v>
      </c>
      <c r="D117" s="1406">
        <v>9</v>
      </c>
      <c r="E117" s="881"/>
      <c r="F117" s="881"/>
      <c r="G117" s="881"/>
      <c r="H117" s="881"/>
      <c r="I117" s="881"/>
      <c r="J117" s="881"/>
      <c r="K117" s="881"/>
      <c r="L117" s="881"/>
      <c r="M117" s="881"/>
      <c r="N117" s="881"/>
      <c r="O117" s="881"/>
      <c r="P117" s="881"/>
      <c r="Q117" s="881"/>
      <c r="R117" s="881"/>
      <c r="S117" s="881"/>
      <c r="T117" s="881"/>
      <c r="U117" s="881"/>
      <c r="V117" s="881"/>
      <c r="W117" s="881"/>
      <c r="X117" s="881"/>
      <c r="Y117" s="881"/>
      <c r="Z117" s="881"/>
      <c r="AA117" s="881"/>
      <c r="AB117" s="881"/>
      <c r="AC117" s="881"/>
      <c r="AD117" s="881"/>
      <c r="AE117" s="881"/>
      <c r="AF117" s="881"/>
      <c r="AG117" s="881"/>
      <c r="AH117" s="881"/>
      <c r="AI117" s="881"/>
      <c r="AJ117" s="881"/>
      <c r="AK117" s="881"/>
      <c r="AL117" s="881"/>
      <c r="AM117" s="881"/>
      <c r="AN117" s="881"/>
      <c r="AO117" s="881"/>
      <c r="AP117" s="881"/>
      <c r="AQ117" s="881"/>
      <c r="AR117" s="881"/>
      <c r="AS117" s="881"/>
      <c r="AT117" s="881"/>
      <c r="AU117" s="881"/>
      <c r="AV117" s="881"/>
      <c r="AW117" s="881"/>
      <c r="AX117" s="881"/>
      <c r="AY117" s="881"/>
      <c r="AZ117" s="881"/>
      <c r="BA117" s="881"/>
      <c r="BB117" s="881"/>
      <c r="BC117" s="881"/>
      <c r="BD117" s="881"/>
      <c r="BE117" s="881"/>
      <c r="BF117" s="881"/>
      <c r="BG117" s="881"/>
      <c r="BH117" s="881"/>
      <c r="BI117" s="881"/>
    </row>
    <row r="118" spans="1:61" ht="14.4" thickBot="1" x14ac:dyDescent="0.3">
      <c r="A118" s="881"/>
      <c r="B118" s="1490" t="s">
        <v>1362</v>
      </c>
      <c r="C118" s="1491"/>
      <c r="D118" s="1492"/>
      <c r="E118" s="881"/>
      <c r="F118" s="881"/>
      <c r="G118" s="881"/>
      <c r="H118" s="881"/>
      <c r="I118" s="881"/>
      <c r="J118" s="881"/>
      <c r="K118" s="881"/>
      <c r="L118" s="881"/>
      <c r="M118" s="881"/>
      <c r="N118" s="881"/>
      <c r="O118" s="881"/>
      <c r="P118" s="881"/>
      <c r="Q118" s="881"/>
      <c r="R118" s="881"/>
      <c r="S118" s="881"/>
      <c r="T118" s="881"/>
      <c r="U118" s="881"/>
      <c r="V118" s="881"/>
      <c r="W118" s="881"/>
      <c r="X118" s="881"/>
      <c r="Y118" s="881"/>
      <c r="Z118" s="881"/>
      <c r="AA118" s="881"/>
      <c r="AB118" s="881"/>
      <c r="AC118" s="881"/>
      <c r="AD118" s="881"/>
      <c r="AE118" s="881"/>
      <c r="AF118" s="881"/>
      <c r="AG118" s="881"/>
      <c r="AH118" s="881"/>
      <c r="AI118" s="881"/>
      <c r="AJ118" s="881"/>
      <c r="AK118" s="881"/>
      <c r="AL118" s="881"/>
      <c r="AM118" s="881"/>
      <c r="AN118" s="881"/>
      <c r="AO118" s="881"/>
      <c r="AP118" s="881"/>
      <c r="AQ118" s="881"/>
      <c r="AR118" s="881"/>
      <c r="AS118" s="881"/>
      <c r="AT118" s="881"/>
      <c r="AU118" s="881"/>
      <c r="AV118" s="881"/>
      <c r="AW118" s="881"/>
      <c r="AX118" s="881"/>
      <c r="AY118" s="881"/>
      <c r="AZ118" s="881"/>
      <c r="BA118" s="881"/>
      <c r="BB118" s="881"/>
      <c r="BC118" s="881"/>
      <c r="BD118" s="881"/>
      <c r="BE118" s="881"/>
      <c r="BF118" s="881"/>
      <c r="BG118" s="881"/>
      <c r="BH118" s="881"/>
      <c r="BI118" s="881"/>
    </row>
    <row r="119" spans="1:61" ht="14.4" thickBot="1" x14ac:dyDescent="0.3">
      <c r="A119" s="881"/>
      <c r="B119" s="1403" t="s">
        <v>1363</v>
      </c>
      <c r="C119" s="1404">
        <v>15867</v>
      </c>
      <c r="D119" s="1404">
        <v>33</v>
      </c>
      <c r="E119" s="881"/>
      <c r="F119" s="881"/>
      <c r="G119" s="881"/>
      <c r="H119" s="881"/>
      <c r="I119" s="881"/>
      <c r="J119" s="881"/>
      <c r="K119" s="881"/>
      <c r="L119" s="881"/>
      <c r="M119" s="881"/>
      <c r="N119" s="881"/>
      <c r="O119" s="881"/>
      <c r="P119" s="881"/>
      <c r="Q119" s="881"/>
      <c r="R119" s="881"/>
      <c r="S119" s="881"/>
      <c r="T119" s="881"/>
      <c r="U119" s="881"/>
      <c r="V119" s="881"/>
      <c r="W119" s="881"/>
      <c r="X119" s="881"/>
      <c r="Y119" s="881"/>
      <c r="Z119" s="881"/>
      <c r="AA119" s="881"/>
      <c r="AB119" s="881"/>
      <c r="AC119" s="881"/>
      <c r="AD119" s="881"/>
      <c r="AE119" s="881"/>
      <c r="AF119" s="881"/>
      <c r="AG119" s="881"/>
      <c r="AH119" s="881"/>
      <c r="AI119" s="881"/>
      <c r="AJ119" s="881"/>
      <c r="AK119" s="881"/>
      <c r="AL119" s="881"/>
      <c r="AM119" s="881"/>
      <c r="AN119" s="881"/>
      <c r="AO119" s="881"/>
      <c r="AP119" s="881"/>
      <c r="AQ119" s="881"/>
      <c r="AR119" s="881"/>
      <c r="AS119" s="881"/>
      <c r="AT119" s="881"/>
      <c r="AU119" s="881"/>
      <c r="AV119" s="881"/>
      <c r="AW119" s="881"/>
      <c r="AX119" s="881"/>
      <c r="AY119" s="881"/>
      <c r="AZ119" s="881"/>
      <c r="BA119" s="881"/>
      <c r="BB119" s="881"/>
      <c r="BC119" s="881"/>
      <c r="BD119" s="881"/>
      <c r="BE119" s="881"/>
      <c r="BF119" s="881"/>
      <c r="BG119" s="881"/>
      <c r="BH119" s="881"/>
      <c r="BI119" s="881"/>
    </row>
    <row r="120" spans="1:61" ht="15.6" customHeight="1" thickBot="1" x14ac:dyDescent="0.3">
      <c r="A120" s="881"/>
      <c r="B120" s="1403" t="s">
        <v>1364</v>
      </c>
      <c r="C120" s="1404">
        <v>300</v>
      </c>
      <c r="D120" s="1404">
        <v>1</v>
      </c>
      <c r="E120" s="881"/>
      <c r="F120" s="881"/>
      <c r="G120" s="881"/>
      <c r="H120" s="881"/>
      <c r="I120" s="881"/>
      <c r="J120" s="881"/>
      <c r="K120" s="881"/>
      <c r="L120" s="881"/>
      <c r="M120" s="881"/>
      <c r="N120" s="881"/>
      <c r="O120" s="881"/>
      <c r="P120" s="881"/>
      <c r="Q120" s="881"/>
      <c r="R120" s="881"/>
      <c r="S120" s="881"/>
      <c r="T120" s="881"/>
      <c r="U120" s="881"/>
      <c r="V120" s="881"/>
      <c r="W120" s="881"/>
      <c r="X120" s="881"/>
      <c r="Y120" s="881"/>
      <c r="Z120" s="881"/>
      <c r="AA120" s="881"/>
      <c r="AB120" s="881"/>
      <c r="AC120" s="881"/>
      <c r="AD120" s="881"/>
      <c r="AE120" s="881"/>
      <c r="AF120" s="881"/>
      <c r="AG120" s="881"/>
      <c r="AH120" s="881"/>
      <c r="AI120" s="881"/>
      <c r="AJ120" s="881"/>
      <c r="AK120" s="881"/>
      <c r="AL120" s="881"/>
      <c r="AM120" s="881"/>
      <c r="AN120" s="881"/>
      <c r="AO120" s="881"/>
      <c r="AP120" s="881"/>
      <c r="AQ120" s="881"/>
      <c r="AR120" s="881"/>
      <c r="AS120" s="881"/>
      <c r="AT120" s="881"/>
      <c r="AU120" s="881"/>
      <c r="AV120" s="881"/>
      <c r="AW120" s="881"/>
      <c r="AX120" s="881"/>
      <c r="AY120" s="881"/>
      <c r="AZ120" s="881"/>
      <c r="BA120" s="881"/>
      <c r="BB120" s="881"/>
      <c r="BC120" s="881"/>
      <c r="BD120" s="881"/>
      <c r="BE120" s="881"/>
      <c r="BF120" s="881"/>
      <c r="BG120" s="881"/>
      <c r="BH120" s="881"/>
      <c r="BI120" s="881"/>
    </row>
    <row r="121" spans="1:61" ht="14.4" thickBot="1" x14ac:dyDescent="0.3">
      <c r="A121" s="881"/>
      <c r="B121" s="1403" t="s">
        <v>1365</v>
      </c>
      <c r="C121" s="1404">
        <v>100993</v>
      </c>
      <c r="D121" s="1404">
        <v>209</v>
      </c>
      <c r="E121" s="881"/>
      <c r="F121" s="881"/>
      <c r="G121" s="881"/>
      <c r="H121" s="881"/>
      <c r="I121" s="881"/>
      <c r="J121" s="881"/>
      <c r="K121" s="881"/>
      <c r="L121" s="881"/>
      <c r="M121" s="881"/>
      <c r="N121" s="881"/>
      <c r="O121" s="881"/>
      <c r="P121" s="881"/>
      <c r="Q121" s="881"/>
      <c r="R121" s="881"/>
      <c r="S121" s="881"/>
      <c r="T121" s="881"/>
      <c r="U121" s="881"/>
      <c r="V121" s="881"/>
      <c r="W121" s="881"/>
      <c r="X121" s="881"/>
      <c r="Y121" s="881"/>
      <c r="Z121" s="881"/>
      <c r="AA121" s="881"/>
      <c r="AB121" s="881"/>
      <c r="AC121" s="881"/>
      <c r="AD121" s="881"/>
      <c r="AE121" s="881"/>
      <c r="AF121" s="881"/>
      <c r="AG121" s="881"/>
      <c r="AH121" s="881"/>
      <c r="AI121" s="881"/>
      <c r="AJ121" s="881"/>
      <c r="AK121" s="881"/>
      <c r="AL121" s="881"/>
      <c r="AM121" s="881"/>
      <c r="AN121" s="881"/>
      <c r="AO121" s="881"/>
      <c r="AP121" s="881"/>
      <c r="AQ121" s="881"/>
      <c r="AR121" s="881"/>
      <c r="AS121" s="881"/>
      <c r="AT121" s="881"/>
      <c r="AU121" s="881"/>
      <c r="AV121" s="881"/>
      <c r="AW121" s="881"/>
      <c r="AX121" s="881"/>
      <c r="AY121" s="881"/>
      <c r="AZ121" s="881"/>
      <c r="BA121" s="881"/>
      <c r="BB121" s="881"/>
      <c r="BC121" s="881"/>
      <c r="BD121" s="881"/>
      <c r="BE121" s="881"/>
      <c r="BF121" s="881"/>
      <c r="BG121" s="881"/>
      <c r="BH121" s="881"/>
      <c r="BI121" s="881"/>
    </row>
    <row r="122" spans="1:61" ht="14.4" thickBot="1" x14ac:dyDescent="0.3">
      <c r="A122" s="881"/>
      <c r="B122" s="1403" t="s">
        <v>1366</v>
      </c>
      <c r="C122" s="1404">
        <v>18179</v>
      </c>
      <c r="D122" s="1404">
        <v>38</v>
      </c>
      <c r="E122" s="881"/>
      <c r="F122" s="881"/>
      <c r="G122" s="881"/>
      <c r="H122" s="881"/>
      <c r="I122" s="881"/>
      <c r="J122" s="881"/>
      <c r="K122" s="881"/>
      <c r="L122" s="881"/>
      <c r="M122" s="881"/>
      <c r="N122" s="881"/>
      <c r="O122" s="881"/>
      <c r="P122" s="881"/>
      <c r="Q122" s="881"/>
      <c r="R122" s="881"/>
      <c r="S122" s="881"/>
      <c r="T122" s="881"/>
      <c r="U122" s="881"/>
      <c r="V122" s="881"/>
      <c r="W122" s="881"/>
      <c r="X122" s="881"/>
      <c r="Y122" s="881"/>
      <c r="Z122" s="881"/>
      <c r="AA122" s="881"/>
      <c r="AB122" s="881"/>
      <c r="AC122" s="881"/>
      <c r="AD122" s="881"/>
      <c r="AE122" s="881"/>
      <c r="AF122" s="881"/>
      <c r="AG122" s="881"/>
      <c r="AH122" s="881"/>
      <c r="AI122" s="881"/>
      <c r="AJ122" s="881"/>
      <c r="AK122" s="881"/>
      <c r="AL122" s="881"/>
      <c r="AM122" s="881"/>
      <c r="AN122" s="881"/>
      <c r="AO122" s="881"/>
      <c r="AP122" s="881"/>
      <c r="AQ122" s="881"/>
      <c r="AR122" s="881"/>
      <c r="AS122" s="881"/>
      <c r="AT122" s="881"/>
      <c r="AU122" s="881"/>
      <c r="AV122" s="881"/>
      <c r="AW122" s="881"/>
      <c r="AX122" s="881"/>
      <c r="AY122" s="881"/>
      <c r="AZ122" s="881"/>
      <c r="BA122" s="881"/>
      <c r="BB122" s="881"/>
      <c r="BC122" s="881"/>
      <c r="BD122" s="881"/>
      <c r="BE122" s="881"/>
      <c r="BF122" s="881"/>
      <c r="BG122" s="881"/>
      <c r="BH122" s="881"/>
      <c r="BI122" s="881"/>
    </row>
    <row r="123" spans="1:61" ht="14.4" thickBot="1" x14ac:dyDescent="0.3">
      <c r="A123" s="881"/>
      <c r="B123" s="1405" t="s">
        <v>1367</v>
      </c>
      <c r="C123" s="1406">
        <v>838155</v>
      </c>
      <c r="D123" s="1406">
        <v>1735</v>
      </c>
      <c r="E123" s="881"/>
      <c r="F123" s="881"/>
      <c r="G123" s="881"/>
      <c r="H123" s="881"/>
      <c r="I123" s="881"/>
      <c r="J123" s="881"/>
      <c r="K123" s="881"/>
      <c r="L123" s="881"/>
      <c r="M123" s="881"/>
      <c r="N123" s="881"/>
      <c r="O123" s="881"/>
      <c r="P123" s="881"/>
      <c r="Q123" s="881"/>
      <c r="R123" s="881"/>
      <c r="S123" s="881"/>
      <c r="T123" s="881"/>
      <c r="U123" s="881"/>
      <c r="V123" s="881"/>
      <c r="W123" s="881"/>
      <c r="X123" s="881"/>
      <c r="Y123" s="881"/>
      <c r="Z123" s="881"/>
      <c r="AA123" s="881"/>
      <c r="AB123" s="881"/>
      <c r="AC123" s="881"/>
      <c r="AD123" s="881"/>
      <c r="AE123" s="881"/>
      <c r="AF123" s="881"/>
      <c r="AG123" s="881"/>
      <c r="AH123" s="881"/>
      <c r="AI123" s="881"/>
      <c r="AJ123" s="881"/>
      <c r="AK123" s="881"/>
      <c r="AL123" s="881"/>
      <c r="AM123" s="881"/>
      <c r="AN123" s="881"/>
      <c r="AO123" s="881"/>
      <c r="AP123" s="881"/>
      <c r="AQ123" s="881"/>
      <c r="AR123" s="881"/>
      <c r="AS123" s="881"/>
      <c r="AT123" s="881"/>
      <c r="AU123" s="881"/>
      <c r="AV123" s="881"/>
      <c r="AW123" s="881"/>
      <c r="AX123" s="881"/>
      <c r="AY123" s="881"/>
      <c r="AZ123" s="881"/>
      <c r="BA123" s="881"/>
      <c r="BB123" s="881"/>
      <c r="BC123" s="881"/>
      <c r="BD123" s="881"/>
      <c r="BE123" s="881"/>
      <c r="BF123" s="881"/>
      <c r="BG123" s="881"/>
      <c r="BH123" s="881"/>
      <c r="BI123" s="881"/>
    </row>
    <row r="124" spans="1:61" ht="14.4" thickBot="1" x14ac:dyDescent="0.3">
      <c r="A124" s="881"/>
      <c r="B124" s="1403" t="s">
        <v>1368</v>
      </c>
      <c r="C124" s="1407">
        <v>1.07</v>
      </c>
      <c r="D124" s="1407"/>
      <c r="E124" s="881"/>
      <c r="F124" s="881"/>
      <c r="G124" s="881"/>
      <c r="H124" s="881"/>
      <c r="I124" s="881"/>
      <c r="J124" s="881"/>
      <c r="K124" s="881"/>
      <c r="L124" s="881"/>
      <c r="M124" s="881"/>
      <c r="N124" s="881"/>
      <c r="O124" s="881"/>
      <c r="P124" s="881"/>
      <c r="Q124" s="881"/>
      <c r="R124" s="881"/>
      <c r="S124" s="881"/>
      <c r="T124" s="881"/>
      <c r="U124" s="881"/>
      <c r="V124" s="881"/>
      <c r="W124" s="881"/>
      <c r="X124" s="881"/>
      <c r="Y124" s="881"/>
      <c r="Z124" s="881"/>
      <c r="AA124" s="881"/>
      <c r="AB124" s="881"/>
      <c r="AC124" s="881"/>
      <c r="AD124" s="881"/>
      <c r="AE124" s="881"/>
      <c r="AF124" s="881"/>
      <c r="AG124" s="881"/>
      <c r="AH124" s="881"/>
      <c r="AI124" s="881"/>
      <c r="AJ124" s="881"/>
      <c r="AK124" s="881"/>
      <c r="AL124" s="881"/>
      <c r="AM124" s="881"/>
      <c r="AN124" s="881"/>
      <c r="AO124" s="881"/>
      <c r="AP124" s="881"/>
      <c r="AQ124" s="881"/>
      <c r="AR124" s="881"/>
      <c r="AS124" s="881"/>
      <c r="AT124" s="881"/>
      <c r="AU124" s="881"/>
      <c r="AV124" s="881"/>
      <c r="AW124" s="881"/>
      <c r="AX124" s="881"/>
      <c r="AY124" s="881"/>
      <c r="AZ124" s="881"/>
      <c r="BA124" s="881"/>
      <c r="BB124" s="881"/>
      <c r="BC124" s="881"/>
      <c r="BD124" s="881"/>
      <c r="BE124" s="881"/>
      <c r="BF124" s="881"/>
      <c r="BG124" s="881"/>
      <c r="BH124" s="881"/>
      <c r="BI124" s="881"/>
    </row>
    <row r="125" spans="1:61" ht="14.4" thickBot="1" x14ac:dyDescent="0.3">
      <c r="A125" s="881"/>
      <c r="B125" s="1405" t="s">
        <v>1369</v>
      </c>
      <c r="C125" s="1406">
        <v>896660</v>
      </c>
      <c r="D125" s="1406">
        <v>1856</v>
      </c>
      <c r="E125" s="881"/>
      <c r="F125" s="881"/>
      <c r="G125" s="881"/>
      <c r="H125" s="881"/>
      <c r="I125" s="881"/>
      <c r="J125" s="881"/>
      <c r="K125" s="881"/>
      <c r="L125" s="881"/>
      <c r="M125" s="881"/>
      <c r="N125" s="881"/>
      <c r="O125" s="881"/>
      <c r="P125" s="881"/>
      <c r="Q125" s="881"/>
      <c r="R125" s="881"/>
      <c r="S125" s="881"/>
      <c r="T125" s="881"/>
      <c r="U125" s="881"/>
      <c r="V125" s="881"/>
      <c r="W125" s="881"/>
      <c r="X125" s="881"/>
      <c r="Y125" s="881"/>
      <c r="Z125" s="881"/>
      <c r="AA125" s="881"/>
      <c r="AB125" s="881"/>
      <c r="AC125" s="881"/>
      <c r="AD125" s="881"/>
      <c r="AE125" s="881"/>
      <c r="AF125" s="881"/>
      <c r="AG125" s="881"/>
      <c r="AH125" s="881"/>
      <c r="AI125" s="881"/>
      <c r="AJ125" s="881"/>
      <c r="AK125" s="881"/>
      <c r="AL125" s="881"/>
      <c r="AM125" s="881"/>
      <c r="AN125" s="881"/>
      <c r="AO125" s="881"/>
      <c r="AP125" s="881"/>
      <c r="AQ125" s="881"/>
      <c r="AR125" s="881"/>
      <c r="AS125" s="881"/>
      <c r="AT125" s="881"/>
      <c r="AU125" s="881"/>
      <c r="AV125" s="881"/>
      <c r="AW125" s="881"/>
      <c r="AX125" s="881"/>
      <c r="AY125" s="881"/>
      <c r="AZ125" s="881"/>
      <c r="BA125" s="881"/>
      <c r="BB125" s="881"/>
      <c r="BC125" s="881"/>
      <c r="BD125" s="881"/>
      <c r="BE125" s="881"/>
      <c r="BF125" s="881"/>
      <c r="BG125" s="881"/>
      <c r="BH125" s="881"/>
      <c r="BI125" s="881"/>
    </row>
    <row r="126" spans="1:61" x14ac:dyDescent="0.25">
      <c r="A126" s="881"/>
      <c r="B126" s="881"/>
      <c r="C126" s="881"/>
      <c r="D126" s="881"/>
      <c r="E126" s="881"/>
      <c r="F126" s="881"/>
      <c r="G126" s="881"/>
      <c r="H126" s="881"/>
      <c r="I126" s="881"/>
      <c r="J126" s="881"/>
      <c r="K126" s="881"/>
      <c r="L126" s="881"/>
      <c r="M126" s="881"/>
      <c r="N126" s="881"/>
      <c r="O126" s="881"/>
      <c r="P126" s="881"/>
      <c r="Q126" s="881"/>
      <c r="R126" s="881"/>
      <c r="S126" s="881"/>
      <c r="T126" s="881"/>
      <c r="U126" s="881"/>
      <c r="V126" s="881"/>
      <c r="W126" s="881"/>
      <c r="X126" s="881"/>
      <c r="Y126" s="881"/>
      <c r="Z126" s="881"/>
      <c r="AA126" s="881"/>
      <c r="AB126" s="881"/>
      <c r="AC126" s="881"/>
      <c r="AD126" s="881"/>
      <c r="AE126" s="881"/>
      <c r="AF126" s="881"/>
      <c r="AG126" s="881"/>
      <c r="AH126" s="881"/>
      <c r="AI126" s="881"/>
      <c r="AJ126" s="881"/>
      <c r="AK126" s="881"/>
      <c r="AL126" s="881"/>
      <c r="AM126" s="881"/>
      <c r="AN126" s="881"/>
      <c r="AO126" s="881"/>
      <c r="AP126" s="881"/>
      <c r="AQ126" s="881"/>
      <c r="AR126" s="881"/>
      <c r="AS126" s="881"/>
      <c r="AT126" s="881"/>
      <c r="AU126" s="881"/>
      <c r="AV126" s="881"/>
      <c r="AW126" s="881"/>
      <c r="AX126" s="881"/>
      <c r="AY126" s="881"/>
      <c r="AZ126" s="881"/>
      <c r="BA126" s="881"/>
      <c r="BB126" s="881"/>
      <c r="BC126" s="881"/>
      <c r="BD126" s="881"/>
      <c r="BE126" s="881"/>
      <c r="BF126" s="881"/>
      <c r="BG126" s="881"/>
      <c r="BH126" s="881"/>
      <c r="BI126" s="881"/>
    </row>
    <row r="127" spans="1:61" x14ac:dyDescent="0.25">
      <c r="A127" s="881"/>
      <c r="B127" s="881"/>
      <c r="C127" s="881"/>
      <c r="D127" s="881"/>
      <c r="E127" s="881"/>
      <c r="F127" s="881"/>
      <c r="G127" s="881"/>
      <c r="H127" s="881"/>
      <c r="I127" s="881"/>
      <c r="J127" s="881"/>
      <c r="K127" s="881"/>
      <c r="L127" s="881"/>
      <c r="M127" s="881"/>
      <c r="N127" s="881"/>
      <c r="O127" s="881"/>
      <c r="P127" s="881"/>
      <c r="Q127" s="881"/>
      <c r="R127" s="881"/>
      <c r="S127" s="881"/>
      <c r="T127" s="881"/>
      <c r="U127" s="881"/>
      <c r="V127" s="881"/>
      <c r="W127" s="881"/>
      <c r="X127" s="881"/>
      <c r="Y127" s="881"/>
      <c r="Z127" s="881"/>
      <c r="AA127" s="881"/>
      <c r="AB127" s="881"/>
      <c r="AC127" s="881"/>
      <c r="AD127" s="881"/>
      <c r="AE127" s="881"/>
      <c r="AF127" s="881"/>
      <c r="AG127" s="881"/>
      <c r="AH127" s="881"/>
      <c r="AI127" s="881"/>
      <c r="AJ127" s="881"/>
      <c r="AK127" s="881"/>
      <c r="AL127" s="881"/>
      <c r="AM127" s="881"/>
      <c r="AN127" s="881"/>
      <c r="AO127" s="881"/>
      <c r="AP127" s="881"/>
      <c r="AQ127" s="881"/>
      <c r="AR127" s="881"/>
      <c r="AS127" s="881"/>
      <c r="AT127" s="881"/>
      <c r="AU127" s="881"/>
      <c r="AV127" s="881"/>
      <c r="AW127" s="881"/>
      <c r="AX127" s="881"/>
      <c r="AY127" s="881"/>
      <c r="AZ127" s="881"/>
      <c r="BA127" s="881"/>
      <c r="BB127" s="881"/>
      <c r="BC127" s="881"/>
      <c r="BD127" s="881"/>
      <c r="BE127" s="881"/>
      <c r="BF127" s="881"/>
      <c r="BG127" s="881"/>
      <c r="BH127" s="881"/>
      <c r="BI127" s="881"/>
    </row>
    <row r="128" spans="1:61" x14ac:dyDescent="0.25">
      <c r="A128" s="881"/>
      <c r="B128" s="881"/>
      <c r="C128" s="881"/>
      <c r="D128" s="881"/>
      <c r="E128" s="881"/>
      <c r="F128" s="881"/>
      <c r="G128" s="881"/>
      <c r="H128" s="881"/>
      <c r="I128" s="881"/>
      <c r="J128" s="881"/>
      <c r="K128" s="881"/>
      <c r="L128" s="881"/>
      <c r="M128" s="881"/>
      <c r="N128" s="881"/>
      <c r="O128" s="881"/>
      <c r="P128" s="881"/>
      <c r="Q128" s="881"/>
      <c r="R128" s="881"/>
      <c r="S128" s="881"/>
      <c r="T128" s="881"/>
      <c r="U128" s="881"/>
      <c r="V128" s="881"/>
      <c r="W128" s="881"/>
      <c r="X128" s="881"/>
      <c r="Y128" s="881"/>
      <c r="Z128" s="881"/>
      <c r="AA128" s="881"/>
      <c r="AB128" s="881"/>
      <c r="AC128" s="881"/>
      <c r="AD128" s="881"/>
      <c r="AE128" s="881"/>
      <c r="AF128" s="881"/>
      <c r="AG128" s="881"/>
      <c r="AH128" s="881"/>
      <c r="AI128" s="881"/>
      <c r="AJ128" s="881"/>
      <c r="AK128" s="881"/>
      <c r="AL128" s="881"/>
      <c r="AM128" s="881"/>
      <c r="AN128" s="881"/>
      <c r="AO128" s="881"/>
      <c r="AP128" s="881"/>
      <c r="AQ128" s="881"/>
      <c r="AR128" s="881"/>
      <c r="AS128" s="881"/>
      <c r="AT128" s="881"/>
      <c r="AU128" s="881"/>
      <c r="AV128" s="881"/>
      <c r="AW128" s="881"/>
      <c r="AX128" s="881"/>
      <c r="AY128" s="881"/>
      <c r="AZ128" s="881"/>
      <c r="BA128" s="881"/>
      <c r="BB128" s="881"/>
      <c r="BC128" s="881"/>
      <c r="BD128" s="881"/>
      <c r="BE128" s="881"/>
      <c r="BF128" s="881"/>
      <c r="BG128" s="881"/>
      <c r="BH128" s="881"/>
      <c r="BI128" s="881"/>
    </row>
    <row r="129" spans="1:61" x14ac:dyDescent="0.25">
      <c r="A129" s="881"/>
      <c r="B129" s="881"/>
      <c r="C129" s="881"/>
      <c r="D129" s="881"/>
      <c r="E129" s="881"/>
      <c r="F129" s="881"/>
      <c r="G129" s="881"/>
      <c r="H129" s="881"/>
      <c r="I129" s="881"/>
      <c r="J129" s="881"/>
      <c r="K129" s="881"/>
      <c r="L129" s="881"/>
      <c r="M129" s="881"/>
      <c r="N129" s="881"/>
      <c r="O129" s="881"/>
      <c r="P129" s="881"/>
      <c r="Q129" s="881"/>
      <c r="R129" s="881"/>
      <c r="S129" s="881"/>
      <c r="T129" s="881"/>
      <c r="U129" s="881"/>
      <c r="V129" s="881"/>
      <c r="W129" s="881"/>
      <c r="X129" s="881"/>
      <c r="Y129" s="881"/>
      <c r="Z129" s="881"/>
      <c r="AA129" s="881"/>
      <c r="AB129" s="881"/>
      <c r="AC129" s="881"/>
      <c r="AD129" s="881"/>
      <c r="AE129" s="881"/>
      <c r="AF129" s="881"/>
      <c r="AG129" s="881"/>
      <c r="AH129" s="881"/>
      <c r="AI129" s="881"/>
      <c r="AJ129" s="881"/>
      <c r="AK129" s="881"/>
      <c r="AL129" s="881"/>
      <c r="AM129" s="881"/>
      <c r="AN129" s="881"/>
      <c r="AO129" s="881"/>
      <c r="AP129" s="881"/>
      <c r="AQ129" s="881"/>
      <c r="AR129" s="881"/>
      <c r="AS129" s="881"/>
      <c r="AT129" s="881"/>
      <c r="AU129" s="881"/>
      <c r="AV129" s="881"/>
      <c r="AW129" s="881"/>
      <c r="AX129" s="881"/>
      <c r="AY129" s="881"/>
      <c r="AZ129" s="881"/>
      <c r="BA129" s="881"/>
      <c r="BB129" s="881"/>
      <c r="BC129" s="881"/>
      <c r="BD129" s="881"/>
      <c r="BE129" s="881"/>
      <c r="BF129" s="881"/>
      <c r="BG129" s="881"/>
      <c r="BH129" s="881"/>
      <c r="BI129" s="881"/>
    </row>
    <row r="130" spans="1:61" x14ac:dyDescent="0.25">
      <c r="A130" s="881"/>
      <c r="B130" s="881"/>
      <c r="C130" s="881"/>
      <c r="D130" s="881"/>
      <c r="E130" s="881"/>
      <c r="F130" s="881"/>
      <c r="G130" s="881"/>
      <c r="H130" s="881"/>
      <c r="I130" s="881"/>
      <c r="J130" s="881"/>
      <c r="K130" s="881"/>
      <c r="L130" s="881"/>
      <c r="M130" s="881"/>
      <c r="N130" s="881"/>
      <c r="O130" s="881"/>
      <c r="P130" s="881"/>
      <c r="Q130" s="881"/>
      <c r="R130" s="881"/>
      <c r="S130" s="881"/>
      <c r="T130" s="881"/>
      <c r="U130" s="881"/>
      <c r="V130" s="881"/>
      <c r="W130" s="881"/>
      <c r="X130" s="881"/>
      <c r="Y130" s="881"/>
      <c r="Z130" s="881"/>
      <c r="AA130" s="881"/>
      <c r="AB130" s="881"/>
      <c r="AC130" s="881"/>
      <c r="AD130" s="881"/>
      <c r="AE130" s="881"/>
      <c r="AF130" s="881"/>
      <c r="AG130" s="881"/>
      <c r="AH130" s="881"/>
      <c r="AI130" s="881"/>
      <c r="AJ130" s="881"/>
      <c r="AK130" s="881"/>
      <c r="AL130" s="881"/>
      <c r="AM130" s="881"/>
      <c r="AN130" s="881"/>
      <c r="AO130" s="881"/>
      <c r="AP130" s="881"/>
      <c r="AQ130" s="881"/>
      <c r="AR130" s="881"/>
      <c r="AS130" s="881"/>
      <c r="AT130" s="881"/>
      <c r="AU130" s="881"/>
      <c r="AV130" s="881"/>
      <c r="AW130" s="881"/>
      <c r="AX130" s="881"/>
      <c r="AY130" s="881"/>
      <c r="AZ130" s="881"/>
      <c r="BA130" s="881"/>
      <c r="BB130" s="881"/>
      <c r="BC130" s="881"/>
      <c r="BD130" s="881"/>
      <c r="BE130" s="881"/>
      <c r="BF130" s="881"/>
      <c r="BG130" s="881"/>
      <c r="BH130" s="881"/>
      <c r="BI130" s="881"/>
    </row>
    <row r="131" spans="1:61" x14ac:dyDescent="0.25">
      <c r="A131" s="881"/>
      <c r="B131" s="881"/>
      <c r="C131" s="881"/>
      <c r="D131" s="881"/>
      <c r="E131" s="881"/>
      <c r="F131" s="881"/>
      <c r="G131" s="881"/>
      <c r="H131" s="881"/>
      <c r="I131" s="881"/>
      <c r="J131" s="881"/>
      <c r="K131" s="881"/>
      <c r="L131" s="881"/>
      <c r="M131" s="881"/>
      <c r="N131" s="881"/>
      <c r="O131" s="881"/>
      <c r="P131" s="881"/>
      <c r="Q131" s="881"/>
      <c r="R131" s="881"/>
      <c r="S131" s="881"/>
      <c r="T131" s="881"/>
      <c r="U131" s="881"/>
      <c r="V131" s="881"/>
      <c r="W131" s="881"/>
      <c r="X131" s="881"/>
      <c r="Y131" s="881"/>
      <c r="Z131" s="881"/>
      <c r="AA131" s="881"/>
      <c r="AB131" s="881"/>
      <c r="AC131" s="881"/>
      <c r="AD131" s="881"/>
      <c r="AE131" s="881"/>
      <c r="AF131" s="881"/>
      <c r="AG131" s="881"/>
      <c r="AH131" s="881"/>
      <c r="AI131" s="881"/>
      <c r="AJ131" s="881"/>
      <c r="AK131" s="881"/>
      <c r="AL131" s="881"/>
      <c r="AM131" s="881"/>
      <c r="AN131" s="881"/>
      <c r="AO131" s="881"/>
      <c r="AP131" s="881"/>
      <c r="AQ131" s="881"/>
      <c r="AR131" s="881"/>
      <c r="AS131" s="881"/>
      <c r="AT131" s="881"/>
      <c r="AU131" s="881"/>
      <c r="AV131" s="881"/>
      <c r="AW131" s="881"/>
      <c r="AX131" s="881"/>
      <c r="AY131" s="881"/>
      <c r="AZ131" s="881"/>
      <c r="BA131" s="881"/>
      <c r="BB131" s="881"/>
      <c r="BC131" s="881"/>
      <c r="BD131" s="881"/>
      <c r="BE131" s="881"/>
      <c r="BF131" s="881"/>
      <c r="BG131" s="881"/>
      <c r="BH131" s="881"/>
      <c r="BI131" s="881"/>
    </row>
    <row r="132" spans="1:61" x14ac:dyDescent="0.25">
      <c r="A132" s="881"/>
      <c r="B132" s="881"/>
      <c r="C132" s="881"/>
      <c r="D132" s="881"/>
      <c r="E132" s="881"/>
      <c r="F132" s="881"/>
      <c r="G132" s="881"/>
      <c r="H132" s="881"/>
      <c r="I132" s="881"/>
      <c r="J132" s="881"/>
      <c r="K132" s="881"/>
      <c r="L132" s="881"/>
      <c r="M132" s="881"/>
      <c r="N132" s="881"/>
      <c r="O132" s="881"/>
      <c r="P132" s="881"/>
      <c r="Q132" s="881"/>
      <c r="R132" s="881"/>
      <c r="S132" s="881"/>
      <c r="T132" s="881"/>
      <c r="U132" s="881"/>
      <c r="V132" s="881"/>
      <c r="W132" s="881"/>
      <c r="X132" s="881"/>
      <c r="Y132" s="881"/>
      <c r="Z132" s="881"/>
      <c r="AA132" s="881"/>
      <c r="AB132" s="881"/>
      <c r="AC132" s="881"/>
      <c r="AD132" s="881"/>
      <c r="AE132" s="881"/>
      <c r="AF132" s="881"/>
      <c r="AG132" s="881"/>
      <c r="AH132" s="881"/>
      <c r="AI132" s="881"/>
      <c r="AJ132" s="881"/>
      <c r="AK132" s="881"/>
      <c r="AL132" s="881"/>
      <c r="AM132" s="881"/>
      <c r="AN132" s="881"/>
      <c r="AO132" s="881"/>
      <c r="AP132" s="881"/>
      <c r="AQ132" s="881"/>
      <c r="AR132" s="881"/>
      <c r="AS132" s="881"/>
      <c r="AT132" s="881"/>
      <c r="AU132" s="881"/>
      <c r="AV132" s="881"/>
      <c r="AW132" s="881"/>
      <c r="AX132" s="881"/>
      <c r="AY132" s="881"/>
      <c r="AZ132" s="881"/>
      <c r="BA132" s="881"/>
      <c r="BB132" s="881"/>
      <c r="BC132" s="881"/>
      <c r="BD132" s="881"/>
      <c r="BE132" s="881"/>
      <c r="BF132" s="881"/>
      <c r="BG132" s="881"/>
      <c r="BH132" s="881"/>
      <c r="BI132" s="881"/>
    </row>
    <row r="133" spans="1:61" x14ac:dyDescent="0.25">
      <c r="A133" s="881"/>
      <c r="B133" s="881"/>
      <c r="C133" s="881"/>
      <c r="D133" s="881"/>
      <c r="E133" s="881"/>
      <c r="F133" s="881"/>
      <c r="G133" s="881"/>
      <c r="H133" s="881"/>
      <c r="I133" s="881"/>
      <c r="J133" s="881"/>
      <c r="K133" s="881"/>
      <c r="L133" s="881"/>
      <c r="M133" s="881"/>
      <c r="N133" s="881"/>
      <c r="O133" s="881"/>
      <c r="P133" s="881"/>
      <c r="Q133" s="881"/>
      <c r="R133" s="881"/>
      <c r="S133" s="881"/>
      <c r="T133" s="881"/>
      <c r="U133" s="881"/>
      <c r="V133" s="881"/>
      <c r="W133" s="881"/>
      <c r="X133" s="881"/>
      <c r="Y133" s="881"/>
      <c r="Z133" s="881"/>
      <c r="AA133" s="881"/>
      <c r="AB133" s="881"/>
      <c r="AC133" s="881"/>
      <c r="AD133" s="881"/>
      <c r="AE133" s="881"/>
      <c r="AF133" s="881"/>
      <c r="AG133" s="881"/>
      <c r="AH133" s="881"/>
      <c r="AI133" s="881"/>
      <c r="AJ133" s="881"/>
      <c r="AK133" s="881"/>
      <c r="AL133" s="881"/>
      <c r="AM133" s="881"/>
      <c r="AN133" s="881"/>
      <c r="AO133" s="881"/>
      <c r="AP133" s="881"/>
      <c r="AQ133" s="881"/>
      <c r="AR133" s="881"/>
      <c r="AS133" s="881"/>
      <c r="AT133" s="881"/>
      <c r="AU133" s="881"/>
      <c r="AV133" s="881"/>
      <c r="AW133" s="881"/>
      <c r="AX133" s="881"/>
      <c r="AY133" s="881"/>
      <c r="AZ133" s="881"/>
      <c r="BA133" s="881"/>
      <c r="BB133" s="881"/>
      <c r="BC133" s="881"/>
      <c r="BD133" s="881"/>
      <c r="BE133" s="881"/>
      <c r="BF133" s="881"/>
      <c r="BG133" s="881"/>
      <c r="BH133" s="881"/>
      <c r="BI133" s="881"/>
    </row>
    <row r="134" spans="1:61" x14ac:dyDescent="0.25">
      <c r="A134" s="881"/>
      <c r="B134" s="881"/>
      <c r="C134" s="881"/>
      <c r="D134" s="881"/>
      <c r="E134" s="881"/>
      <c r="F134" s="881"/>
      <c r="G134" s="881"/>
      <c r="H134" s="881"/>
      <c r="I134" s="881"/>
      <c r="J134" s="881"/>
      <c r="K134" s="881"/>
      <c r="L134" s="881"/>
      <c r="M134" s="881"/>
      <c r="N134" s="881"/>
      <c r="O134" s="881"/>
      <c r="P134" s="881"/>
      <c r="Q134" s="881"/>
      <c r="R134" s="881"/>
      <c r="S134" s="881"/>
      <c r="T134" s="881"/>
      <c r="U134" s="881"/>
      <c r="V134" s="881"/>
      <c r="W134" s="881"/>
      <c r="X134" s="881"/>
      <c r="Y134" s="881"/>
      <c r="Z134" s="881"/>
      <c r="AA134" s="881"/>
      <c r="AB134" s="881"/>
      <c r="AC134" s="881"/>
      <c r="AD134" s="881"/>
      <c r="AE134" s="881"/>
      <c r="AF134" s="881"/>
      <c r="AG134" s="881"/>
      <c r="AH134" s="881"/>
      <c r="AI134" s="881"/>
      <c r="AJ134" s="881"/>
      <c r="AK134" s="881"/>
      <c r="AL134" s="881"/>
      <c r="AM134" s="881"/>
      <c r="AN134" s="881"/>
      <c r="AO134" s="881"/>
      <c r="AP134" s="881"/>
      <c r="AQ134" s="881"/>
      <c r="AR134" s="881"/>
      <c r="AS134" s="881"/>
      <c r="AT134" s="881"/>
      <c r="AU134" s="881"/>
      <c r="AV134" s="881"/>
      <c r="AW134" s="881"/>
      <c r="AX134" s="881"/>
      <c r="AY134" s="881"/>
      <c r="AZ134" s="881"/>
      <c r="BA134" s="881"/>
      <c r="BB134" s="881"/>
      <c r="BC134" s="881"/>
      <c r="BD134" s="881"/>
      <c r="BE134" s="881"/>
      <c r="BF134" s="881"/>
      <c r="BG134" s="881"/>
      <c r="BH134" s="881"/>
      <c r="BI134" s="881"/>
    </row>
    <row r="135" spans="1:61" x14ac:dyDescent="0.25">
      <c r="A135" s="881"/>
      <c r="B135" s="881"/>
      <c r="C135" s="881"/>
      <c r="D135" s="881"/>
      <c r="E135" s="881"/>
      <c r="F135" s="881"/>
      <c r="G135" s="881"/>
      <c r="H135" s="881"/>
      <c r="I135" s="881"/>
      <c r="J135" s="881"/>
      <c r="K135" s="881"/>
      <c r="L135" s="881"/>
      <c r="M135" s="881"/>
      <c r="N135" s="881"/>
      <c r="O135" s="881"/>
      <c r="P135" s="881"/>
      <c r="Q135" s="881"/>
      <c r="R135" s="881"/>
      <c r="S135" s="881"/>
      <c r="T135" s="881"/>
      <c r="U135" s="881"/>
      <c r="V135" s="881"/>
      <c r="W135" s="881"/>
      <c r="X135" s="881"/>
      <c r="Y135" s="881"/>
      <c r="Z135" s="881"/>
      <c r="AA135" s="881"/>
      <c r="AB135" s="881"/>
      <c r="AC135" s="881"/>
      <c r="AD135" s="881"/>
      <c r="AE135" s="881"/>
      <c r="AF135" s="881"/>
      <c r="AG135" s="881"/>
      <c r="AH135" s="881"/>
      <c r="AI135" s="881"/>
      <c r="AJ135" s="881"/>
      <c r="AK135" s="881"/>
      <c r="AL135" s="881"/>
      <c r="AM135" s="881"/>
      <c r="AN135" s="881"/>
      <c r="AO135" s="881"/>
      <c r="AP135" s="881"/>
      <c r="AQ135" s="881"/>
      <c r="AR135" s="881"/>
      <c r="AS135" s="881"/>
      <c r="AT135" s="881"/>
      <c r="AU135" s="881"/>
      <c r="AV135" s="881"/>
      <c r="AW135" s="881"/>
      <c r="AX135" s="881"/>
      <c r="AY135" s="881"/>
      <c r="AZ135" s="881"/>
      <c r="BA135" s="881"/>
      <c r="BB135" s="881"/>
      <c r="BC135" s="881"/>
      <c r="BD135" s="881"/>
      <c r="BE135" s="881"/>
      <c r="BF135" s="881"/>
      <c r="BG135" s="881"/>
      <c r="BH135" s="881"/>
      <c r="BI135" s="881"/>
    </row>
    <row r="136" spans="1:61" x14ac:dyDescent="0.25">
      <c r="A136" s="881"/>
      <c r="B136" s="881"/>
      <c r="C136" s="881"/>
      <c r="D136" s="881"/>
      <c r="E136" s="881"/>
      <c r="F136" s="881"/>
      <c r="G136" s="881"/>
      <c r="H136" s="881"/>
      <c r="I136" s="881"/>
      <c r="J136" s="881"/>
      <c r="K136" s="881"/>
      <c r="L136" s="881"/>
      <c r="M136" s="881"/>
      <c r="N136" s="881"/>
      <c r="O136" s="881"/>
      <c r="P136" s="881"/>
      <c r="Q136" s="881"/>
      <c r="R136" s="881"/>
      <c r="S136" s="881"/>
      <c r="T136" s="881"/>
      <c r="U136" s="881"/>
      <c r="V136" s="881"/>
      <c r="W136" s="881"/>
      <c r="X136" s="881"/>
      <c r="Y136" s="881"/>
      <c r="Z136" s="881"/>
      <c r="AA136" s="881"/>
      <c r="AB136" s="881"/>
      <c r="AC136" s="881"/>
      <c r="AD136" s="881"/>
      <c r="AE136" s="881"/>
      <c r="AF136" s="881"/>
      <c r="AG136" s="881"/>
      <c r="AH136" s="881"/>
      <c r="AI136" s="881"/>
      <c r="AJ136" s="881"/>
      <c r="AK136" s="881"/>
      <c r="AL136" s="881"/>
      <c r="AM136" s="881"/>
      <c r="AN136" s="881"/>
      <c r="AO136" s="881"/>
      <c r="AP136" s="881"/>
      <c r="AQ136" s="881"/>
      <c r="AR136" s="881"/>
      <c r="AS136" s="881"/>
      <c r="AT136" s="881"/>
      <c r="AU136" s="881"/>
      <c r="AV136" s="881"/>
      <c r="AW136" s="881"/>
      <c r="AX136" s="881"/>
      <c r="AY136" s="881"/>
      <c r="AZ136" s="881"/>
      <c r="BA136" s="881"/>
      <c r="BB136" s="881"/>
      <c r="BC136" s="881"/>
      <c r="BD136" s="881"/>
      <c r="BE136" s="881"/>
      <c r="BF136" s="881"/>
      <c r="BG136" s="881"/>
      <c r="BH136" s="881"/>
      <c r="BI136" s="881"/>
    </row>
    <row r="137" spans="1:61" x14ac:dyDescent="0.25">
      <c r="A137" s="881"/>
      <c r="B137" s="881"/>
      <c r="C137" s="881"/>
      <c r="D137" s="881"/>
      <c r="E137" s="881"/>
      <c r="F137" s="881"/>
      <c r="G137" s="881"/>
      <c r="H137" s="881"/>
      <c r="I137" s="881"/>
      <c r="J137" s="881"/>
      <c r="K137" s="881"/>
      <c r="L137" s="881"/>
      <c r="M137" s="881"/>
      <c r="N137" s="881"/>
      <c r="O137" s="881"/>
      <c r="P137" s="881"/>
      <c r="Q137" s="881"/>
      <c r="R137" s="881"/>
      <c r="S137" s="881"/>
      <c r="T137" s="881"/>
      <c r="U137" s="881"/>
      <c r="V137" s="881"/>
      <c r="W137" s="881"/>
      <c r="X137" s="881"/>
      <c r="Y137" s="881"/>
      <c r="Z137" s="881"/>
      <c r="AA137" s="881"/>
      <c r="AB137" s="881"/>
      <c r="AC137" s="881"/>
      <c r="AD137" s="881"/>
      <c r="AE137" s="881"/>
      <c r="AF137" s="881"/>
      <c r="AG137" s="881"/>
      <c r="AH137" s="881"/>
      <c r="AI137" s="881"/>
      <c r="AJ137" s="881"/>
      <c r="AK137" s="881"/>
      <c r="AL137" s="881"/>
      <c r="AM137" s="881"/>
      <c r="AN137" s="881"/>
      <c r="AO137" s="881"/>
      <c r="AP137" s="881"/>
      <c r="AQ137" s="881"/>
      <c r="AR137" s="881"/>
      <c r="AS137" s="881"/>
      <c r="AT137" s="881"/>
      <c r="AU137" s="881"/>
      <c r="AV137" s="881"/>
      <c r="AW137" s="881"/>
      <c r="AX137" s="881"/>
      <c r="AY137" s="881"/>
      <c r="AZ137" s="881"/>
      <c r="BA137" s="881"/>
      <c r="BB137" s="881"/>
      <c r="BC137" s="881"/>
      <c r="BD137" s="881"/>
      <c r="BE137" s="881"/>
      <c r="BF137" s="881"/>
      <c r="BG137" s="881"/>
      <c r="BH137" s="881"/>
      <c r="BI137" s="881"/>
    </row>
    <row r="138" spans="1:61" x14ac:dyDescent="0.25">
      <c r="A138" s="881"/>
      <c r="B138" s="881"/>
      <c r="C138" s="881"/>
      <c r="D138" s="881"/>
      <c r="E138" s="881"/>
      <c r="F138" s="881"/>
      <c r="G138" s="881"/>
      <c r="H138" s="881"/>
      <c r="I138" s="881"/>
      <c r="J138" s="881"/>
      <c r="K138" s="881"/>
      <c r="L138" s="881"/>
      <c r="M138" s="881"/>
      <c r="N138" s="881"/>
      <c r="O138" s="881"/>
      <c r="P138" s="881"/>
      <c r="Q138" s="881"/>
      <c r="R138" s="881"/>
      <c r="S138" s="881"/>
      <c r="T138" s="881"/>
      <c r="U138" s="881"/>
      <c r="V138" s="881"/>
      <c r="W138" s="881"/>
      <c r="X138" s="881"/>
      <c r="Y138" s="881"/>
      <c r="Z138" s="881"/>
      <c r="AA138" s="881"/>
      <c r="AB138" s="881"/>
      <c r="AC138" s="881"/>
      <c r="AD138" s="881"/>
      <c r="AE138" s="881"/>
      <c r="AF138" s="881"/>
      <c r="AG138" s="881"/>
      <c r="AH138" s="881"/>
      <c r="AI138" s="881"/>
      <c r="AJ138" s="881"/>
      <c r="AK138" s="881"/>
      <c r="AL138" s="881"/>
      <c r="AM138" s="881"/>
      <c r="AN138" s="881"/>
      <c r="AO138" s="881"/>
      <c r="AP138" s="881"/>
      <c r="AQ138" s="881"/>
      <c r="AR138" s="881"/>
      <c r="AS138" s="881"/>
      <c r="AT138" s="881"/>
      <c r="AU138" s="881"/>
      <c r="AV138" s="881"/>
      <c r="AW138" s="881"/>
      <c r="AX138" s="881"/>
      <c r="AY138" s="881"/>
      <c r="AZ138" s="881"/>
      <c r="BA138" s="881"/>
      <c r="BB138" s="881"/>
      <c r="BC138" s="881"/>
      <c r="BD138" s="881"/>
      <c r="BE138" s="881"/>
      <c r="BF138" s="881"/>
      <c r="BG138" s="881"/>
      <c r="BH138" s="881"/>
      <c r="BI138" s="881"/>
    </row>
    <row r="139" spans="1:61" x14ac:dyDescent="0.25">
      <c r="A139" s="881"/>
      <c r="B139" s="881"/>
      <c r="C139" s="881"/>
      <c r="D139" s="881"/>
      <c r="E139" s="881"/>
      <c r="F139" s="881"/>
      <c r="G139" s="881"/>
      <c r="H139" s="881"/>
      <c r="I139" s="881"/>
      <c r="J139" s="881"/>
      <c r="K139" s="881"/>
      <c r="L139" s="881"/>
      <c r="M139" s="881"/>
      <c r="N139" s="881"/>
      <c r="O139" s="881"/>
      <c r="P139" s="881"/>
      <c r="Q139" s="881"/>
      <c r="R139" s="881"/>
      <c r="S139" s="881"/>
      <c r="T139" s="881"/>
      <c r="U139" s="881"/>
      <c r="V139" s="881"/>
      <c r="W139" s="881"/>
      <c r="X139" s="881"/>
      <c r="Y139" s="881"/>
      <c r="Z139" s="881"/>
      <c r="AA139" s="881"/>
      <c r="AB139" s="881"/>
      <c r="AC139" s="881"/>
      <c r="AD139" s="881"/>
      <c r="AE139" s="881"/>
      <c r="AF139" s="881"/>
      <c r="AG139" s="881"/>
      <c r="AH139" s="881"/>
      <c r="AI139" s="881"/>
      <c r="AJ139" s="881"/>
      <c r="AK139" s="881"/>
      <c r="AL139" s="881"/>
      <c r="AM139" s="881"/>
      <c r="AN139" s="881"/>
      <c r="AO139" s="881"/>
      <c r="AP139" s="881"/>
      <c r="AQ139" s="881"/>
      <c r="AR139" s="881"/>
      <c r="AS139" s="881"/>
      <c r="AT139" s="881"/>
      <c r="AU139" s="881"/>
      <c r="AV139" s="881"/>
      <c r="AW139" s="881"/>
      <c r="AX139" s="881"/>
      <c r="AY139" s="881"/>
      <c r="AZ139" s="881"/>
      <c r="BA139" s="881"/>
      <c r="BB139" s="881"/>
      <c r="BC139" s="881"/>
      <c r="BD139" s="881"/>
      <c r="BE139" s="881"/>
      <c r="BF139" s="881"/>
      <c r="BG139" s="881"/>
      <c r="BH139" s="881"/>
      <c r="BI139" s="881"/>
    </row>
    <row r="140" spans="1:61" x14ac:dyDescent="0.25">
      <c r="A140" s="881"/>
      <c r="B140" s="881"/>
      <c r="C140" s="881"/>
      <c r="D140" s="881"/>
      <c r="E140" s="881"/>
      <c r="F140" s="881"/>
      <c r="G140" s="881"/>
      <c r="H140" s="881"/>
      <c r="I140" s="881"/>
      <c r="J140" s="881"/>
      <c r="K140" s="881"/>
      <c r="L140" s="881"/>
      <c r="M140" s="881"/>
      <c r="N140" s="881"/>
      <c r="O140" s="881"/>
      <c r="P140" s="881"/>
      <c r="Q140" s="881"/>
      <c r="R140" s="881"/>
      <c r="S140" s="881"/>
      <c r="T140" s="881"/>
      <c r="U140" s="881"/>
      <c r="V140" s="881"/>
      <c r="W140" s="881"/>
      <c r="X140" s="881"/>
      <c r="Y140" s="881"/>
      <c r="Z140" s="881"/>
      <c r="AA140" s="881"/>
      <c r="AB140" s="881"/>
      <c r="AC140" s="881"/>
      <c r="AD140" s="881"/>
      <c r="AE140" s="881"/>
      <c r="AF140" s="881"/>
      <c r="AG140" s="881"/>
      <c r="AH140" s="881"/>
      <c r="AI140" s="881"/>
      <c r="AJ140" s="881"/>
      <c r="AK140" s="881"/>
      <c r="AL140" s="881"/>
      <c r="AM140" s="881"/>
      <c r="AN140" s="881"/>
      <c r="AO140" s="881"/>
      <c r="AP140" s="881"/>
      <c r="AQ140" s="881"/>
      <c r="AR140" s="881"/>
      <c r="AS140" s="881"/>
      <c r="AT140" s="881"/>
      <c r="AU140" s="881"/>
      <c r="AV140" s="881"/>
      <c r="AW140" s="881"/>
      <c r="AX140" s="881"/>
      <c r="AY140" s="881"/>
      <c r="AZ140" s="881"/>
      <c r="BA140" s="881"/>
      <c r="BB140" s="881"/>
      <c r="BC140" s="881"/>
      <c r="BD140" s="881"/>
      <c r="BE140" s="881"/>
      <c r="BF140" s="881"/>
      <c r="BG140" s="881"/>
      <c r="BH140" s="881"/>
      <c r="BI140" s="881"/>
    </row>
    <row r="141" spans="1:61" x14ac:dyDescent="0.25">
      <c r="A141" s="881"/>
      <c r="B141" s="881"/>
      <c r="C141" s="881"/>
      <c r="D141" s="881"/>
      <c r="E141" s="881"/>
      <c r="F141" s="881"/>
      <c r="G141" s="881"/>
      <c r="H141" s="881"/>
      <c r="I141" s="881"/>
      <c r="J141" s="881"/>
      <c r="K141" s="881"/>
      <c r="L141" s="881"/>
      <c r="M141" s="881"/>
      <c r="N141" s="881"/>
      <c r="O141" s="881"/>
      <c r="P141" s="881"/>
      <c r="Q141" s="881"/>
      <c r="R141" s="881"/>
      <c r="S141" s="881"/>
      <c r="T141" s="881"/>
      <c r="U141" s="881"/>
      <c r="V141" s="881"/>
      <c r="W141" s="881"/>
      <c r="X141" s="881"/>
      <c r="Y141" s="881"/>
      <c r="Z141" s="881"/>
      <c r="AA141" s="881"/>
      <c r="AB141" s="881"/>
      <c r="AC141" s="881"/>
      <c r="AD141" s="881"/>
      <c r="AE141" s="881"/>
      <c r="AF141" s="881"/>
      <c r="AG141" s="881"/>
      <c r="AH141" s="881"/>
      <c r="AI141" s="881"/>
      <c r="AJ141" s="881"/>
      <c r="AK141" s="881"/>
      <c r="AL141" s="881"/>
      <c r="AM141" s="881"/>
      <c r="AN141" s="881"/>
      <c r="AO141" s="881"/>
      <c r="AP141" s="881"/>
      <c r="AQ141" s="881"/>
      <c r="AR141" s="881"/>
      <c r="AS141" s="881"/>
      <c r="AT141" s="881"/>
      <c r="AU141" s="881"/>
      <c r="AV141" s="881"/>
      <c r="AW141" s="881"/>
      <c r="AX141" s="881"/>
      <c r="AY141" s="881"/>
      <c r="AZ141" s="881"/>
      <c r="BA141" s="881"/>
      <c r="BB141" s="881"/>
      <c r="BC141" s="881"/>
      <c r="BD141" s="881"/>
      <c r="BE141" s="881"/>
      <c r="BF141" s="881"/>
      <c r="BG141" s="881"/>
      <c r="BH141" s="881"/>
      <c r="BI141" s="881"/>
    </row>
    <row r="142" spans="1:61" x14ac:dyDescent="0.25">
      <c r="A142" s="881"/>
      <c r="B142" s="881"/>
      <c r="C142" s="881"/>
      <c r="D142" s="881"/>
      <c r="E142" s="881"/>
      <c r="F142" s="881"/>
      <c r="G142" s="881"/>
      <c r="H142" s="881"/>
      <c r="I142" s="881"/>
      <c r="J142" s="881"/>
      <c r="K142" s="881"/>
      <c r="L142" s="881"/>
      <c r="M142" s="881"/>
      <c r="N142" s="881"/>
      <c r="O142" s="881"/>
      <c r="P142" s="881"/>
      <c r="Q142" s="881"/>
      <c r="R142" s="881"/>
      <c r="S142" s="881"/>
      <c r="T142" s="881"/>
      <c r="U142" s="881"/>
      <c r="V142" s="881"/>
      <c r="W142" s="881"/>
      <c r="X142" s="881"/>
      <c r="Y142" s="881"/>
      <c r="Z142" s="881"/>
      <c r="AA142" s="881"/>
      <c r="AB142" s="881"/>
      <c r="AC142" s="881"/>
      <c r="AD142" s="881"/>
      <c r="AE142" s="881"/>
      <c r="AF142" s="881"/>
      <c r="AG142" s="881"/>
      <c r="AH142" s="881"/>
      <c r="AI142" s="881"/>
      <c r="AJ142" s="881"/>
      <c r="AK142" s="881"/>
      <c r="AL142" s="881"/>
      <c r="AM142" s="881"/>
      <c r="AN142" s="881"/>
      <c r="AO142" s="881"/>
      <c r="AP142" s="881"/>
      <c r="AQ142" s="881"/>
      <c r="AR142" s="881"/>
      <c r="AS142" s="881"/>
      <c r="AT142" s="881"/>
      <c r="AU142" s="881"/>
      <c r="AV142" s="881"/>
      <c r="AW142" s="881"/>
      <c r="AX142" s="881"/>
      <c r="AY142" s="881"/>
      <c r="AZ142" s="881"/>
      <c r="BA142" s="881"/>
      <c r="BB142" s="881"/>
      <c r="BC142" s="881"/>
      <c r="BD142" s="881"/>
      <c r="BE142" s="881"/>
      <c r="BF142" s="881"/>
      <c r="BG142" s="881"/>
      <c r="BH142" s="881"/>
      <c r="BI142" s="881"/>
    </row>
    <row r="143" spans="1:61" x14ac:dyDescent="0.25">
      <c r="A143" s="881"/>
      <c r="B143" s="881"/>
      <c r="C143" s="881"/>
      <c r="D143" s="881"/>
      <c r="E143" s="881"/>
      <c r="F143" s="881"/>
      <c r="G143" s="881"/>
      <c r="H143" s="881"/>
      <c r="I143" s="881"/>
      <c r="J143" s="881"/>
      <c r="K143" s="881"/>
      <c r="L143" s="881"/>
      <c r="M143" s="881"/>
      <c r="N143" s="881"/>
      <c r="O143" s="881"/>
      <c r="P143" s="881"/>
      <c r="Q143" s="881"/>
      <c r="R143" s="881"/>
      <c r="S143" s="881"/>
      <c r="T143" s="881"/>
      <c r="U143" s="881"/>
      <c r="V143" s="881"/>
      <c r="W143" s="881"/>
      <c r="X143" s="881"/>
      <c r="Y143" s="881"/>
      <c r="Z143" s="881"/>
      <c r="AA143" s="881"/>
      <c r="AB143" s="881"/>
      <c r="AC143" s="881"/>
      <c r="AD143" s="881"/>
      <c r="AE143" s="881"/>
      <c r="AF143" s="881"/>
      <c r="AG143" s="881"/>
      <c r="AH143" s="881"/>
      <c r="AI143" s="881"/>
      <c r="AJ143" s="881"/>
      <c r="AK143" s="881"/>
      <c r="AL143" s="881"/>
      <c r="AM143" s="881"/>
      <c r="AN143" s="881"/>
      <c r="AO143" s="881"/>
      <c r="AP143" s="881"/>
      <c r="AQ143" s="881"/>
      <c r="AR143" s="881"/>
      <c r="AS143" s="881"/>
      <c r="AT143" s="881"/>
      <c r="AU143" s="881"/>
      <c r="AV143" s="881"/>
      <c r="AW143" s="881"/>
      <c r="AX143" s="881"/>
      <c r="AY143" s="881"/>
      <c r="AZ143" s="881"/>
      <c r="BA143" s="881"/>
      <c r="BB143" s="881"/>
      <c r="BC143" s="881"/>
      <c r="BD143" s="881"/>
      <c r="BE143" s="881"/>
      <c r="BF143" s="881"/>
      <c r="BG143" s="881"/>
      <c r="BH143" s="881"/>
      <c r="BI143" s="881"/>
    </row>
    <row r="144" spans="1:61" x14ac:dyDescent="0.25">
      <c r="A144" s="881"/>
      <c r="B144" s="881"/>
      <c r="C144" s="881"/>
      <c r="D144" s="881"/>
      <c r="E144" s="881"/>
      <c r="F144" s="881"/>
      <c r="G144" s="881"/>
      <c r="H144" s="881"/>
      <c r="I144" s="881"/>
      <c r="J144" s="881"/>
      <c r="K144" s="881"/>
      <c r="L144" s="881"/>
      <c r="M144" s="881"/>
      <c r="N144" s="881"/>
      <c r="O144" s="881"/>
      <c r="P144" s="881"/>
      <c r="Q144" s="881"/>
      <c r="R144" s="881"/>
      <c r="S144" s="881"/>
      <c r="T144" s="881"/>
      <c r="U144" s="881"/>
      <c r="V144" s="881"/>
      <c r="W144" s="881"/>
      <c r="X144" s="881"/>
      <c r="Y144" s="881"/>
      <c r="Z144" s="881"/>
      <c r="AA144" s="881"/>
      <c r="AB144" s="881"/>
      <c r="AC144" s="881"/>
      <c r="AD144" s="881"/>
      <c r="AE144" s="881"/>
      <c r="AF144" s="881"/>
      <c r="AG144" s="881"/>
      <c r="AH144" s="881"/>
      <c r="AI144" s="881"/>
      <c r="AJ144" s="881"/>
      <c r="AK144" s="881"/>
      <c r="AL144" s="881"/>
      <c r="AM144" s="881"/>
      <c r="AN144" s="881"/>
      <c r="AO144" s="881"/>
      <c r="AP144" s="881"/>
      <c r="AQ144" s="881"/>
      <c r="AR144" s="881"/>
      <c r="AS144" s="881"/>
      <c r="AT144" s="881"/>
      <c r="AU144" s="881"/>
      <c r="AV144" s="881"/>
      <c r="AW144" s="881"/>
      <c r="AX144" s="881"/>
      <c r="AY144" s="881"/>
      <c r="AZ144" s="881"/>
      <c r="BA144" s="881"/>
      <c r="BB144" s="881"/>
      <c r="BC144" s="881"/>
      <c r="BD144" s="881"/>
      <c r="BE144" s="881"/>
      <c r="BF144" s="881"/>
      <c r="BG144" s="881"/>
      <c r="BH144" s="881"/>
      <c r="BI144" s="881"/>
    </row>
    <row r="145" spans="1:61" x14ac:dyDescent="0.25">
      <c r="A145" s="881"/>
      <c r="B145" s="881"/>
      <c r="C145" s="881"/>
      <c r="D145" s="881"/>
      <c r="E145" s="881"/>
      <c r="F145" s="881"/>
      <c r="G145" s="881"/>
      <c r="H145" s="881"/>
      <c r="I145" s="881"/>
      <c r="J145" s="881"/>
      <c r="K145" s="881"/>
      <c r="L145" s="881"/>
      <c r="M145" s="881"/>
      <c r="N145" s="881"/>
      <c r="O145" s="881"/>
      <c r="P145" s="881"/>
      <c r="Q145" s="881"/>
      <c r="R145" s="881"/>
      <c r="S145" s="881"/>
      <c r="T145" s="881"/>
      <c r="U145" s="881"/>
      <c r="V145" s="881"/>
      <c r="W145" s="881"/>
      <c r="X145" s="881"/>
      <c r="Y145" s="881"/>
      <c r="Z145" s="881"/>
      <c r="AA145" s="881"/>
      <c r="AB145" s="881"/>
      <c r="AC145" s="881"/>
      <c r="AD145" s="881"/>
      <c r="AE145" s="881"/>
      <c r="AF145" s="881"/>
      <c r="AG145" s="881"/>
      <c r="AH145" s="881"/>
      <c r="AI145" s="881"/>
      <c r="AJ145" s="881"/>
      <c r="AK145" s="881"/>
      <c r="AL145" s="881"/>
      <c r="AM145" s="881"/>
      <c r="AN145" s="881"/>
      <c r="AO145" s="881"/>
      <c r="AP145" s="881"/>
      <c r="AQ145" s="881"/>
      <c r="AR145" s="881"/>
      <c r="AS145" s="881"/>
      <c r="AT145" s="881"/>
      <c r="AU145" s="881"/>
      <c r="AV145" s="881"/>
      <c r="AW145" s="881"/>
      <c r="AX145" s="881"/>
      <c r="AY145" s="881"/>
      <c r="AZ145" s="881"/>
      <c r="BA145" s="881"/>
      <c r="BB145" s="881"/>
      <c r="BC145" s="881"/>
      <c r="BD145" s="881"/>
      <c r="BE145" s="881"/>
      <c r="BF145" s="881"/>
      <c r="BG145" s="881"/>
      <c r="BH145" s="881"/>
      <c r="BI145" s="881"/>
    </row>
    <row r="146" spans="1:61" x14ac:dyDescent="0.25">
      <c r="A146" s="881"/>
      <c r="B146" s="881"/>
      <c r="C146" s="881"/>
      <c r="D146" s="881"/>
      <c r="E146" s="881"/>
      <c r="F146" s="881"/>
      <c r="G146" s="881"/>
      <c r="H146" s="881"/>
      <c r="I146" s="881"/>
      <c r="J146" s="881"/>
      <c r="K146" s="881"/>
      <c r="L146" s="881"/>
      <c r="M146" s="881"/>
      <c r="N146" s="881"/>
      <c r="O146" s="881"/>
      <c r="P146" s="881"/>
      <c r="Q146" s="881"/>
      <c r="R146" s="881"/>
      <c r="S146" s="881"/>
      <c r="T146" s="881"/>
      <c r="U146" s="881"/>
      <c r="V146" s="881"/>
      <c r="W146" s="881"/>
      <c r="X146" s="881"/>
      <c r="Y146" s="881"/>
      <c r="Z146" s="881"/>
      <c r="AA146" s="881"/>
      <c r="AB146" s="881"/>
      <c r="AC146" s="881"/>
      <c r="AD146" s="881"/>
      <c r="AE146" s="881"/>
      <c r="AF146" s="881"/>
      <c r="AG146" s="881"/>
      <c r="AH146" s="881"/>
      <c r="AI146" s="881"/>
      <c r="AJ146" s="881"/>
      <c r="AK146" s="881"/>
      <c r="AL146" s="881"/>
      <c r="AM146" s="881"/>
      <c r="AN146" s="881"/>
      <c r="AO146" s="881"/>
      <c r="AP146" s="881"/>
      <c r="AQ146" s="881"/>
      <c r="AR146" s="881"/>
      <c r="AS146" s="881"/>
      <c r="AT146" s="881"/>
      <c r="AU146" s="881"/>
      <c r="AV146" s="881"/>
      <c r="AW146" s="881"/>
      <c r="AX146" s="881"/>
      <c r="AY146" s="881"/>
      <c r="AZ146" s="881"/>
      <c r="BA146" s="881"/>
      <c r="BB146" s="881"/>
      <c r="BC146" s="881"/>
      <c r="BD146" s="881"/>
      <c r="BE146" s="881"/>
      <c r="BF146" s="881"/>
      <c r="BG146" s="881"/>
      <c r="BH146" s="881"/>
      <c r="BI146" s="881"/>
    </row>
    <row r="147" spans="1:61" x14ac:dyDescent="0.25">
      <c r="A147" s="881"/>
      <c r="B147" s="881"/>
      <c r="C147" s="881"/>
      <c r="D147" s="881"/>
      <c r="E147" s="881"/>
      <c r="F147" s="881"/>
      <c r="G147" s="881"/>
      <c r="H147" s="881"/>
      <c r="I147" s="881"/>
      <c r="J147" s="881"/>
      <c r="K147" s="881"/>
      <c r="L147" s="881"/>
      <c r="M147" s="881"/>
      <c r="N147" s="881"/>
      <c r="O147" s="881"/>
      <c r="P147" s="881"/>
      <c r="Q147" s="881"/>
      <c r="R147" s="881"/>
      <c r="S147" s="881"/>
      <c r="T147" s="881"/>
      <c r="U147" s="881"/>
      <c r="V147" s="881"/>
      <c r="W147" s="881"/>
      <c r="X147" s="881"/>
      <c r="Y147" s="881"/>
      <c r="Z147" s="881"/>
      <c r="AA147" s="881"/>
      <c r="AB147" s="881"/>
      <c r="AC147" s="881"/>
      <c r="AD147" s="881"/>
      <c r="AE147" s="881"/>
      <c r="AF147" s="881"/>
      <c r="AG147" s="881"/>
      <c r="AH147" s="881"/>
      <c r="AI147" s="881"/>
      <c r="AJ147" s="881"/>
      <c r="AK147" s="881"/>
      <c r="AL147" s="881"/>
      <c r="AM147" s="881"/>
      <c r="AN147" s="881"/>
      <c r="AO147" s="881"/>
      <c r="AP147" s="881"/>
      <c r="AQ147" s="881"/>
      <c r="AR147" s="881"/>
      <c r="AS147" s="881"/>
      <c r="AT147" s="881"/>
      <c r="AU147" s="881"/>
      <c r="AV147" s="881"/>
      <c r="AW147" s="881"/>
      <c r="AX147" s="881"/>
      <c r="AY147" s="881"/>
      <c r="AZ147" s="881"/>
      <c r="BA147" s="881"/>
      <c r="BB147" s="881"/>
      <c r="BC147" s="881"/>
      <c r="BD147" s="881"/>
      <c r="BE147" s="881"/>
      <c r="BF147" s="881"/>
      <c r="BG147" s="881"/>
      <c r="BH147" s="881"/>
      <c r="BI147" s="881"/>
    </row>
    <row r="148" spans="1:61" x14ac:dyDescent="0.25">
      <c r="A148" s="881"/>
      <c r="B148" s="881"/>
      <c r="C148" s="881"/>
      <c r="D148" s="881"/>
      <c r="E148" s="881"/>
      <c r="F148" s="881"/>
      <c r="G148" s="881"/>
      <c r="H148" s="881"/>
      <c r="I148" s="881"/>
      <c r="J148" s="881"/>
      <c r="K148" s="881"/>
      <c r="L148" s="881"/>
      <c r="M148" s="881"/>
      <c r="N148" s="881"/>
      <c r="O148" s="881"/>
      <c r="P148" s="881"/>
      <c r="Q148" s="881"/>
      <c r="R148" s="881"/>
      <c r="S148" s="881"/>
      <c r="T148" s="881"/>
      <c r="U148" s="881"/>
      <c r="V148" s="881"/>
      <c r="W148" s="881"/>
      <c r="X148" s="881"/>
      <c r="Y148" s="881"/>
      <c r="Z148" s="881"/>
      <c r="AA148" s="881"/>
      <c r="AB148" s="881"/>
      <c r="AC148" s="881"/>
      <c r="AD148" s="881"/>
      <c r="AE148" s="881"/>
      <c r="AF148" s="881"/>
      <c r="AG148" s="881"/>
      <c r="AH148" s="881"/>
      <c r="AI148" s="881"/>
      <c r="AJ148" s="881"/>
      <c r="AK148" s="881"/>
      <c r="AL148" s="881"/>
      <c r="AM148" s="881"/>
      <c r="AN148" s="881"/>
      <c r="AO148" s="881"/>
      <c r="AP148" s="881"/>
      <c r="AQ148" s="881"/>
      <c r="AR148" s="881"/>
      <c r="AS148" s="881"/>
      <c r="AT148" s="881"/>
      <c r="AU148" s="881"/>
      <c r="AV148" s="881"/>
      <c r="AW148" s="881"/>
      <c r="AX148" s="881"/>
      <c r="AY148" s="881"/>
      <c r="AZ148" s="881"/>
      <c r="BA148" s="881"/>
      <c r="BB148" s="881"/>
      <c r="BC148" s="881"/>
      <c r="BD148" s="881"/>
      <c r="BE148" s="881"/>
      <c r="BF148" s="881"/>
      <c r="BG148" s="881"/>
      <c r="BH148" s="881"/>
      <c r="BI148" s="881"/>
    </row>
    <row r="149" spans="1:61" x14ac:dyDescent="0.25">
      <c r="A149" s="881"/>
      <c r="B149" s="881"/>
      <c r="C149" s="881"/>
      <c r="D149" s="881"/>
      <c r="E149" s="881"/>
      <c r="F149" s="881"/>
      <c r="G149" s="881"/>
      <c r="H149" s="881"/>
      <c r="I149" s="881"/>
      <c r="J149" s="881"/>
      <c r="K149" s="881"/>
      <c r="L149" s="881"/>
      <c r="M149" s="881"/>
      <c r="N149" s="881"/>
      <c r="O149" s="881"/>
      <c r="P149" s="881"/>
      <c r="Q149" s="881"/>
      <c r="R149" s="881"/>
      <c r="S149" s="881"/>
      <c r="T149" s="881"/>
      <c r="U149" s="881"/>
      <c r="V149" s="881"/>
      <c r="W149" s="881"/>
      <c r="X149" s="881"/>
      <c r="Y149" s="881"/>
      <c r="Z149" s="881"/>
      <c r="AA149" s="881"/>
      <c r="AB149" s="881"/>
      <c r="AC149" s="881"/>
      <c r="AD149" s="881"/>
      <c r="AE149" s="881"/>
      <c r="AF149" s="881"/>
      <c r="AG149" s="881"/>
      <c r="AH149" s="881"/>
      <c r="AI149" s="881"/>
      <c r="AJ149" s="881"/>
      <c r="AK149" s="881"/>
      <c r="AL149" s="881"/>
      <c r="AM149" s="881"/>
      <c r="AN149" s="881"/>
      <c r="AO149" s="881"/>
      <c r="AP149" s="881"/>
      <c r="AQ149" s="881"/>
      <c r="AR149" s="881"/>
      <c r="AS149" s="881"/>
      <c r="AT149" s="881"/>
      <c r="AU149" s="881"/>
      <c r="AV149" s="881"/>
      <c r="AW149" s="881"/>
      <c r="AX149" s="881"/>
      <c r="AY149" s="881"/>
      <c r="AZ149" s="881"/>
      <c r="BA149" s="881"/>
      <c r="BB149" s="881"/>
      <c r="BC149" s="881"/>
      <c r="BD149" s="881"/>
      <c r="BE149" s="881"/>
      <c r="BF149" s="881"/>
      <c r="BG149" s="881"/>
      <c r="BH149" s="881"/>
      <c r="BI149" s="881"/>
    </row>
    <row r="150" spans="1:61" x14ac:dyDescent="0.25">
      <c r="A150" s="881"/>
      <c r="B150" s="881"/>
      <c r="C150" s="881"/>
      <c r="D150" s="881"/>
      <c r="E150" s="881"/>
      <c r="F150" s="881"/>
      <c r="G150" s="881"/>
      <c r="H150" s="881"/>
      <c r="I150" s="881"/>
      <c r="J150" s="881"/>
      <c r="K150" s="881"/>
      <c r="L150" s="881"/>
      <c r="M150" s="881"/>
      <c r="N150" s="881"/>
      <c r="O150" s="881"/>
      <c r="P150" s="881"/>
      <c r="Q150" s="881"/>
      <c r="R150" s="881"/>
      <c r="S150" s="881"/>
      <c r="T150" s="881"/>
      <c r="U150" s="881"/>
      <c r="V150" s="881"/>
      <c r="W150" s="881"/>
      <c r="X150" s="881"/>
      <c r="Y150" s="881"/>
      <c r="Z150" s="881"/>
      <c r="AA150" s="881"/>
      <c r="AB150" s="881"/>
      <c r="AC150" s="881"/>
      <c r="AD150" s="881"/>
      <c r="AE150" s="881"/>
      <c r="AF150" s="881"/>
      <c r="AG150" s="881"/>
      <c r="AH150" s="881"/>
      <c r="AI150" s="881"/>
      <c r="AJ150" s="881"/>
      <c r="AK150" s="881"/>
      <c r="AL150" s="881"/>
      <c r="AM150" s="881"/>
      <c r="AN150" s="881"/>
      <c r="AO150" s="881"/>
      <c r="AP150" s="881"/>
      <c r="AQ150" s="881"/>
      <c r="AR150" s="881"/>
      <c r="AS150" s="881"/>
      <c r="AT150" s="881"/>
      <c r="AU150" s="881"/>
      <c r="AV150" s="881"/>
      <c r="AW150" s="881"/>
      <c r="AX150" s="881"/>
      <c r="AY150" s="881"/>
      <c r="AZ150" s="881"/>
      <c r="BA150" s="881"/>
      <c r="BB150" s="881"/>
      <c r="BC150" s="881"/>
      <c r="BD150" s="881"/>
      <c r="BE150" s="881"/>
      <c r="BF150" s="881"/>
      <c r="BG150" s="881"/>
      <c r="BH150" s="881"/>
      <c r="BI150" s="881"/>
    </row>
    <row r="151" spans="1:61" x14ac:dyDescent="0.25">
      <c r="A151" s="881"/>
      <c r="B151" s="881"/>
      <c r="C151" s="881"/>
      <c r="D151" s="881"/>
      <c r="E151" s="881"/>
      <c r="F151" s="881"/>
      <c r="G151" s="881"/>
      <c r="H151" s="881"/>
      <c r="I151" s="881"/>
      <c r="J151" s="881"/>
      <c r="K151" s="881"/>
      <c r="L151" s="881"/>
      <c r="M151" s="881"/>
      <c r="N151" s="881"/>
      <c r="O151" s="881"/>
      <c r="P151" s="881"/>
      <c r="Q151" s="881"/>
      <c r="R151" s="881"/>
      <c r="S151" s="881"/>
      <c r="T151" s="881"/>
      <c r="U151" s="881"/>
      <c r="V151" s="881"/>
      <c r="W151" s="881"/>
      <c r="X151" s="881"/>
      <c r="Y151" s="881"/>
      <c r="Z151" s="881"/>
      <c r="AA151" s="881"/>
      <c r="AB151" s="881"/>
      <c r="AC151" s="881"/>
      <c r="AD151" s="881"/>
      <c r="AE151" s="881"/>
      <c r="AF151" s="881"/>
      <c r="AG151" s="881"/>
      <c r="AH151" s="881"/>
      <c r="AI151" s="881"/>
      <c r="AJ151" s="881"/>
      <c r="AK151" s="881"/>
      <c r="AL151" s="881"/>
      <c r="AM151" s="881"/>
      <c r="AN151" s="881"/>
      <c r="AO151" s="881"/>
      <c r="AP151" s="881"/>
      <c r="AQ151" s="881"/>
      <c r="AR151" s="881"/>
      <c r="AS151" s="881"/>
      <c r="AT151" s="881"/>
      <c r="AU151" s="881"/>
      <c r="AV151" s="881"/>
      <c r="AW151" s="881"/>
      <c r="AX151" s="881"/>
      <c r="AY151" s="881"/>
      <c r="AZ151" s="881"/>
      <c r="BA151" s="881"/>
      <c r="BB151" s="881"/>
      <c r="BC151" s="881"/>
      <c r="BD151" s="881"/>
      <c r="BE151" s="881"/>
      <c r="BF151" s="881"/>
      <c r="BG151" s="881"/>
      <c r="BH151" s="881"/>
      <c r="BI151" s="881"/>
    </row>
    <row r="152" spans="1:61" x14ac:dyDescent="0.25">
      <c r="A152" s="881"/>
      <c r="B152" s="881"/>
      <c r="C152" s="881"/>
      <c r="D152" s="881"/>
      <c r="E152" s="881"/>
      <c r="F152" s="881"/>
      <c r="G152" s="881"/>
      <c r="H152" s="881"/>
      <c r="I152" s="881"/>
      <c r="J152" s="881"/>
      <c r="K152" s="881"/>
      <c r="L152" s="881"/>
      <c r="M152" s="881"/>
      <c r="N152" s="881"/>
      <c r="O152" s="881"/>
      <c r="P152" s="881"/>
      <c r="Q152" s="881"/>
      <c r="R152" s="881"/>
      <c r="S152" s="881"/>
      <c r="T152" s="881"/>
      <c r="U152" s="881"/>
      <c r="V152" s="881"/>
      <c r="W152" s="881"/>
      <c r="X152" s="881"/>
      <c r="Y152" s="881"/>
      <c r="Z152" s="881"/>
      <c r="AA152" s="881"/>
      <c r="AB152" s="881"/>
      <c r="AC152" s="881"/>
      <c r="AD152" s="881"/>
      <c r="AE152" s="881"/>
      <c r="AF152" s="881"/>
      <c r="AG152" s="881"/>
      <c r="AH152" s="881"/>
      <c r="AI152" s="881"/>
      <c r="AJ152" s="881"/>
      <c r="AK152" s="881"/>
      <c r="AL152" s="881"/>
      <c r="AM152" s="881"/>
      <c r="AN152" s="881"/>
      <c r="AO152" s="881"/>
      <c r="AP152" s="881"/>
      <c r="AQ152" s="881"/>
      <c r="AR152" s="881"/>
      <c r="AS152" s="881"/>
      <c r="AT152" s="881"/>
      <c r="AU152" s="881"/>
      <c r="AV152" s="881"/>
      <c r="AW152" s="881"/>
      <c r="AX152" s="881"/>
      <c r="AY152" s="881"/>
      <c r="AZ152" s="881"/>
      <c r="BA152" s="881"/>
      <c r="BB152" s="881"/>
      <c r="BC152" s="881"/>
      <c r="BD152" s="881"/>
      <c r="BE152" s="881"/>
      <c r="BF152" s="881"/>
      <c r="BG152" s="881"/>
      <c r="BH152" s="881"/>
      <c r="BI152" s="881"/>
    </row>
    <row r="153" spans="1:61" x14ac:dyDescent="0.25">
      <c r="A153" s="881"/>
      <c r="B153" s="881"/>
      <c r="C153" s="881"/>
      <c r="D153" s="881"/>
      <c r="E153" s="881"/>
      <c r="F153" s="881"/>
      <c r="G153" s="881"/>
      <c r="H153" s="881"/>
      <c r="I153" s="881"/>
      <c r="J153" s="881"/>
      <c r="K153" s="881"/>
      <c r="L153" s="881"/>
      <c r="M153" s="881"/>
      <c r="N153" s="881"/>
      <c r="O153" s="881"/>
      <c r="P153" s="881"/>
      <c r="Q153" s="881"/>
      <c r="R153" s="881"/>
      <c r="S153" s="881"/>
      <c r="T153" s="881"/>
      <c r="U153" s="881"/>
      <c r="V153" s="881"/>
      <c r="W153" s="881"/>
      <c r="X153" s="881"/>
      <c r="Y153" s="881"/>
      <c r="Z153" s="881"/>
      <c r="AA153" s="881"/>
      <c r="AB153" s="881"/>
      <c r="AC153" s="881"/>
      <c r="AD153" s="881"/>
      <c r="AE153" s="881"/>
      <c r="AF153" s="881"/>
      <c r="AG153" s="881"/>
      <c r="AH153" s="881"/>
      <c r="AI153" s="881"/>
      <c r="AJ153" s="881"/>
      <c r="AK153" s="881"/>
      <c r="AL153" s="881"/>
      <c r="AM153" s="881"/>
      <c r="AN153" s="881"/>
      <c r="AO153" s="881"/>
      <c r="AP153" s="881"/>
      <c r="AQ153" s="881"/>
      <c r="AR153" s="881"/>
      <c r="AS153" s="881"/>
      <c r="AT153" s="881"/>
      <c r="AU153" s="881"/>
      <c r="AV153" s="881"/>
      <c r="AW153" s="881"/>
      <c r="AX153" s="881"/>
      <c r="AY153" s="881"/>
      <c r="AZ153" s="881"/>
      <c r="BA153" s="881"/>
      <c r="BB153" s="881"/>
      <c r="BC153" s="881"/>
      <c r="BD153" s="881"/>
      <c r="BE153" s="881"/>
      <c r="BF153" s="881"/>
      <c r="BG153" s="881"/>
      <c r="BH153" s="881"/>
      <c r="BI153" s="881"/>
    </row>
    <row r="154" spans="1:61" x14ac:dyDescent="0.25">
      <c r="A154" s="881"/>
      <c r="B154" s="881"/>
      <c r="C154" s="881"/>
      <c r="D154" s="881"/>
      <c r="E154" s="881"/>
      <c r="F154" s="881"/>
      <c r="G154" s="881"/>
      <c r="H154" s="881"/>
      <c r="I154" s="881"/>
      <c r="J154" s="881"/>
      <c r="K154" s="881"/>
      <c r="L154" s="881"/>
      <c r="M154" s="881"/>
      <c r="N154" s="881"/>
      <c r="O154" s="881"/>
      <c r="P154" s="881"/>
      <c r="Q154" s="881"/>
      <c r="R154" s="881"/>
      <c r="S154" s="881"/>
      <c r="T154" s="881"/>
      <c r="U154" s="881"/>
      <c r="V154" s="881"/>
      <c r="W154" s="881"/>
      <c r="X154" s="881"/>
      <c r="Y154" s="881"/>
      <c r="Z154" s="881"/>
      <c r="AA154" s="881"/>
      <c r="AB154" s="881"/>
      <c r="AC154" s="881"/>
      <c r="AD154" s="881"/>
      <c r="AE154" s="881"/>
      <c r="AF154" s="881"/>
      <c r="AG154" s="881"/>
      <c r="AH154" s="881"/>
      <c r="AI154" s="881"/>
      <c r="AJ154" s="881"/>
      <c r="AK154" s="881"/>
      <c r="AL154" s="881"/>
      <c r="AM154" s="881"/>
      <c r="AN154" s="881"/>
      <c r="AO154" s="881"/>
      <c r="AP154" s="881"/>
      <c r="AQ154" s="881"/>
      <c r="AR154" s="881"/>
      <c r="AS154" s="881"/>
      <c r="AT154" s="881"/>
      <c r="AU154" s="881"/>
      <c r="AV154" s="881"/>
      <c r="AW154" s="881"/>
      <c r="AX154" s="881"/>
      <c r="AY154" s="881"/>
      <c r="AZ154" s="881"/>
      <c r="BA154" s="881"/>
      <c r="BB154" s="881"/>
      <c r="BC154" s="881"/>
      <c r="BD154" s="881"/>
      <c r="BE154" s="881"/>
      <c r="BF154" s="881"/>
      <c r="BG154" s="881"/>
      <c r="BH154" s="881"/>
      <c r="BI154" s="881"/>
    </row>
    <row r="155" spans="1:61" x14ac:dyDescent="0.25">
      <c r="A155" s="881"/>
      <c r="B155" s="881"/>
      <c r="C155" s="881"/>
      <c r="D155" s="881"/>
      <c r="E155" s="881"/>
      <c r="F155" s="881"/>
      <c r="G155" s="881"/>
      <c r="H155" s="881"/>
      <c r="I155" s="881"/>
      <c r="J155" s="881"/>
      <c r="K155" s="881"/>
      <c r="L155" s="881"/>
      <c r="M155" s="881"/>
      <c r="N155" s="881"/>
      <c r="O155" s="881"/>
      <c r="P155" s="881"/>
      <c r="Q155" s="881"/>
      <c r="R155" s="881"/>
      <c r="S155" s="881"/>
      <c r="T155" s="881"/>
      <c r="U155" s="881"/>
      <c r="V155" s="881"/>
      <c r="W155" s="881"/>
      <c r="X155" s="881"/>
      <c r="Y155" s="881"/>
      <c r="Z155" s="881"/>
      <c r="AA155" s="881"/>
      <c r="AB155" s="881"/>
      <c r="AC155" s="881"/>
      <c r="AD155" s="881"/>
      <c r="AE155" s="881"/>
      <c r="AF155" s="881"/>
      <c r="AG155" s="881"/>
      <c r="AH155" s="881"/>
      <c r="AI155" s="881"/>
      <c r="AJ155" s="881"/>
      <c r="AK155" s="881"/>
      <c r="AL155" s="881"/>
      <c r="AM155" s="881"/>
      <c r="AN155" s="881"/>
      <c r="AO155" s="881"/>
      <c r="AP155" s="881"/>
      <c r="AQ155" s="881"/>
      <c r="AR155" s="881"/>
      <c r="AS155" s="881"/>
      <c r="AT155" s="881"/>
      <c r="AU155" s="881"/>
      <c r="AV155" s="881"/>
      <c r="AW155" s="881"/>
      <c r="AX155" s="881"/>
      <c r="AY155" s="881"/>
      <c r="AZ155" s="881"/>
      <c r="BA155" s="881"/>
      <c r="BB155" s="881"/>
      <c r="BC155" s="881"/>
      <c r="BD155" s="881"/>
      <c r="BE155" s="881"/>
      <c r="BF155" s="881"/>
      <c r="BG155" s="881"/>
      <c r="BH155" s="881"/>
      <c r="BI155" s="881"/>
    </row>
    <row r="156" spans="1:61" x14ac:dyDescent="0.25">
      <c r="A156" s="881"/>
      <c r="B156" s="881"/>
      <c r="C156" s="881"/>
      <c r="D156" s="881"/>
      <c r="E156" s="881"/>
      <c r="F156" s="881"/>
      <c r="G156" s="881"/>
      <c r="H156" s="881"/>
      <c r="I156" s="881"/>
      <c r="J156" s="881"/>
      <c r="K156" s="881"/>
      <c r="L156" s="881"/>
      <c r="M156" s="881"/>
      <c r="N156" s="881"/>
      <c r="O156" s="881"/>
      <c r="P156" s="881"/>
      <c r="Q156" s="881"/>
      <c r="R156" s="881"/>
      <c r="S156" s="881"/>
      <c r="T156" s="881"/>
      <c r="U156" s="881"/>
      <c r="V156" s="881"/>
      <c r="W156" s="881"/>
      <c r="X156" s="881"/>
      <c r="Y156" s="881"/>
      <c r="Z156" s="881"/>
      <c r="AA156" s="881"/>
      <c r="AB156" s="881"/>
      <c r="AC156" s="881"/>
      <c r="AD156" s="881"/>
      <c r="AE156" s="881"/>
      <c r="AF156" s="881"/>
      <c r="AG156" s="881"/>
      <c r="AH156" s="881"/>
      <c r="AI156" s="881"/>
      <c r="AJ156" s="881"/>
      <c r="AK156" s="881"/>
      <c r="AL156" s="881"/>
      <c r="AM156" s="881"/>
      <c r="AN156" s="881"/>
      <c r="AO156" s="881"/>
      <c r="AP156" s="881"/>
      <c r="AQ156" s="881"/>
      <c r="AR156" s="881"/>
      <c r="AS156" s="881"/>
      <c r="AT156" s="881"/>
      <c r="AU156" s="881"/>
      <c r="AV156" s="881"/>
      <c r="AW156" s="881"/>
      <c r="AX156" s="881"/>
      <c r="AY156" s="881"/>
      <c r="AZ156" s="881"/>
      <c r="BA156" s="881"/>
      <c r="BB156" s="881"/>
      <c r="BC156" s="881"/>
      <c r="BD156" s="881"/>
      <c r="BE156" s="881"/>
      <c r="BF156" s="881"/>
      <c r="BG156" s="881"/>
      <c r="BH156" s="881"/>
      <c r="BI156" s="881"/>
    </row>
    <row r="157" spans="1:61" x14ac:dyDescent="0.25">
      <c r="A157" s="881"/>
      <c r="B157" s="881"/>
      <c r="C157" s="881"/>
      <c r="D157" s="881"/>
      <c r="E157" s="881"/>
      <c r="F157" s="881"/>
      <c r="G157" s="881"/>
      <c r="H157" s="881"/>
      <c r="I157" s="881"/>
      <c r="J157" s="881"/>
      <c r="K157" s="881"/>
      <c r="L157" s="881"/>
      <c r="M157" s="881"/>
      <c r="N157" s="881"/>
      <c r="O157" s="881"/>
      <c r="P157" s="881"/>
      <c r="Q157" s="881"/>
      <c r="R157" s="881"/>
      <c r="S157" s="881"/>
      <c r="T157" s="881"/>
      <c r="U157" s="881"/>
      <c r="V157" s="881"/>
      <c r="W157" s="881"/>
      <c r="X157" s="881"/>
      <c r="Y157" s="881"/>
      <c r="Z157" s="881"/>
      <c r="AA157" s="881"/>
      <c r="AB157" s="881"/>
      <c r="AC157" s="881"/>
      <c r="AD157" s="881"/>
      <c r="AE157" s="881"/>
      <c r="AF157" s="881"/>
      <c r="AG157" s="881"/>
      <c r="AH157" s="881"/>
      <c r="AI157" s="881"/>
      <c r="AJ157" s="881"/>
      <c r="AK157" s="881"/>
      <c r="AL157" s="881"/>
      <c r="AM157" s="881"/>
      <c r="AN157" s="881"/>
      <c r="AO157" s="881"/>
      <c r="AP157" s="881"/>
      <c r="AQ157" s="881"/>
      <c r="AR157" s="881"/>
      <c r="AS157" s="881"/>
      <c r="AT157" s="881"/>
      <c r="AU157" s="881"/>
      <c r="AV157" s="881"/>
      <c r="AW157" s="881"/>
      <c r="AX157" s="881"/>
      <c r="AY157" s="881"/>
      <c r="AZ157" s="881"/>
      <c r="BA157" s="881"/>
      <c r="BB157" s="881"/>
      <c r="BC157" s="881"/>
      <c r="BD157" s="881"/>
      <c r="BE157" s="881"/>
      <c r="BF157" s="881"/>
      <c r="BG157" s="881"/>
      <c r="BH157" s="881"/>
      <c r="BI157" s="881"/>
    </row>
    <row r="158" spans="1:61" x14ac:dyDescent="0.25">
      <c r="A158" s="881"/>
      <c r="B158" s="881"/>
      <c r="C158" s="881"/>
      <c r="D158" s="881"/>
      <c r="E158" s="881"/>
      <c r="F158" s="881"/>
      <c r="G158" s="881"/>
      <c r="H158" s="881"/>
      <c r="I158" s="881"/>
      <c r="J158" s="881"/>
      <c r="K158" s="881"/>
      <c r="L158" s="881"/>
      <c r="M158" s="881"/>
      <c r="N158" s="881"/>
      <c r="O158" s="881"/>
      <c r="P158" s="881"/>
      <c r="Q158" s="881"/>
      <c r="R158" s="881"/>
      <c r="S158" s="881"/>
      <c r="T158" s="881"/>
      <c r="U158" s="881"/>
      <c r="V158" s="881"/>
      <c r="W158" s="881"/>
      <c r="X158" s="881"/>
      <c r="Y158" s="881"/>
      <c r="Z158" s="881"/>
      <c r="AA158" s="881"/>
      <c r="AB158" s="881"/>
      <c r="AC158" s="881"/>
      <c r="AD158" s="881"/>
      <c r="AE158" s="881"/>
      <c r="AF158" s="881"/>
      <c r="AG158" s="881"/>
      <c r="AH158" s="881"/>
      <c r="AI158" s="881"/>
      <c r="AJ158" s="881"/>
      <c r="AK158" s="881"/>
      <c r="AL158" s="881"/>
      <c r="AM158" s="881"/>
      <c r="AN158" s="881"/>
      <c r="AO158" s="881"/>
      <c r="AP158" s="881"/>
      <c r="AQ158" s="881"/>
      <c r="AR158" s="881"/>
      <c r="AS158" s="881"/>
      <c r="AT158" s="881"/>
      <c r="AU158" s="881"/>
      <c r="AV158" s="881"/>
      <c r="AW158" s="881"/>
      <c r="AX158" s="881"/>
      <c r="AY158" s="881"/>
      <c r="AZ158" s="881"/>
      <c r="BA158" s="881"/>
      <c r="BB158" s="881"/>
      <c r="BC158" s="881"/>
      <c r="BD158" s="881"/>
      <c r="BE158" s="881"/>
      <c r="BF158" s="881"/>
      <c r="BG158" s="881"/>
      <c r="BH158" s="881"/>
      <c r="BI158" s="881"/>
    </row>
    <row r="159" spans="1:61" x14ac:dyDescent="0.25">
      <c r="A159" s="881"/>
      <c r="B159" s="881"/>
      <c r="C159" s="881"/>
      <c r="D159" s="881"/>
      <c r="E159" s="881"/>
      <c r="F159" s="881"/>
      <c r="G159" s="881"/>
      <c r="H159" s="881"/>
      <c r="I159" s="881"/>
      <c r="J159" s="881"/>
      <c r="K159" s="881"/>
      <c r="L159" s="881"/>
      <c r="M159" s="881"/>
      <c r="N159" s="881"/>
      <c r="O159" s="881"/>
      <c r="P159" s="881"/>
      <c r="Q159" s="881"/>
      <c r="R159" s="881"/>
      <c r="S159" s="881"/>
      <c r="T159" s="881"/>
      <c r="U159" s="881"/>
      <c r="V159" s="881"/>
      <c r="W159" s="881"/>
      <c r="X159" s="881"/>
      <c r="Y159" s="881"/>
      <c r="Z159" s="881"/>
      <c r="AA159" s="881"/>
      <c r="AB159" s="881"/>
      <c r="AC159" s="881"/>
      <c r="AD159" s="881"/>
      <c r="AE159" s="881"/>
      <c r="AF159" s="881"/>
      <c r="AG159" s="881"/>
      <c r="AH159" s="881"/>
      <c r="AI159" s="881"/>
      <c r="AJ159" s="881"/>
      <c r="AK159" s="881"/>
      <c r="AL159" s="881"/>
      <c r="AM159" s="881"/>
      <c r="AN159" s="881"/>
      <c r="AO159" s="881"/>
      <c r="AP159" s="881"/>
      <c r="AQ159" s="881"/>
      <c r="AR159" s="881"/>
      <c r="AS159" s="881"/>
      <c r="AT159" s="881"/>
      <c r="AU159" s="881"/>
      <c r="AV159" s="881"/>
      <c r="AW159" s="881"/>
      <c r="AX159" s="881"/>
      <c r="AY159" s="881"/>
      <c r="AZ159" s="881"/>
      <c r="BA159" s="881"/>
      <c r="BB159" s="881"/>
      <c r="BC159" s="881"/>
      <c r="BD159" s="881"/>
      <c r="BE159" s="881"/>
      <c r="BF159" s="881"/>
      <c r="BG159" s="881"/>
      <c r="BH159" s="881"/>
      <c r="BI159" s="881"/>
    </row>
    <row r="160" spans="1:61" x14ac:dyDescent="0.25">
      <c r="A160" s="881"/>
      <c r="B160" s="881"/>
      <c r="C160" s="881"/>
      <c r="D160" s="881"/>
      <c r="E160" s="881"/>
      <c r="F160" s="881"/>
      <c r="G160" s="881"/>
      <c r="H160" s="881"/>
      <c r="I160" s="881"/>
      <c r="J160" s="881"/>
      <c r="K160" s="881"/>
      <c r="L160" s="881"/>
      <c r="M160" s="881"/>
      <c r="N160" s="881"/>
      <c r="O160" s="881"/>
      <c r="P160" s="881"/>
      <c r="Q160" s="881"/>
      <c r="R160" s="881"/>
      <c r="S160" s="881"/>
      <c r="T160" s="881"/>
      <c r="U160" s="881"/>
      <c r="V160" s="881"/>
      <c r="W160" s="881"/>
      <c r="X160" s="881"/>
      <c r="Y160" s="881"/>
      <c r="Z160" s="881"/>
      <c r="AA160" s="881"/>
      <c r="AB160" s="881"/>
      <c r="AC160" s="881"/>
      <c r="AD160" s="881"/>
      <c r="AE160" s="881"/>
      <c r="AF160" s="881"/>
      <c r="AG160" s="881"/>
      <c r="AH160" s="881"/>
      <c r="AI160" s="881"/>
      <c r="AJ160" s="881"/>
      <c r="AK160" s="881"/>
      <c r="AL160" s="881"/>
      <c r="AM160" s="881"/>
      <c r="AN160" s="881"/>
      <c r="AO160" s="881"/>
      <c r="AP160" s="881"/>
      <c r="AQ160" s="881"/>
      <c r="AR160" s="881"/>
      <c r="AS160" s="881"/>
      <c r="AT160" s="881"/>
      <c r="AU160" s="881"/>
      <c r="AV160" s="881"/>
      <c r="AW160" s="881"/>
      <c r="AX160" s="881"/>
      <c r="AY160" s="881"/>
      <c r="AZ160" s="881"/>
      <c r="BA160" s="881"/>
      <c r="BB160" s="881"/>
      <c r="BC160" s="881"/>
      <c r="BD160" s="881"/>
      <c r="BE160" s="881"/>
      <c r="BF160" s="881"/>
      <c r="BG160" s="881"/>
      <c r="BH160" s="881"/>
      <c r="BI160" s="881"/>
    </row>
    <row r="161" spans="1:61" x14ac:dyDescent="0.25">
      <c r="A161" s="881"/>
      <c r="B161" s="881"/>
      <c r="C161" s="881"/>
      <c r="D161" s="881"/>
      <c r="E161" s="881"/>
      <c r="F161" s="881"/>
      <c r="G161" s="881"/>
      <c r="H161" s="881"/>
      <c r="I161" s="881"/>
      <c r="J161" s="881"/>
      <c r="K161" s="881"/>
      <c r="L161" s="881"/>
      <c r="M161" s="881"/>
      <c r="N161" s="881"/>
      <c r="O161" s="881"/>
      <c r="P161" s="881"/>
      <c r="Q161" s="881"/>
      <c r="R161" s="881"/>
      <c r="S161" s="881"/>
      <c r="T161" s="881"/>
      <c r="U161" s="881"/>
      <c r="V161" s="881"/>
      <c r="W161" s="881"/>
      <c r="X161" s="881"/>
      <c r="Y161" s="881"/>
      <c r="Z161" s="881"/>
      <c r="AA161" s="881"/>
      <c r="AB161" s="881"/>
      <c r="AC161" s="881"/>
      <c r="AD161" s="881"/>
      <c r="AE161" s="881"/>
      <c r="AF161" s="881"/>
      <c r="AG161" s="881"/>
      <c r="AH161" s="881"/>
      <c r="AI161" s="881"/>
      <c r="AJ161" s="881"/>
      <c r="AK161" s="881"/>
      <c r="AL161" s="881"/>
      <c r="AM161" s="881"/>
      <c r="AN161" s="881"/>
      <c r="AO161" s="881"/>
      <c r="AP161" s="881"/>
      <c r="AQ161" s="881"/>
      <c r="AR161" s="881"/>
      <c r="AS161" s="881"/>
      <c r="AT161" s="881"/>
      <c r="AU161" s="881"/>
      <c r="AV161" s="881"/>
      <c r="AW161" s="881"/>
      <c r="AX161" s="881"/>
      <c r="AY161" s="881"/>
      <c r="AZ161" s="881"/>
      <c r="BA161" s="881"/>
      <c r="BB161" s="881"/>
      <c r="BC161" s="881"/>
      <c r="BD161" s="881"/>
      <c r="BE161" s="881"/>
      <c r="BF161" s="881"/>
      <c r="BG161" s="881"/>
      <c r="BH161" s="881"/>
      <c r="BI161" s="881"/>
    </row>
    <row r="162" spans="1:61" x14ac:dyDescent="0.25">
      <c r="A162" s="881"/>
      <c r="B162" s="881"/>
      <c r="C162" s="881"/>
      <c r="D162" s="881"/>
      <c r="E162" s="881"/>
      <c r="F162" s="881"/>
      <c r="G162" s="881"/>
      <c r="H162" s="881"/>
      <c r="I162" s="881"/>
      <c r="J162" s="881"/>
      <c r="K162" s="881"/>
      <c r="L162" s="881"/>
      <c r="M162" s="881"/>
      <c r="N162" s="881"/>
      <c r="O162" s="881"/>
      <c r="P162" s="881"/>
      <c r="Q162" s="881"/>
      <c r="R162" s="881"/>
      <c r="S162" s="881"/>
      <c r="T162" s="881"/>
      <c r="U162" s="881"/>
      <c r="V162" s="881"/>
      <c r="W162" s="881"/>
      <c r="X162" s="881"/>
      <c r="Y162" s="881"/>
      <c r="Z162" s="881"/>
      <c r="AA162" s="881"/>
      <c r="AB162" s="881"/>
      <c r="AC162" s="881"/>
      <c r="AD162" s="881"/>
      <c r="AE162" s="881"/>
      <c r="AF162" s="881"/>
      <c r="AG162" s="881"/>
      <c r="AH162" s="881"/>
      <c r="AI162" s="881"/>
      <c r="AJ162" s="881"/>
      <c r="AK162" s="881"/>
      <c r="AL162" s="881"/>
      <c r="AM162" s="881"/>
      <c r="AN162" s="881"/>
      <c r="AO162" s="881"/>
      <c r="AP162" s="881"/>
      <c r="AQ162" s="881"/>
      <c r="AR162" s="881"/>
      <c r="AS162" s="881"/>
      <c r="AT162" s="881"/>
      <c r="AU162" s="881"/>
      <c r="AV162" s="881"/>
      <c r="AW162" s="881"/>
      <c r="AX162" s="881"/>
      <c r="AY162" s="881"/>
      <c r="AZ162" s="881"/>
      <c r="BA162" s="881"/>
      <c r="BB162" s="881"/>
      <c r="BC162" s="881"/>
      <c r="BD162" s="881"/>
      <c r="BE162" s="881"/>
      <c r="BF162" s="881"/>
      <c r="BG162" s="881"/>
      <c r="BH162" s="881"/>
      <c r="BI162" s="881"/>
    </row>
    <row r="163" spans="1:61" x14ac:dyDescent="0.25">
      <c r="A163" s="881"/>
      <c r="B163" s="881"/>
      <c r="C163" s="881"/>
      <c r="D163" s="881"/>
      <c r="E163" s="881"/>
      <c r="F163" s="881"/>
      <c r="G163" s="881"/>
      <c r="H163" s="881"/>
      <c r="I163" s="881"/>
      <c r="J163" s="881"/>
      <c r="K163" s="881"/>
      <c r="L163" s="881"/>
      <c r="M163" s="881"/>
      <c r="N163" s="881"/>
      <c r="O163" s="881"/>
      <c r="P163" s="881"/>
      <c r="Q163" s="881"/>
      <c r="R163" s="881"/>
      <c r="S163" s="881"/>
      <c r="T163" s="881"/>
      <c r="U163" s="881"/>
      <c r="V163" s="881"/>
      <c r="W163" s="881"/>
      <c r="X163" s="881"/>
      <c r="Y163" s="881"/>
      <c r="Z163" s="881"/>
      <c r="AA163" s="881"/>
      <c r="AB163" s="881"/>
      <c r="AC163" s="881"/>
      <c r="AD163" s="881"/>
      <c r="AE163" s="881"/>
      <c r="AF163" s="881"/>
      <c r="AG163" s="881"/>
      <c r="AH163" s="881"/>
      <c r="AI163" s="881"/>
      <c r="AJ163" s="881"/>
      <c r="AK163" s="881"/>
      <c r="AL163" s="881"/>
      <c r="AM163" s="881"/>
      <c r="AN163" s="881"/>
      <c r="AO163" s="881"/>
      <c r="AP163" s="881"/>
      <c r="AQ163" s="881"/>
      <c r="AR163" s="881"/>
      <c r="AS163" s="881"/>
      <c r="AT163" s="881"/>
      <c r="AU163" s="881"/>
      <c r="AV163" s="881"/>
      <c r="AW163" s="881"/>
      <c r="AX163" s="881"/>
      <c r="AY163" s="881"/>
      <c r="AZ163" s="881"/>
      <c r="BA163" s="881"/>
      <c r="BB163" s="881"/>
      <c r="BC163" s="881"/>
      <c r="BD163" s="881"/>
      <c r="BE163" s="881"/>
      <c r="BF163" s="881"/>
      <c r="BG163" s="881"/>
      <c r="BH163" s="881"/>
      <c r="BI163" s="881"/>
    </row>
    <row r="164" spans="1:61" x14ac:dyDescent="0.25">
      <c r="A164" s="881"/>
      <c r="B164" s="881"/>
      <c r="C164" s="881"/>
      <c r="D164" s="881"/>
      <c r="E164" s="881"/>
      <c r="F164" s="881"/>
      <c r="G164" s="881"/>
      <c r="H164" s="881"/>
      <c r="I164" s="881"/>
      <c r="J164" s="881"/>
      <c r="K164" s="881"/>
      <c r="L164" s="881"/>
      <c r="M164" s="881"/>
      <c r="N164" s="881"/>
      <c r="O164" s="881"/>
      <c r="P164" s="881"/>
      <c r="Q164" s="881"/>
      <c r="R164" s="881"/>
      <c r="S164" s="881"/>
      <c r="T164" s="881"/>
      <c r="U164" s="881"/>
      <c r="V164" s="881"/>
      <c r="W164" s="881"/>
      <c r="X164" s="881"/>
      <c r="Y164" s="881"/>
      <c r="Z164" s="881"/>
      <c r="AA164" s="881"/>
      <c r="AB164" s="881"/>
      <c r="AC164" s="881"/>
      <c r="AD164" s="881"/>
      <c r="AE164" s="881"/>
      <c r="AF164" s="881"/>
      <c r="AG164" s="881"/>
      <c r="AH164" s="881"/>
      <c r="AI164" s="881"/>
      <c r="AJ164" s="881"/>
      <c r="AK164" s="881"/>
      <c r="AL164" s="881"/>
      <c r="AM164" s="881"/>
      <c r="AN164" s="881"/>
      <c r="AO164" s="881"/>
      <c r="AP164" s="881"/>
      <c r="AQ164" s="881"/>
      <c r="AR164" s="881"/>
      <c r="AS164" s="881"/>
      <c r="AT164" s="881"/>
      <c r="AU164" s="881"/>
      <c r="AV164" s="881"/>
      <c r="AW164" s="881"/>
      <c r="AX164" s="881"/>
      <c r="AY164" s="881"/>
      <c r="AZ164" s="881"/>
      <c r="BA164" s="881"/>
      <c r="BB164" s="881"/>
      <c r="BC164" s="881"/>
      <c r="BD164" s="881"/>
      <c r="BE164" s="881"/>
      <c r="BF164" s="881"/>
      <c r="BG164" s="881"/>
      <c r="BH164" s="881"/>
      <c r="BI164" s="881"/>
    </row>
    <row r="165" spans="1:61" x14ac:dyDescent="0.25">
      <c r="A165" s="881"/>
      <c r="B165" s="881"/>
      <c r="C165" s="881"/>
      <c r="D165" s="881"/>
      <c r="E165" s="881"/>
      <c r="F165" s="881"/>
      <c r="G165" s="881"/>
      <c r="H165" s="881"/>
      <c r="I165" s="881"/>
      <c r="J165" s="881"/>
      <c r="K165" s="881"/>
      <c r="L165" s="881"/>
      <c r="M165" s="881"/>
      <c r="N165" s="881"/>
      <c r="O165" s="881"/>
      <c r="P165" s="881"/>
      <c r="Q165" s="881"/>
      <c r="R165" s="881"/>
      <c r="S165" s="881"/>
      <c r="T165" s="881"/>
      <c r="U165" s="881"/>
      <c r="V165" s="881"/>
      <c r="W165" s="881"/>
      <c r="X165" s="881"/>
      <c r="Y165" s="881"/>
      <c r="Z165" s="881"/>
      <c r="AA165" s="881"/>
      <c r="AB165" s="881"/>
      <c r="AC165" s="881"/>
      <c r="AD165" s="881"/>
      <c r="AE165" s="881"/>
      <c r="AF165" s="881"/>
      <c r="AG165" s="881"/>
      <c r="AH165" s="881"/>
      <c r="AI165" s="881"/>
      <c r="AJ165" s="881"/>
      <c r="AK165" s="881"/>
      <c r="AL165" s="881"/>
      <c r="AM165" s="881"/>
      <c r="AN165" s="881"/>
      <c r="AO165" s="881"/>
      <c r="AP165" s="881"/>
      <c r="AQ165" s="881"/>
      <c r="AR165" s="881"/>
      <c r="AS165" s="881"/>
      <c r="AT165" s="881"/>
      <c r="AU165" s="881"/>
      <c r="AV165" s="881"/>
      <c r="AW165" s="881"/>
      <c r="AX165" s="881"/>
      <c r="AY165" s="881"/>
      <c r="AZ165" s="881"/>
      <c r="BA165" s="881"/>
      <c r="BB165" s="881"/>
      <c r="BC165" s="881"/>
      <c r="BD165" s="881"/>
      <c r="BE165" s="881"/>
      <c r="BF165" s="881"/>
      <c r="BG165" s="881"/>
      <c r="BH165" s="881"/>
      <c r="BI165" s="881"/>
    </row>
    <row r="166" spans="1:61" x14ac:dyDescent="0.25">
      <c r="A166" s="881"/>
      <c r="B166" s="881"/>
      <c r="C166" s="881"/>
      <c r="D166" s="881"/>
      <c r="E166" s="881"/>
      <c r="F166" s="881"/>
      <c r="G166" s="881"/>
      <c r="H166" s="881"/>
      <c r="I166" s="881"/>
      <c r="J166" s="881"/>
      <c r="K166" s="881"/>
      <c r="L166" s="881"/>
      <c r="M166" s="881"/>
      <c r="N166" s="881"/>
      <c r="O166" s="881"/>
      <c r="P166" s="881"/>
      <c r="Q166" s="881"/>
      <c r="R166" s="881"/>
      <c r="S166" s="881"/>
      <c r="T166" s="881"/>
      <c r="U166" s="881"/>
      <c r="V166" s="881"/>
      <c r="W166" s="881"/>
      <c r="X166" s="881"/>
      <c r="Y166" s="881"/>
      <c r="Z166" s="881"/>
      <c r="AA166" s="881"/>
      <c r="AB166" s="881"/>
      <c r="AC166" s="881"/>
      <c r="AD166" s="881"/>
      <c r="AE166" s="881"/>
      <c r="AF166" s="881"/>
      <c r="AG166" s="881"/>
      <c r="AH166" s="881"/>
      <c r="AI166" s="881"/>
      <c r="AJ166" s="881"/>
      <c r="AK166" s="881"/>
      <c r="AL166" s="881"/>
      <c r="AM166" s="881"/>
      <c r="AN166" s="881"/>
      <c r="AO166" s="881"/>
      <c r="AP166" s="881"/>
      <c r="AQ166" s="881"/>
      <c r="AR166" s="881"/>
      <c r="AS166" s="881"/>
      <c r="AT166" s="881"/>
      <c r="AU166" s="881"/>
      <c r="AV166" s="881"/>
      <c r="AW166" s="881"/>
      <c r="AX166" s="881"/>
      <c r="AY166" s="881"/>
      <c r="AZ166" s="881"/>
      <c r="BA166" s="881"/>
      <c r="BB166" s="881"/>
      <c r="BC166" s="881"/>
      <c r="BD166" s="881"/>
      <c r="BE166" s="881"/>
      <c r="BF166" s="881"/>
      <c r="BG166" s="881"/>
      <c r="BH166" s="881"/>
      <c r="BI166" s="881"/>
    </row>
    <row r="167" spans="1:61" x14ac:dyDescent="0.25">
      <c r="A167" s="881"/>
      <c r="B167" s="881"/>
      <c r="C167" s="881"/>
      <c r="D167" s="881"/>
      <c r="E167" s="881"/>
      <c r="F167" s="881"/>
      <c r="G167" s="881"/>
      <c r="H167" s="881"/>
      <c r="I167" s="881"/>
      <c r="J167" s="881"/>
      <c r="K167" s="881"/>
      <c r="L167" s="881"/>
      <c r="M167" s="881"/>
      <c r="N167" s="881"/>
      <c r="O167" s="881"/>
      <c r="P167" s="881"/>
      <c r="Q167" s="881"/>
      <c r="R167" s="881"/>
      <c r="S167" s="881"/>
      <c r="T167" s="881"/>
      <c r="U167" s="881"/>
      <c r="V167" s="881"/>
      <c r="W167" s="881"/>
      <c r="X167" s="881"/>
      <c r="Y167" s="881"/>
      <c r="Z167" s="881"/>
      <c r="AA167" s="881"/>
      <c r="AB167" s="881"/>
      <c r="AC167" s="881"/>
      <c r="AD167" s="881"/>
      <c r="AE167" s="881"/>
      <c r="AF167" s="881"/>
      <c r="AG167" s="881"/>
      <c r="AH167" s="881"/>
      <c r="AI167" s="881"/>
      <c r="AJ167" s="881"/>
      <c r="AK167" s="881"/>
      <c r="AL167" s="881"/>
      <c r="AM167" s="881"/>
      <c r="AN167" s="881"/>
      <c r="AO167" s="881"/>
      <c r="AP167" s="881"/>
      <c r="AQ167" s="881"/>
      <c r="AR167" s="881"/>
      <c r="AS167" s="881"/>
      <c r="AT167" s="881"/>
      <c r="AU167" s="881"/>
      <c r="AV167" s="881"/>
      <c r="AW167" s="881"/>
      <c r="AX167" s="881"/>
      <c r="AY167" s="881"/>
      <c r="AZ167" s="881"/>
      <c r="BA167" s="881"/>
      <c r="BB167" s="881"/>
      <c r="BC167" s="881"/>
      <c r="BD167" s="881"/>
      <c r="BE167" s="881"/>
      <c r="BF167" s="881"/>
      <c r="BG167" s="881"/>
      <c r="BH167" s="881"/>
      <c r="BI167" s="881"/>
    </row>
    <row r="168" spans="1:61" x14ac:dyDescent="0.25">
      <c r="A168" s="881"/>
      <c r="B168" s="881"/>
      <c r="C168" s="881"/>
      <c r="D168" s="881"/>
      <c r="E168" s="881"/>
      <c r="F168" s="881"/>
      <c r="G168" s="881"/>
      <c r="H168" s="881"/>
      <c r="I168" s="881"/>
      <c r="J168" s="881"/>
      <c r="K168" s="881"/>
      <c r="L168" s="881"/>
      <c r="M168" s="881"/>
      <c r="N168" s="881"/>
      <c r="O168" s="881"/>
      <c r="P168" s="881"/>
      <c r="Q168" s="881"/>
      <c r="R168" s="881"/>
      <c r="S168" s="881"/>
      <c r="T168" s="881"/>
      <c r="U168" s="881"/>
      <c r="V168" s="881"/>
      <c r="W168" s="881"/>
      <c r="X168" s="881"/>
      <c r="Y168" s="881"/>
      <c r="Z168" s="881"/>
      <c r="AA168" s="881"/>
      <c r="AB168" s="881"/>
      <c r="AC168" s="881"/>
      <c r="AD168" s="881"/>
      <c r="AE168" s="881"/>
      <c r="AF168" s="881"/>
      <c r="AG168" s="881"/>
      <c r="AH168" s="881"/>
      <c r="AI168" s="881"/>
      <c r="AJ168" s="881"/>
      <c r="AK168" s="881"/>
      <c r="AL168" s="881"/>
      <c r="AM168" s="881"/>
      <c r="AN168" s="881"/>
      <c r="AO168" s="881"/>
      <c r="AP168" s="881"/>
      <c r="AQ168" s="881"/>
      <c r="AR168" s="881"/>
      <c r="AS168" s="881"/>
      <c r="AT168" s="881"/>
      <c r="AU168" s="881"/>
      <c r="AV168" s="881"/>
      <c r="AW168" s="881"/>
      <c r="AX168" s="881"/>
      <c r="AY168" s="881"/>
      <c r="AZ168" s="881"/>
      <c r="BA168" s="881"/>
      <c r="BB168" s="881"/>
      <c r="BC168" s="881"/>
      <c r="BD168" s="881"/>
      <c r="BE168" s="881"/>
      <c r="BF168" s="881"/>
      <c r="BG168" s="881"/>
      <c r="BH168" s="881"/>
      <c r="BI168" s="881"/>
    </row>
    <row r="169" spans="1:61" x14ac:dyDescent="0.25">
      <c r="A169" s="881"/>
      <c r="B169" s="881"/>
      <c r="C169" s="881"/>
      <c r="D169" s="881"/>
      <c r="E169" s="881"/>
      <c r="F169" s="881"/>
      <c r="G169" s="881"/>
      <c r="H169" s="881"/>
      <c r="I169" s="881"/>
      <c r="J169" s="881"/>
      <c r="K169" s="881"/>
      <c r="L169" s="881"/>
      <c r="M169" s="881"/>
      <c r="N169" s="881"/>
      <c r="O169" s="881"/>
      <c r="P169" s="881"/>
      <c r="Q169" s="881"/>
      <c r="R169" s="881"/>
      <c r="S169" s="881"/>
      <c r="T169" s="881"/>
      <c r="U169" s="881"/>
      <c r="V169" s="881"/>
      <c r="W169" s="881"/>
      <c r="X169" s="881"/>
      <c r="Y169" s="881"/>
      <c r="Z169" s="881"/>
      <c r="AA169" s="881"/>
      <c r="AB169" s="881"/>
      <c r="AC169" s="881"/>
      <c r="AD169" s="881"/>
      <c r="AE169" s="881"/>
      <c r="AF169" s="881"/>
      <c r="AG169" s="881"/>
      <c r="AH169" s="881"/>
      <c r="AI169" s="881"/>
      <c r="AJ169" s="881"/>
      <c r="AK169" s="881"/>
      <c r="AL169" s="881"/>
      <c r="AM169" s="881"/>
      <c r="AN169" s="881"/>
      <c r="AO169" s="881"/>
      <c r="AP169" s="881"/>
      <c r="AQ169" s="881"/>
      <c r="AR169" s="881"/>
      <c r="AS169" s="881"/>
      <c r="AT169" s="881"/>
      <c r="AU169" s="881"/>
      <c r="AV169" s="881"/>
      <c r="AW169" s="881"/>
      <c r="AX169" s="881"/>
      <c r="AY169" s="881"/>
      <c r="AZ169" s="881"/>
      <c r="BA169" s="881"/>
      <c r="BB169" s="881"/>
      <c r="BC169" s="881"/>
      <c r="BD169" s="881"/>
      <c r="BE169" s="881"/>
      <c r="BF169" s="881"/>
      <c r="BG169" s="881"/>
      <c r="BH169" s="881"/>
      <c r="BI169" s="881"/>
    </row>
    <row r="170" spans="1:61" x14ac:dyDescent="0.25">
      <c r="A170" s="881"/>
      <c r="B170" s="881"/>
      <c r="C170" s="881"/>
      <c r="D170" s="881"/>
      <c r="E170" s="881"/>
      <c r="F170" s="881"/>
      <c r="G170" s="881"/>
      <c r="H170" s="881"/>
      <c r="I170" s="881"/>
      <c r="J170" s="881"/>
      <c r="K170" s="881"/>
      <c r="L170" s="881"/>
      <c r="M170" s="881"/>
      <c r="N170" s="881"/>
      <c r="O170" s="881"/>
      <c r="P170" s="881"/>
      <c r="Q170" s="881"/>
      <c r="R170" s="881"/>
      <c r="S170" s="881"/>
      <c r="T170" s="881"/>
      <c r="U170" s="881"/>
      <c r="V170" s="881"/>
      <c r="W170" s="881"/>
      <c r="X170" s="881"/>
      <c r="Y170" s="881"/>
      <c r="Z170" s="881"/>
      <c r="AA170" s="881"/>
      <c r="AB170" s="881"/>
      <c r="AC170" s="881"/>
      <c r="AD170" s="881"/>
      <c r="AE170" s="881"/>
      <c r="AF170" s="881"/>
      <c r="AG170" s="881"/>
      <c r="AH170" s="881"/>
      <c r="AI170" s="881"/>
      <c r="AJ170" s="881"/>
      <c r="AK170" s="881"/>
      <c r="AL170" s="881"/>
      <c r="AM170" s="881"/>
      <c r="AN170" s="881"/>
      <c r="AO170" s="881"/>
      <c r="AP170" s="881"/>
      <c r="AQ170" s="881"/>
      <c r="AR170" s="881"/>
      <c r="AS170" s="881"/>
      <c r="AT170" s="881"/>
      <c r="AU170" s="881"/>
      <c r="AV170" s="881"/>
      <c r="AW170" s="881"/>
      <c r="AX170" s="881"/>
      <c r="AY170" s="881"/>
      <c r="AZ170" s="881"/>
      <c r="BA170" s="881"/>
      <c r="BB170" s="881"/>
      <c r="BC170" s="881"/>
      <c r="BD170" s="881"/>
      <c r="BE170" s="881"/>
      <c r="BF170" s="881"/>
      <c r="BG170" s="881"/>
      <c r="BH170" s="881"/>
      <c r="BI170" s="881"/>
    </row>
    <row r="171" spans="1:61" x14ac:dyDescent="0.25">
      <c r="A171" s="881"/>
      <c r="B171" s="881"/>
      <c r="C171" s="881"/>
      <c r="D171" s="881"/>
      <c r="E171" s="881"/>
      <c r="F171" s="881"/>
      <c r="G171" s="881"/>
      <c r="H171" s="881"/>
      <c r="I171" s="881"/>
      <c r="J171" s="881"/>
      <c r="K171" s="881"/>
      <c r="L171" s="881"/>
      <c r="M171" s="881"/>
      <c r="N171" s="881"/>
      <c r="O171" s="881"/>
      <c r="P171" s="881"/>
      <c r="Q171" s="881"/>
      <c r="R171" s="881"/>
      <c r="S171" s="881"/>
      <c r="T171" s="881"/>
      <c r="U171" s="881"/>
      <c r="V171" s="881"/>
      <c r="W171" s="881"/>
      <c r="X171" s="881"/>
      <c r="Y171" s="881"/>
      <c r="Z171" s="881"/>
      <c r="AA171" s="881"/>
      <c r="AB171" s="881"/>
      <c r="AC171" s="881"/>
      <c r="AD171" s="881"/>
      <c r="AE171" s="881"/>
      <c r="AF171" s="881"/>
      <c r="AG171" s="881"/>
      <c r="AH171" s="881"/>
      <c r="AI171" s="881"/>
      <c r="AJ171" s="881"/>
      <c r="AK171" s="881"/>
      <c r="AL171" s="881"/>
      <c r="AM171" s="881"/>
      <c r="AN171" s="881"/>
      <c r="AO171" s="881"/>
      <c r="AP171" s="881"/>
      <c r="AQ171" s="881"/>
      <c r="AR171" s="881"/>
      <c r="AS171" s="881"/>
      <c r="AT171" s="881"/>
      <c r="AU171" s="881"/>
      <c r="AV171" s="881"/>
      <c r="AW171" s="881"/>
      <c r="AX171" s="881"/>
      <c r="AY171" s="881"/>
      <c r="AZ171" s="881"/>
      <c r="BA171" s="881"/>
      <c r="BB171" s="881"/>
      <c r="BC171" s="881"/>
      <c r="BD171" s="881"/>
      <c r="BE171" s="881"/>
      <c r="BF171" s="881"/>
      <c r="BG171" s="881"/>
      <c r="BH171" s="881"/>
      <c r="BI171" s="881"/>
    </row>
    <row r="172" spans="1:61" x14ac:dyDescent="0.25">
      <c r="A172" s="881"/>
      <c r="B172" s="881"/>
      <c r="C172" s="881"/>
      <c r="D172" s="881"/>
      <c r="E172" s="881"/>
      <c r="F172" s="881"/>
      <c r="G172" s="881"/>
      <c r="H172" s="881"/>
      <c r="I172" s="881"/>
      <c r="J172" s="881"/>
      <c r="K172" s="881"/>
      <c r="L172" s="881"/>
      <c r="M172" s="881"/>
      <c r="N172" s="881"/>
      <c r="O172" s="881"/>
      <c r="P172" s="881"/>
      <c r="Q172" s="881"/>
      <c r="R172" s="881"/>
      <c r="S172" s="881"/>
      <c r="T172" s="881"/>
      <c r="U172" s="881"/>
      <c r="V172" s="881"/>
      <c r="W172" s="881"/>
      <c r="X172" s="881"/>
      <c r="Y172" s="881"/>
      <c r="Z172" s="881"/>
      <c r="AA172" s="881"/>
      <c r="AB172" s="881"/>
      <c r="AC172" s="881"/>
      <c r="AD172" s="881"/>
      <c r="AE172" s="881"/>
      <c r="AF172" s="881"/>
      <c r="AG172" s="881"/>
      <c r="AH172" s="881"/>
      <c r="AI172" s="881"/>
      <c r="AJ172" s="881"/>
      <c r="AK172" s="881"/>
      <c r="AL172" s="881"/>
      <c r="AM172" s="881"/>
      <c r="AN172" s="881"/>
      <c r="AO172" s="881"/>
      <c r="AP172" s="881"/>
      <c r="AQ172" s="881"/>
      <c r="AR172" s="881"/>
      <c r="AS172" s="881"/>
      <c r="AT172" s="881"/>
      <c r="AU172" s="881"/>
      <c r="AV172" s="881"/>
      <c r="AW172" s="881"/>
      <c r="AX172" s="881"/>
      <c r="AY172" s="881"/>
      <c r="AZ172" s="881"/>
      <c r="BA172" s="881"/>
      <c r="BB172" s="881"/>
      <c r="BC172" s="881"/>
      <c r="BD172" s="881"/>
      <c r="BE172" s="881"/>
      <c r="BF172" s="881"/>
      <c r="BG172" s="881"/>
      <c r="BH172" s="881"/>
      <c r="BI172" s="881"/>
    </row>
    <row r="173" spans="1:61" x14ac:dyDescent="0.25">
      <c r="A173" s="881"/>
      <c r="B173" s="881"/>
      <c r="C173" s="881"/>
      <c r="D173" s="881"/>
      <c r="E173" s="881"/>
      <c r="F173" s="881"/>
      <c r="G173" s="881"/>
      <c r="H173" s="881"/>
      <c r="I173" s="881"/>
      <c r="J173" s="881"/>
      <c r="K173" s="881"/>
      <c r="L173" s="881"/>
      <c r="M173" s="881"/>
      <c r="N173" s="881"/>
      <c r="O173" s="881"/>
      <c r="P173" s="881"/>
      <c r="Q173" s="881"/>
      <c r="R173" s="881"/>
      <c r="S173" s="881"/>
      <c r="T173" s="881"/>
      <c r="U173" s="881"/>
      <c r="V173" s="881"/>
      <c r="W173" s="881"/>
      <c r="X173" s="881"/>
      <c r="Y173" s="881"/>
      <c r="Z173" s="881"/>
      <c r="AA173" s="881"/>
      <c r="AB173" s="881"/>
      <c r="AC173" s="881"/>
      <c r="AD173" s="881"/>
      <c r="AE173" s="881"/>
      <c r="AF173" s="881"/>
      <c r="AG173" s="881"/>
      <c r="AH173" s="881"/>
      <c r="AI173" s="881"/>
      <c r="AJ173" s="881"/>
      <c r="AK173" s="881"/>
      <c r="AL173" s="881"/>
      <c r="AM173" s="881"/>
      <c r="AN173" s="881"/>
      <c r="AO173" s="881"/>
      <c r="AP173" s="881"/>
      <c r="AQ173" s="881"/>
      <c r="AR173" s="881"/>
      <c r="AS173" s="881"/>
      <c r="AT173" s="881"/>
      <c r="AU173" s="881"/>
      <c r="AV173" s="881"/>
      <c r="AW173" s="881"/>
      <c r="AX173" s="881"/>
      <c r="AY173" s="881"/>
      <c r="AZ173" s="881"/>
      <c r="BA173" s="881"/>
      <c r="BB173" s="881"/>
      <c r="BC173" s="881"/>
      <c r="BD173" s="881"/>
      <c r="BE173" s="881"/>
      <c r="BF173" s="881"/>
      <c r="BG173" s="881"/>
      <c r="BH173" s="881"/>
      <c r="BI173" s="881"/>
    </row>
    <row r="174" spans="1:61" x14ac:dyDescent="0.25">
      <c r="A174" s="881"/>
      <c r="B174" s="881"/>
      <c r="C174" s="881"/>
      <c r="D174" s="881"/>
      <c r="E174" s="881"/>
      <c r="F174" s="881"/>
      <c r="G174" s="881"/>
      <c r="H174" s="881"/>
      <c r="I174" s="881"/>
      <c r="J174" s="881"/>
      <c r="K174" s="881"/>
      <c r="L174" s="881"/>
      <c r="M174" s="881"/>
      <c r="N174" s="881"/>
      <c r="O174" s="881"/>
      <c r="P174" s="881"/>
      <c r="Q174" s="881"/>
      <c r="R174" s="881"/>
      <c r="S174" s="881"/>
      <c r="T174" s="881"/>
      <c r="U174" s="881"/>
      <c r="V174" s="881"/>
      <c r="W174" s="881"/>
      <c r="X174" s="881"/>
      <c r="Y174" s="881"/>
      <c r="Z174" s="881"/>
      <c r="AA174" s="881"/>
      <c r="AB174" s="881"/>
      <c r="AC174" s="881"/>
      <c r="AD174" s="881"/>
      <c r="AE174" s="881"/>
      <c r="AF174" s="881"/>
      <c r="AG174" s="881"/>
      <c r="AH174" s="881"/>
      <c r="AI174" s="881"/>
      <c r="AJ174" s="881"/>
      <c r="AK174" s="881"/>
      <c r="AL174" s="881"/>
      <c r="AM174" s="881"/>
      <c r="AN174" s="881"/>
      <c r="AO174" s="881"/>
      <c r="AP174" s="881"/>
      <c r="AQ174" s="881"/>
      <c r="AR174" s="881"/>
      <c r="AS174" s="881"/>
      <c r="AT174" s="881"/>
      <c r="AU174" s="881"/>
      <c r="AV174" s="881"/>
      <c r="AW174" s="881"/>
      <c r="AX174" s="881"/>
      <c r="AY174" s="881"/>
      <c r="AZ174" s="881"/>
      <c r="BA174" s="881"/>
      <c r="BB174" s="881"/>
      <c r="BC174" s="881"/>
      <c r="BD174" s="881"/>
      <c r="BE174" s="881"/>
      <c r="BF174" s="881"/>
      <c r="BG174" s="881"/>
      <c r="BH174" s="881"/>
      <c r="BI174" s="881"/>
    </row>
    <row r="175" spans="1:61" x14ac:dyDescent="0.25">
      <c r="A175" s="881"/>
      <c r="B175" s="881"/>
      <c r="C175" s="881"/>
      <c r="D175" s="881"/>
      <c r="E175" s="881"/>
      <c r="F175" s="881"/>
      <c r="G175" s="881"/>
      <c r="H175" s="881"/>
      <c r="I175" s="881"/>
      <c r="J175" s="881"/>
      <c r="K175" s="881"/>
      <c r="L175" s="881"/>
      <c r="M175" s="881"/>
      <c r="N175" s="881"/>
      <c r="O175" s="881"/>
      <c r="P175" s="881"/>
      <c r="Q175" s="881"/>
      <c r="R175" s="881"/>
      <c r="S175" s="881"/>
      <c r="T175" s="881"/>
      <c r="U175" s="881"/>
      <c r="V175" s="881"/>
      <c r="W175" s="881"/>
      <c r="X175" s="881"/>
      <c r="Y175" s="881"/>
      <c r="Z175" s="881"/>
      <c r="AA175" s="881"/>
      <c r="AB175" s="881"/>
      <c r="AC175" s="881"/>
      <c r="AD175" s="881"/>
      <c r="AE175" s="881"/>
      <c r="AF175" s="881"/>
      <c r="AG175" s="881"/>
      <c r="AH175" s="881"/>
      <c r="AI175" s="881"/>
      <c r="AJ175" s="881"/>
      <c r="AK175" s="881"/>
      <c r="AL175" s="881"/>
      <c r="AM175" s="881"/>
      <c r="AN175" s="881"/>
      <c r="AO175" s="881"/>
      <c r="AP175" s="881"/>
      <c r="AQ175" s="881"/>
      <c r="AR175" s="881"/>
      <c r="AS175" s="881"/>
      <c r="AT175" s="881"/>
      <c r="AU175" s="881"/>
      <c r="AV175" s="881"/>
      <c r="AW175" s="881"/>
      <c r="AX175" s="881"/>
      <c r="AY175" s="881"/>
      <c r="AZ175" s="881"/>
      <c r="BA175" s="881"/>
      <c r="BB175" s="881"/>
      <c r="BC175" s="881"/>
      <c r="BD175" s="881"/>
      <c r="BE175" s="881"/>
      <c r="BF175" s="881"/>
      <c r="BG175" s="881"/>
      <c r="BH175" s="881"/>
      <c r="BI175" s="881"/>
    </row>
    <row r="176" spans="1:61" x14ac:dyDescent="0.25">
      <c r="A176" s="881"/>
      <c r="B176" s="881"/>
      <c r="C176" s="881"/>
      <c r="D176" s="881"/>
      <c r="E176" s="881"/>
      <c r="F176" s="881"/>
      <c r="G176" s="881"/>
      <c r="H176" s="881"/>
      <c r="I176" s="881"/>
      <c r="J176" s="881"/>
      <c r="K176" s="881"/>
      <c r="L176" s="881"/>
      <c r="M176" s="881"/>
      <c r="N176" s="881"/>
      <c r="O176" s="881"/>
      <c r="P176" s="881"/>
      <c r="Q176" s="881"/>
      <c r="R176" s="881"/>
      <c r="S176" s="881"/>
      <c r="T176" s="881"/>
      <c r="U176" s="881"/>
      <c r="V176" s="881"/>
      <c r="W176" s="881"/>
      <c r="X176" s="881"/>
      <c r="Y176" s="881"/>
      <c r="Z176" s="881"/>
      <c r="AA176" s="881"/>
      <c r="AB176" s="881"/>
      <c r="AC176" s="881"/>
      <c r="AD176" s="881"/>
      <c r="AE176" s="881"/>
      <c r="AF176" s="881"/>
      <c r="AG176" s="881"/>
      <c r="AH176" s="881"/>
      <c r="AI176" s="881"/>
      <c r="AJ176" s="881"/>
      <c r="AK176" s="881"/>
      <c r="AL176" s="881"/>
      <c r="AM176" s="881"/>
      <c r="AN176" s="881"/>
      <c r="AO176" s="881"/>
      <c r="AP176" s="881"/>
      <c r="AQ176" s="881"/>
      <c r="AR176" s="881"/>
      <c r="AS176" s="881"/>
      <c r="AT176" s="881"/>
      <c r="AU176" s="881"/>
      <c r="AV176" s="881"/>
      <c r="AW176" s="881"/>
      <c r="AX176" s="881"/>
      <c r="AY176" s="881"/>
      <c r="AZ176" s="881"/>
      <c r="BA176" s="881"/>
      <c r="BB176" s="881"/>
      <c r="BC176" s="881"/>
      <c r="BD176" s="881"/>
      <c r="BE176" s="881"/>
      <c r="BF176" s="881"/>
      <c r="BG176" s="881"/>
      <c r="BH176" s="881"/>
      <c r="BI176" s="881"/>
    </row>
    <row r="177" spans="1:61" x14ac:dyDescent="0.25">
      <c r="A177" s="881"/>
      <c r="B177" s="881"/>
      <c r="C177" s="881"/>
      <c r="D177" s="881"/>
      <c r="E177" s="881"/>
      <c r="F177" s="881"/>
      <c r="G177" s="881"/>
      <c r="H177" s="881"/>
      <c r="I177" s="881"/>
      <c r="J177" s="881"/>
      <c r="K177" s="881"/>
      <c r="L177" s="881"/>
      <c r="M177" s="881"/>
      <c r="N177" s="881"/>
      <c r="O177" s="881"/>
      <c r="P177" s="881"/>
      <c r="Q177" s="881"/>
      <c r="R177" s="881"/>
      <c r="S177" s="881"/>
      <c r="T177" s="881"/>
      <c r="U177" s="881"/>
      <c r="V177" s="881"/>
      <c r="W177" s="881"/>
      <c r="X177" s="881"/>
      <c r="Y177" s="881"/>
      <c r="Z177" s="881"/>
      <c r="AA177" s="881"/>
      <c r="AB177" s="881"/>
      <c r="AC177" s="881"/>
      <c r="AD177" s="881"/>
      <c r="AE177" s="881"/>
      <c r="AF177" s="881"/>
      <c r="AG177" s="881"/>
      <c r="AH177" s="881"/>
      <c r="AI177" s="881"/>
      <c r="AJ177" s="881"/>
      <c r="AK177" s="881"/>
      <c r="AL177" s="881"/>
      <c r="AM177" s="881"/>
      <c r="AN177" s="881"/>
      <c r="AO177" s="881"/>
      <c r="AP177" s="881"/>
      <c r="AQ177" s="881"/>
      <c r="AR177" s="881"/>
      <c r="AS177" s="881"/>
      <c r="AT177" s="881"/>
      <c r="AU177" s="881"/>
      <c r="AV177" s="881"/>
      <c r="AW177" s="881"/>
      <c r="AX177" s="881"/>
      <c r="AY177" s="881"/>
      <c r="AZ177" s="881"/>
      <c r="BA177" s="881"/>
      <c r="BB177" s="881"/>
      <c r="BC177" s="881"/>
      <c r="BD177" s="881"/>
      <c r="BE177" s="881"/>
      <c r="BF177" s="881"/>
      <c r="BG177" s="881"/>
      <c r="BH177" s="881"/>
      <c r="BI177" s="881"/>
    </row>
    <row r="178" spans="1:61" x14ac:dyDescent="0.25">
      <c r="A178" s="881"/>
      <c r="B178" s="881"/>
      <c r="C178" s="881"/>
      <c r="D178" s="881"/>
      <c r="E178" s="881"/>
      <c r="F178" s="881"/>
      <c r="G178" s="881"/>
      <c r="H178" s="881"/>
      <c r="I178" s="881"/>
      <c r="J178" s="881"/>
      <c r="K178" s="881"/>
      <c r="L178" s="881"/>
      <c r="M178" s="881"/>
      <c r="N178" s="881"/>
      <c r="O178" s="881"/>
      <c r="P178" s="881"/>
      <c r="Q178" s="881"/>
      <c r="R178" s="881"/>
      <c r="S178" s="881"/>
      <c r="T178" s="881"/>
      <c r="U178" s="881"/>
      <c r="V178" s="881"/>
      <c r="W178" s="881"/>
      <c r="X178" s="881"/>
      <c r="Y178" s="881"/>
      <c r="Z178" s="881"/>
      <c r="AA178" s="881"/>
      <c r="AB178" s="881"/>
      <c r="AC178" s="881"/>
      <c r="AD178" s="881"/>
      <c r="AE178" s="881"/>
      <c r="AF178" s="881"/>
      <c r="AG178" s="881"/>
      <c r="AH178" s="881"/>
      <c r="AI178" s="881"/>
      <c r="AJ178" s="881"/>
      <c r="AK178" s="881"/>
      <c r="AL178" s="881"/>
      <c r="AM178" s="881"/>
      <c r="AN178" s="881"/>
      <c r="AO178" s="881"/>
      <c r="AP178" s="881"/>
      <c r="AQ178" s="881"/>
      <c r="AR178" s="881"/>
      <c r="AS178" s="881"/>
      <c r="AT178" s="881"/>
      <c r="AU178" s="881"/>
      <c r="AV178" s="881"/>
      <c r="AW178" s="881"/>
      <c r="AX178" s="881"/>
      <c r="AY178" s="881"/>
      <c r="AZ178" s="881"/>
      <c r="BA178" s="881"/>
      <c r="BB178" s="881"/>
      <c r="BC178" s="881"/>
      <c r="BD178" s="881"/>
      <c r="BE178" s="881"/>
      <c r="BF178" s="881"/>
      <c r="BG178" s="881"/>
      <c r="BH178" s="881"/>
      <c r="BI178" s="881"/>
    </row>
    <row r="179" spans="1:61" x14ac:dyDescent="0.25">
      <c r="A179" s="881"/>
      <c r="B179" s="881"/>
      <c r="C179" s="881"/>
      <c r="D179" s="881"/>
      <c r="E179" s="881"/>
      <c r="F179" s="881"/>
      <c r="G179" s="881"/>
      <c r="H179" s="881"/>
      <c r="I179" s="881"/>
      <c r="J179" s="881"/>
      <c r="K179" s="881"/>
      <c r="L179" s="881"/>
      <c r="M179" s="881"/>
      <c r="N179" s="881"/>
      <c r="O179" s="881"/>
      <c r="P179" s="881"/>
      <c r="Q179" s="881"/>
      <c r="R179" s="881"/>
      <c r="S179" s="881"/>
      <c r="T179" s="881"/>
      <c r="U179" s="881"/>
      <c r="V179" s="881"/>
      <c r="W179" s="881"/>
      <c r="X179" s="881"/>
      <c r="Y179" s="881"/>
      <c r="Z179" s="881"/>
      <c r="AA179" s="881"/>
      <c r="AB179" s="881"/>
      <c r="AC179" s="881"/>
      <c r="AD179" s="881"/>
      <c r="AE179" s="881"/>
      <c r="AF179" s="881"/>
      <c r="AG179" s="881"/>
      <c r="AH179" s="881"/>
      <c r="AI179" s="881"/>
      <c r="AJ179" s="881"/>
      <c r="AK179" s="881"/>
      <c r="AL179" s="881"/>
      <c r="AM179" s="881"/>
      <c r="AN179" s="881"/>
      <c r="AO179" s="881"/>
      <c r="AP179" s="881"/>
      <c r="AQ179" s="881"/>
      <c r="AR179" s="881"/>
      <c r="AS179" s="881"/>
      <c r="AT179" s="881"/>
      <c r="AU179" s="881"/>
      <c r="AV179" s="881"/>
      <c r="AW179" s="881"/>
      <c r="AX179" s="881"/>
      <c r="AY179" s="881"/>
      <c r="AZ179" s="881"/>
      <c r="BA179" s="881"/>
      <c r="BB179" s="881"/>
      <c r="BC179" s="881"/>
      <c r="BD179" s="881"/>
      <c r="BE179" s="881"/>
      <c r="BF179" s="881"/>
      <c r="BG179" s="881"/>
      <c r="BH179" s="881"/>
      <c r="BI179" s="881"/>
    </row>
    <row r="180" spans="1:61" x14ac:dyDescent="0.25">
      <c r="A180" s="881"/>
      <c r="B180" s="881"/>
      <c r="C180" s="881"/>
      <c r="D180" s="881"/>
      <c r="E180" s="881"/>
      <c r="F180" s="881"/>
      <c r="G180" s="881"/>
      <c r="H180" s="881"/>
      <c r="I180" s="881"/>
      <c r="J180" s="881"/>
      <c r="K180" s="881"/>
      <c r="L180" s="881"/>
      <c r="M180" s="881"/>
      <c r="N180" s="881"/>
      <c r="O180" s="881"/>
      <c r="P180" s="881"/>
      <c r="Q180" s="881"/>
      <c r="R180" s="881"/>
      <c r="S180" s="881"/>
      <c r="T180" s="881"/>
      <c r="U180" s="881"/>
      <c r="V180" s="881"/>
      <c r="W180" s="881"/>
      <c r="X180" s="881"/>
      <c r="Y180" s="881"/>
      <c r="Z180" s="881"/>
      <c r="AA180" s="881"/>
      <c r="AB180" s="881"/>
      <c r="AC180" s="881"/>
      <c r="AD180" s="881"/>
      <c r="AE180" s="881"/>
      <c r="AF180" s="881"/>
      <c r="AG180" s="881"/>
      <c r="AH180" s="881"/>
      <c r="AI180" s="881"/>
      <c r="AJ180" s="881"/>
      <c r="AK180" s="881"/>
      <c r="AL180" s="881"/>
      <c r="AM180" s="881"/>
      <c r="AN180" s="881"/>
      <c r="AO180" s="881"/>
      <c r="AP180" s="881"/>
      <c r="AQ180" s="881"/>
      <c r="AR180" s="881"/>
      <c r="AS180" s="881"/>
      <c r="AT180" s="881"/>
      <c r="AU180" s="881"/>
      <c r="AV180" s="881"/>
      <c r="AW180" s="881"/>
      <c r="AX180" s="881"/>
      <c r="AY180" s="881"/>
      <c r="AZ180" s="881"/>
      <c r="BA180" s="881"/>
      <c r="BB180" s="881"/>
      <c r="BC180" s="881"/>
      <c r="BD180" s="881"/>
      <c r="BE180" s="881"/>
      <c r="BF180" s="881"/>
      <c r="BG180" s="881"/>
      <c r="BH180" s="881"/>
      <c r="BI180" s="881"/>
    </row>
    <row r="181" spans="1:61" x14ac:dyDescent="0.25">
      <c r="A181" s="881"/>
      <c r="B181" s="881"/>
      <c r="C181" s="881"/>
      <c r="D181" s="881"/>
      <c r="E181" s="881"/>
      <c r="F181" s="881"/>
      <c r="G181" s="881"/>
      <c r="H181" s="881"/>
      <c r="I181" s="881"/>
      <c r="J181" s="881"/>
      <c r="K181" s="881"/>
      <c r="L181" s="881"/>
      <c r="M181" s="881"/>
      <c r="N181" s="881"/>
      <c r="O181" s="881"/>
      <c r="P181" s="881"/>
      <c r="Q181" s="881"/>
      <c r="R181" s="881"/>
      <c r="S181" s="881"/>
      <c r="T181" s="881"/>
      <c r="U181" s="881"/>
      <c r="V181" s="881"/>
      <c r="W181" s="881"/>
      <c r="X181" s="881"/>
      <c r="Y181" s="881"/>
      <c r="Z181" s="881"/>
      <c r="AA181" s="881"/>
      <c r="AB181" s="881"/>
      <c r="AC181" s="881"/>
      <c r="AD181" s="881"/>
      <c r="AE181" s="881"/>
      <c r="AF181" s="881"/>
      <c r="AG181" s="881"/>
      <c r="AH181" s="881"/>
      <c r="AI181" s="881"/>
      <c r="AJ181" s="881"/>
      <c r="AK181" s="881"/>
      <c r="AL181" s="881"/>
      <c r="AM181" s="881"/>
      <c r="AN181" s="881"/>
      <c r="AO181" s="881"/>
      <c r="AP181" s="881"/>
      <c r="AQ181" s="881"/>
      <c r="AR181" s="881"/>
      <c r="AS181" s="881"/>
      <c r="AT181" s="881"/>
      <c r="AU181" s="881"/>
      <c r="AV181" s="881"/>
      <c r="AW181" s="881"/>
      <c r="AX181" s="881"/>
      <c r="AY181" s="881"/>
      <c r="AZ181" s="881"/>
      <c r="BA181" s="881"/>
      <c r="BB181" s="881"/>
      <c r="BC181" s="881"/>
      <c r="BD181" s="881"/>
      <c r="BE181" s="881"/>
      <c r="BF181" s="881"/>
      <c r="BG181" s="881"/>
      <c r="BH181" s="881"/>
      <c r="BI181" s="881"/>
    </row>
    <row r="182" spans="1:61" x14ac:dyDescent="0.25">
      <c r="A182" s="881"/>
      <c r="B182" s="881"/>
      <c r="C182" s="881"/>
      <c r="D182" s="881"/>
      <c r="E182" s="881"/>
      <c r="F182" s="881"/>
      <c r="G182" s="881"/>
      <c r="H182" s="881"/>
      <c r="I182" s="881"/>
      <c r="J182" s="881"/>
      <c r="K182" s="881"/>
      <c r="L182" s="881"/>
      <c r="M182" s="881"/>
      <c r="N182" s="881"/>
      <c r="O182" s="881"/>
      <c r="P182" s="881"/>
      <c r="Q182" s="881"/>
      <c r="R182" s="881"/>
      <c r="S182" s="881"/>
      <c r="T182" s="881"/>
      <c r="U182" s="881"/>
      <c r="V182" s="881"/>
      <c r="W182" s="881"/>
      <c r="X182" s="881"/>
      <c r="Y182" s="881"/>
      <c r="Z182" s="881"/>
      <c r="AA182" s="881"/>
      <c r="AB182" s="881"/>
      <c r="AC182" s="881"/>
      <c r="AD182" s="881"/>
      <c r="AE182" s="881"/>
      <c r="AF182" s="881"/>
      <c r="AG182" s="881"/>
      <c r="AH182" s="881"/>
      <c r="AI182" s="881"/>
      <c r="AJ182" s="881"/>
      <c r="AK182" s="881"/>
      <c r="AL182" s="881"/>
      <c r="AM182" s="881"/>
      <c r="AN182" s="881"/>
      <c r="AO182" s="881"/>
      <c r="AP182" s="881"/>
      <c r="AQ182" s="881"/>
      <c r="AR182" s="881"/>
      <c r="AS182" s="881"/>
      <c r="AT182" s="881"/>
      <c r="AU182" s="881"/>
      <c r="AV182" s="881"/>
      <c r="AW182" s="881"/>
      <c r="AX182" s="881"/>
      <c r="AY182" s="881"/>
      <c r="AZ182" s="881"/>
      <c r="BA182" s="881"/>
      <c r="BB182" s="881"/>
      <c r="BC182" s="881"/>
      <c r="BD182" s="881"/>
      <c r="BE182" s="881"/>
      <c r="BF182" s="881"/>
      <c r="BG182" s="881"/>
      <c r="BH182" s="881"/>
      <c r="BI182" s="881"/>
    </row>
    <row r="183" spans="1:61" x14ac:dyDescent="0.25">
      <c r="A183" s="881"/>
      <c r="B183" s="881"/>
      <c r="C183" s="881"/>
      <c r="D183" s="881"/>
      <c r="E183" s="881"/>
      <c r="F183" s="881"/>
      <c r="G183" s="881"/>
      <c r="H183" s="881"/>
    </row>
    <row r="184" spans="1:61" x14ac:dyDescent="0.25">
      <c r="A184" s="881"/>
      <c r="B184" s="881"/>
      <c r="C184" s="881"/>
      <c r="D184" s="881"/>
      <c r="E184" s="881"/>
      <c r="F184" s="881"/>
      <c r="G184" s="881"/>
      <c r="H184" s="881"/>
    </row>
    <row r="185" spans="1:61" x14ac:dyDescent="0.25">
      <c r="A185" s="881"/>
      <c r="B185" s="881"/>
      <c r="C185" s="881"/>
      <c r="D185" s="881"/>
      <c r="E185" s="881"/>
      <c r="F185" s="881"/>
      <c r="G185" s="881"/>
      <c r="H185" s="881"/>
    </row>
  </sheetData>
  <mergeCells count="6">
    <mergeCell ref="B106:D106"/>
    <mergeCell ref="B114:D114"/>
    <mergeCell ref="B118:D118"/>
    <mergeCell ref="S6:U6"/>
    <mergeCell ref="B89:C89"/>
    <mergeCell ref="B90:C90"/>
  </mergeCells>
  <phoneticPr fontId="0" type="noConversion"/>
  <conditionalFormatting sqref="C44:AC59">
    <cfRule type="dataBar" priority="2">
      <dataBar>
        <cfvo type="min"/>
        <cfvo type="max"/>
        <color rgb="FF638EC6"/>
      </dataBar>
      <extLst>
        <ext xmlns:x14="http://schemas.microsoft.com/office/spreadsheetml/2009/9/main" uri="{B025F937-C7B1-47D3-B67F-A62EFF666E3E}">
          <x14:id>{E8C33207-04B1-4E46-BEBF-C66B29A8C0CB}</x14:id>
        </ext>
      </extLst>
    </cfRule>
  </conditionalFormatting>
  <conditionalFormatting sqref="C64:AC64">
    <cfRule type="dataBar" priority="1">
      <dataBar>
        <cfvo type="min"/>
        <cfvo type="max"/>
        <color rgb="FF638EC6"/>
      </dataBar>
      <extLst>
        <ext xmlns:x14="http://schemas.microsoft.com/office/spreadsheetml/2009/9/main" uri="{B025F937-C7B1-47D3-B67F-A62EFF666E3E}">
          <x14:id>{2384DDD8-BF41-42D4-8C45-7466C31CF97D}</x14:id>
        </ext>
      </extLst>
    </cfRule>
  </conditionalFormatting>
  <pageMargins left="0.75" right="0.75" top="1" bottom="1" header="0.5" footer="0.5"/>
  <pageSetup orientation="portrait" horizontalDpi="1200" verticalDpi="1200" r:id="rId1"/>
  <headerFooter alignWithMargins="0"/>
  <drawing r:id="rId2"/>
  <extLst>
    <ext xmlns:x14="http://schemas.microsoft.com/office/spreadsheetml/2009/9/main" uri="{78C0D931-6437-407d-A8EE-F0AAD7539E65}">
      <x14:conditionalFormattings>
        <x14:conditionalFormatting xmlns:xm="http://schemas.microsoft.com/office/excel/2006/main">
          <x14:cfRule type="dataBar" id="{E8C33207-04B1-4E46-BEBF-C66B29A8C0CB}">
            <x14:dataBar minLength="0" maxLength="100" gradient="0">
              <x14:cfvo type="autoMin"/>
              <x14:cfvo type="autoMax"/>
              <x14:negativeFillColor rgb="FFFF0000"/>
              <x14:axisColor rgb="FF000000"/>
            </x14:dataBar>
          </x14:cfRule>
          <xm:sqref>C44:AC59</xm:sqref>
        </x14:conditionalFormatting>
        <x14:conditionalFormatting xmlns:xm="http://schemas.microsoft.com/office/excel/2006/main">
          <x14:cfRule type="dataBar" id="{2384DDD8-BF41-42D4-8C45-7466C31CF97D}">
            <x14:dataBar minLength="0" maxLength="100" gradient="0">
              <x14:cfvo type="autoMin"/>
              <x14:cfvo type="autoMax"/>
              <x14:negativeFillColor rgb="FFFF0000"/>
              <x14:axisColor rgb="FF000000"/>
            </x14:dataBar>
          </x14:cfRule>
          <xm:sqref>C64:AC64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2"/>
  <sheetViews>
    <sheetView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ColWidth="9.33203125" defaultRowHeight="13.2" x14ac:dyDescent="0.25"/>
  <cols>
    <col min="1" max="1" width="4.44140625" style="436"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44140625" style="29" customWidth="1"/>
    <col min="12" max="12" width="9.33203125" style="29"/>
    <col min="13" max="13" width="9.6640625" style="29" bestFit="1" customWidth="1"/>
    <col min="14" max="16384" width="9.33203125" style="29"/>
  </cols>
  <sheetData>
    <row r="1" spans="1:8" ht="8.6999999999999993" customHeight="1" thickBot="1" x14ac:dyDescent="0.3">
      <c r="A1" s="1396" t="s">
        <v>1375</v>
      </c>
      <c r="B1" s="1042"/>
      <c r="C1" s="1042"/>
      <c r="D1" s="1042"/>
      <c r="E1" s="1042"/>
      <c r="F1" s="1042"/>
      <c r="G1" s="1042"/>
      <c r="H1" s="1042"/>
    </row>
    <row r="2" spans="1:8" ht="27" customHeight="1" thickBot="1" x14ac:dyDescent="0.3">
      <c r="A2" s="1397"/>
      <c r="B2" s="1506" t="s">
        <v>1247</v>
      </c>
      <c r="C2" s="1507"/>
      <c r="D2" s="1507"/>
      <c r="E2" s="1507"/>
      <c r="F2" s="1507"/>
      <c r="G2" s="1508"/>
      <c r="H2" s="1042"/>
    </row>
    <row r="3" spans="1:8" ht="32.4" customHeight="1" thickBot="1" x14ac:dyDescent="0.3">
      <c r="A3" s="1397" t="s">
        <v>1015</v>
      </c>
      <c r="B3" s="1509" t="s">
        <v>1420</v>
      </c>
      <c r="C3" s="1510"/>
      <c r="D3" s="1511"/>
      <c r="E3" s="312"/>
      <c r="F3" s="1217"/>
      <c r="G3" s="1249"/>
      <c r="H3" s="1042"/>
    </row>
    <row r="4" spans="1:8" ht="6.6" customHeight="1" thickBot="1" x14ac:dyDescent="0.3">
      <c r="A4" s="1397"/>
      <c r="B4" s="1327"/>
      <c r="C4" s="312"/>
      <c r="D4" s="1512"/>
      <c r="E4" s="1512"/>
      <c r="F4" s="1217"/>
      <c r="G4" s="1249"/>
      <c r="H4" s="1042"/>
    </row>
    <row r="5" spans="1:8" ht="21.6" thickTop="1" x14ac:dyDescent="0.25">
      <c r="A5" s="1397"/>
      <c r="B5" s="1328" t="s">
        <v>1040</v>
      </c>
      <c r="C5" s="1329"/>
      <c r="D5" s="1330"/>
      <c r="E5" s="1330"/>
      <c r="F5" s="1204"/>
      <c r="G5" s="1205"/>
      <c r="H5" s="1042"/>
    </row>
    <row r="6" spans="1:8" ht="21" customHeight="1" x14ac:dyDescent="0.25">
      <c r="A6" s="1397"/>
      <c r="B6" s="1331" t="s">
        <v>200</v>
      </c>
      <c r="C6" s="312"/>
      <c r="D6" s="1332"/>
      <c r="E6" s="1332"/>
      <c r="F6" s="1217"/>
      <c r="G6" s="1249"/>
      <c r="H6" s="1042"/>
    </row>
    <row r="7" spans="1:8" ht="21" x14ac:dyDescent="0.25">
      <c r="A7" s="1397"/>
      <c r="B7" s="1333"/>
      <c r="C7" s="312"/>
      <c r="D7" s="1272"/>
      <c r="E7" s="1272"/>
      <c r="F7" s="1217"/>
      <c r="G7" s="1249"/>
      <c r="H7" s="1042"/>
    </row>
    <row r="8" spans="1:8" ht="29.25" customHeight="1" x14ac:dyDescent="0.25">
      <c r="A8" s="1397"/>
      <c r="B8" s="1331" t="s">
        <v>195</v>
      </c>
      <c r="C8" s="312"/>
      <c r="D8" s="1272"/>
      <c r="E8" s="1272"/>
      <c r="F8" s="1217"/>
      <c r="G8" s="1249"/>
      <c r="H8" s="1042"/>
    </row>
    <row r="9" spans="1:8" ht="21" x14ac:dyDescent="0.25">
      <c r="A9" s="1397"/>
      <c r="B9" s="1333"/>
      <c r="C9" s="312"/>
      <c r="D9" s="312"/>
      <c r="E9" s="312"/>
      <c r="F9" s="1217"/>
      <c r="G9" s="1249"/>
      <c r="H9" s="1042"/>
    </row>
    <row r="10" spans="1:8" ht="21" x14ac:dyDescent="0.25">
      <c r="A10" s="1397"/>
      <c r="B10" s="1331" t="s">
        <v>194</v>
      </c>
      <c r="C10" s="312"/>
      <c r="D10" s="312"/>
      <c r="E10" s="312"/>
      <c r="F10" s="1217"/>
      <c r="G10" s="1249"/>
      <c r="H10" s="1042"/>
    </row>
    <row r="11" spans="1:8" ht="21" x14ac:dyDescent="0.25">
      <c r="A11" s="1397"/>
      <c r="B11" s="1327"/>
      <c r="C11" s="312"/>
      <c r="D11" s="312"/>
      <c r="E11" s="312"/>
      <c r="F11" s="1217"/>
      <c r="G11" s="1249"/>
      <c r="H11" s="1042"/>
    </row>
    <row r="12" spans="1:8" ht="21" x14ac:dyDescent="0.25">
      <c r="A12" s="1397"/>
      <c r="B12" s="1327"/>
      <c r="C12" s="312"/>
      <c r="D12" s="312"/>
      <c r="E12" s="312"/>
      <c r="F12" s="1217"/>
      <c r="G12" s="1249"/>
      <c r="H12" s="1042"/>
    </row>
    <row r="13" spans="1:8" ht="21" x14ac:dyDescent="0.25">
      <c r="A13" s="1397"/>
      <c r="B13" s="1327"/>
      <c r="C13" s="312"/>
      <c r="D13" s="312"/>
      <c r="E13" s="312"/>
      <c r="F13" s="1217"/>
      <c r="G13" s="1249"/>
      <c r="H13" s="1042"/>
    </row>
    <row r="14" spans="1:8" ht="21" x14ac:dyDescent="0.25">
      <c r="A14" s="1397"/>
      <c r="B14" s="1334" t="s">
        <v>319</v>
      </c>
      <c r="C14" s="312"/>
      <c r="D14" s="312"/>
      <c r="E14" s="312"/>
      <c r="F14" s="312"/>
      <c r="G14" s="1249"/>
      <c r="H14" s="1042"/>
    </row>
    <row r="15" spans="1:8" ht="21" x14ac:dyDescent="0.25">
      <c r="A15" s="1397"/>
      <c r="B15" s="1334" t="s">
        <v>367</v>
      </c>
      <c r="C15" s="312"/>
      <c r="D15" s="312"/>
      <c r="E15" s="312"/>
      <c r="F15" s="312"/>
      <c r="G15" s="1249"/>
      <c r="H15" s="1042"/>
    </row>
    <row r="16" spans="1:8" ht="21" x14ac:dyDescent="0.25">
      <c r="A16" s="1397"/>
      <c r="B16" s="1334" t="s">
        <v>140</v>
      </c>
      <c r="C16" s="312"/>
      <c r="D16" s="312"/>
      <c r="E16" s="312"/>
      <c r="F16" s="312"/>
      <c r="G16" s="1249"/>
      <c r="H16" s="1347" t="s">
        <v>1149</v>
      </c>
    </row>
    <row r="17" spans="1:8" ht="21" x14ac:dyDescent="0.25">
      <c r="A17" s="1397"/>
      <c r="B17" s="1334" t="s">
        <v>930</v>
      </c>
      <c r="C17" s="312"/>
      <c r="D17" s="312"/>
      <c r="E17" s="312"/>
      <c r="F17" s="312"/>
      <c r="G17" s="1249"/>
      <c r="H17" s="1348">
        <f ca="1">+NPV</f>
        <v>1.8990003429625394E-6</v>
      </c>
    </row>
    <row r="18" spans="1:8" ht="21" x14ac:dyDescent="0.25">
      <c r="A18" s="1397"/>
      <c r="B18" s="1334" t="s">
        <v>349</v>
      </c>
      <c r="C18" s="312"/>
      <c r="D18" s="312"/>
      <c r="E18" s="312"/>
      <c r="F18" s="312"/>
      <c r="G18" s="1249"/>
      <c r="H18" s="1042"/>
    </row>
    <row r="19" spans="1:8" ht="21" x14ac:dyDescent="0.25">
      <c r="A19" s="1397"/>
      <c r="B19" s="1334" t="s">
        <v>931</v>
      </c>
      <c r="C19" s="312"/>
      <c r="D19" s="312"/>
      <c r="E19" s="312"/>
      <c r="F19" s="312"/>
      <c r="G19" s="1249"/>
      <c r="H19" s="1042"/>
    </row>
    <row r="20" spans="1:8" ht="21" x14ac:dyDescent="0.25">
      <c r="A20" s="1397"/>
      <c r="B20" s="1334" t="s">
        <v>932</v>
      </c>
      <c r="C20" s="312"/>
      <c r="D20" s="312"/>
      <c r="E20" s="312"/>
      <c r="F20" s="312"/>
      <c r="G20" s="1249"/>
      <c r="H20" s="1042"/>
    </row>
    <row r="21" spans="1:8" ht="5.7" customHeight="1" x14ac:dyDescent="0.25">
      <c r="A21" s="1397"/>
      <c r="B21" s="1335"/>
      <c r="C21" s="312"/>
      <c r="D21" s="1272"/>
      <c r="E21" s="1272"/>
      <c r="F21" s="1217"/>
      <c r="G21" s="1249"/>
      <c r="H21" s="1042"/>
    </row>
    <row r="22" spans="1:8" ht="5.7" customHeight="1" x14ac:dyDescent="0.25">
      <c r="A22" s="1397"/>
      <c r="B22" s="1042"/>
      <c r="C22" s="1042"/>
      <c r="D22" s="1042"/>
      <c r="E22" s="1272"/>
      <c r="F22" s="1217"/>
      <c r="G22" s="1249"/>
      <c r="H22" s="1042"/>
    </row>
    <row r="23" spans="1:8" ht="5.7" customHeight="1" thickBot="1" x14ac:dyDescent="0.3">
      <c r="A23" s="1397"/>
      <c r="B23" s="1327"/>
      <c r="C23" s="312"/>
      <c r="D23" s="1272"/>
      <c r="E23" s="1272"/>
      <c r="F23" s="1217"/>
      <c r="G23" s="1249"/>
      <c r="H23" s="1042"/>
    </row>
    <row r="24" spans="1:8" ht="31.5" customHeight="1" thickTop="1" thickBot="1" x14ac:dyDescent="0.3">
      <c r="A24" s="1397"/>
      <c r="B24" s="1336" t="s">
        <v>319</v>
      </c>
      <c r="C24" s="1199"/>
      <c r="D24" s="1199"/>
      <c r="E24" s="1500" t="s">
        <v>427</v>
      </c>
      <c r="F24" s="1500"/>
      <c r="G24" s="1501"/>
      <c r="H24" s="1042"/>
    </row>
    <row r="25" spans="1:8" ht="17.100000000000001" customHeight="1" thickBot="1" x14ac:dyDescent="0.3">
      <c r="A25" s="1397" t="s">
        <v>5</v>
      </c>
      <c r="B25" s="313" t="s">
        <v>331</v>
      </c>
      <c r="C25" s="1188">
        <f ca="1">0.9*sensitivity_01</f>
        <v>0.9</v>
      </c>
      <c r="D25" s="1197"/>
      <c r="E25" s="1498"/>
      <c r="F25" s="1498"/>
      <c r="G25" s="1499"/>
      <c r="H25" s="1042"/>
    </row>
    <row r="26" spans="1:8" ht="17.100000000000001" customHeight="1" thickBot="1" x14ac:dyDescent="0.3">
      <c r="A26" s="1397" t="s">
        <v>23</v>
      </c>
      <c r="B26" s="313" t="s">
        <v>332</v>
      </c>
      <c r="C26" s="1380">
        <f ca="1">ProcessFlow!V12*sensitivity_02</f>
        <v>483000</v>
      </c>
      <c r="D26" s="1197"/>
      <c r="E26" s="1498"/>
      <c r="F26" s="1498"/>
      <c r="G26" s="1499"/>
      <c r="H26" s="1042"/>
    </row>
    <row r="27" spans="1:8" ht="17.100000000000001" customHeight="1" thickBot="1" x14ac:dyDescent="0.3">
      <c r="A27" s="1397"/>
      <c r="B27" s="313" t="s">
        <v>418</v>
      </c>
      <c r="C27" s="1196">
        <f ca="1">design_cap*cap_factor</f>
        <v>434700</v>
      </c>
      <c r="D27" s="1197"/>
      <c r="E27" s="1320"/>
      <c r="F27" s="1320"/>
      <c r="G27" s="1317"/>
      <c r="H27" s="1042"/>
    </row>
    <row r="28" spans="1:8" ht="17.100000000000001" customHeight="1" thickBot="1" x14ac:dyDescent="0.3">
      <c r="A28" s="1397" t="s">
        <v>982</v>
      </c>
      <c r="B28" s="313" t="s">
        <v>17</v>
      </c>
      <c r="C28" s="1198">
        <f ca="1">output_kgpday*365</f>
        <v>158665500</v>
      </c>
      <c r="D28" s="1197"/>
      <c r="E28" s="1503"/>
      <c r="F28" s="1498"/>
      <c r="G28" s="1499"/>
      <c r="H28" s="1042"/>
    </row>
    <row r="29" spans="1:8" ht="20.100000000000001" customHeight="1" thickTop="1" thickBot="1" x14ac:dyDescent="0.3">
      <c r="A29" s="1397"/>
      <c r="B29" s="1336" t="s">
        <v>367</v>
      </c>
      <c r="C29" s="1199"/>
      <c r="D29" s="1200"/>
      <c r="E29" s="1500" t="s">
        <v>1071</v>
      </c>
      <c r="F29" s="1500"/>
      <c r="G29" s="1501"/>
      <c r="H29" s="1042"/>
    </row>
    <row r="30" spans="1:8" ht="17.100000000000001" customHeight="1" thickBot="1" x14ac:dyDescent="0.3">
      <c r="A30" s="1397" t="s">
        <v>998</v>
      </c>
      <c r="B30" s="313" t="s">
        <v>999</v>
      </c>
      <c r="C30" s="1037">
        <v>2016</v>
      </c>
      <c r="D30" s="1148"/>
      <c r="E30" s="1498"/>
      <c r="F30" s="1498"/>
      <c r="G30" s="1499"/>
      <c r="H30" s="1042"/>
    </row>
    <row r="31" spans="1:8" ht="17.100000000000001" customHeight="1" thickBot="1" x14ac:dyDescent="0.3">
      <c r="A31" s="1397" t="s">
        <v>179</v>
      </c>
      <c r="B31" s="313" t="s">
        <v>368</v>
      </c>
      <c r="C31" s="1037">
        <v>2015</v>
      </c>
      <c r="D31" s="1197"/>
      <c r="E31" s="1498"/>
      <c r="F31" s="1498"/>
      <c r="G31" s="1499"/>
      <c r="H31" s="1042"/>
    </row>
    <row r="32" spans="1:8" ht="17.100000000000001" customHeight="1" thickBot="1" x14ac:dyDescent="0.3">
      <c r="A32" s="1397"/>
      <c r="B32" s="313" t="s">
        <v>821</v>
      </c>
      <c r="C32" s="1037">
        <v>2018</v>
      </c>
      <c r="D32" s="1513" t="s">
        <v>1070</v>
      </c>
      <c r="E32" s="1320"/>
      <c r="F32" s="1320"/>
      <c r="G32" s="1317"/>
      <c r="H32" s="1042"/>
    </row>
    <row r="33" spans="1:8" ht="17.100000000000001" customHeight="1" thickBot="1" x14ac:dyDescent="0.3">
      <c r="A33" s="1397" t="s">
        <v>7</v>
      </c>
      <c r="B33" s="313" t="s">
        <v>369</v>
      </c>
      <c r="C33" s="1037">
        <v>3</v>
      </c>
      <c r="D33" s="1513"/>
      <c r="E33" s="1498"/>
      <c r="F33" s="1498"/>
      <c r="G33" s="1499"/>
      <c r="H33" s="1042"/>
    </row>
    <row r="34" spans="1:8" ht="17.100000000000001" customHeight="1" thickBot="1" x14ac:dyDescent="0.3">
      <c r="A34" s="1397" t="s">
        <v>158</v>
      </c>
      <c r="B34" s="313" t="s">
        <v>924</v>
      </c>
      <c r="C34" s="1189">
        <v>1</v>
      </c>
      <c r="D34" s="1201"/>
      <c r="E34" s="1498"/>
      <c r="F34" s="1498"/>
      <c r="G34" s="1499"/>
      <c r="H34" s="1042"/>
    </row>
    <row r="35" spans="1:8" ht="17.100000000000001" customHeight="1" thickBot="1" x14ac:dyDescent="0.3">
      <c r="A35" s="1397" t="s">
        <v>159</v>
      </c>
      <c r="B35" s="313" t="s">
        <v>370</v>
      </c>
      <c r="C35" s="1189">
        <v>0</v>
      </c>
      <c r="D35" s="1201"/>
      <c r="E35" s="1498"/>
      <c r="F35" s="1498"/>
      <c r="G35" s="1499"/>
      <c r="H35" s="1042"/>
    </row>
    <row r="36" spans="1:8" ht="17.100000000000001" customHeight="1" thickBot="1" x14ac:dyDescent="0.3">
      <c r="A36" s="1397" t="s">
        <v>160</v>
      </c>
      <c r="B36" s="313" t="s">
        <v>371</v>
      </c>
      <c r="C36" s="1189">
        <v>0</v>
      </c>
      <c r="D36" s="1201"/>
      <c r="E36" s="1498"/>
      <c r="F36" s="1498"/>
      <c r="G36" s="1499"/>
      <c r="H36" s="1042"/>
    </row>
    <row r="37" spans="1:8" ht="17.100000000000001" customHeight="1" thickBot="1" x14ac:dyDescent="0.3">
      <c r="A37" s="1397" t="s">
        <v>161</v>
      </c>
      <c r="B37" s="313" t="s">
        <v>320</v>
      </c>
      <c r="C37" s="1189"/>
      <c r="D37" s="1197"/>
      <c r="E37" s="1498"/>
      <c r="F37" s="1498"/>
      <c r="G37" s="1499"/>
      <c r="H37" s="1042"/>
    </row>
    <row r="38" spans="1:8" ht="17.100000000000001" customHeight="1" thickBot="1" x14ac:dyDescent="0.3">
      <c r="A38" s="1397" t="s">
        <v>178</v>
      </c>
      <c r="B38" s="313" t="s">
        <v>373</v>
      </c>
      <c r="C38" s="1037">
        <v>1</v>
      </c>
      <c r="D38" s="1197"/>
      <c r="E38" s="1498"/>
      <c r="F38" s="1498"/>
      <c r="G38" s="1499"/>
      <c r="H38" s="1042"/>
    </row>
    <row r="39" spans="1:8" ht="17.100000000000001" customHeight="1" thickBot="1" x14ac:dyDescent="0.3">
      <c r="A39" s="1397" t="s">
        <v>167</v>
      </c>
      <c r="B39" s="313" t="s">
        <v>374</v>
      </c>
      <c r="C39" s="1037">
        <v>40</v>
      </c>
      <c r="D39" s="1197"/>
      <c r="E39" s="1498"/>
      <c r="F39" s="1498"/>
      <c r="G39" s="1499"/>
      <c r="H39" s="1042"/>
    </row>
    <row r="40" spans="1:8" ht="17.100000000000001" customHeight="1" thickBot="1" x14ac:dyDescent="0.3">
      <c r="A40" s="1397" t="s">
        <v>4</v>
      </c>
      <c r="B40" s="313" t="s">
        <v>375</v>
      </c>
      <c r="C40" s="1037">
        <v>40</v>
      </c>
      <c r="D40" s="1197"/>
      <c r="E40" s="1498"/>
      <c r="F40" s="1498"/>
      <c r="G40" s="1499"/>
      <c r="H40" s="1042"/>
    </row>
    <row r="41" spans="1:8" ht="17.100000000000001" customHeight="1" thickBot="1" x14ac:dyDescent="0.3">
      <c r="A41" s="1397" t="s">
        <v>21</v>
      </c>
      <c r="B41" s="313" t="s">
        <v>376</v>
      </c>
      <c r="C41" s="1037">
        <v>20</v>
      </c>
      <c r="D41" s="1197"/>
      <c r="E41" s="1498"/>
      <c r="F41" s="1498"/>
      <c r="G41" s="1499"/>
      <c r="H41" s="1042"/>
    </row>
    <row r="42" spans="1:8" ht="17.100000000000001" customHeight="1" thickBot="1" x14ac:dyDescent="0.3">
      <c r="A42" s="1397" t="s">
        <v>22</v>
      </c>
      <c r="B42" s="313" t="s">
        <v>384</v>
      </c>
      <c r="C42" s="1190" t="s">
        <v>424</v>
      </c>
      <c r="D42" s="1197"/>
      <c r="E42" s="1498"/>
      <c r="F42" s="1498"/>
      <c r="G42" s="1499"/>
      <c r="H42" s="1042"/>
    </row>
    <row r="43" spans="1:8" ht="17.100000000000001" customHeight="1" thickBot="1" x14ac:dyDescent="0.3">
      <c r="A43" s="1397" t="s">
        <v>244</v>
      </c>
      <c r="B43" s="313" t="s">
        <v>16</v>
      </c>
      <c r="C43" s="1191">
        <v>0.4</v>
      </c>
      <c r="D43" s="1197"/>
      <c r="E43" s="1498"/>
      <c r="F43" s="1498"/>
      <c r="G43" s="1499"/>
      <c r="H43" s="1042"/>
    </row>
    <row r="44" spans="1:8" ht="17.100000000000001" customHeight="1" thickBot="1" x14ac:dyDescent="0.3">
      <c r="A44" s="1397" t="s">
        <v>10</v>
      </c>
      <c r="B44" s="313" t="s">
        <v>383</v>
      </c>
      <c r="C44" s="1192">
        <v>3.6999999999999998E-2</v>
      </c>
      <c r="D44" s="1197"/>
      <c r="E44" s="1498"/>
      <c r="F44" s="1498"/>
      <c r="G44" s="1499"/>
      <c r="H44" s="1042"/>
    </row>
    <row r="45" spans="1:8" ht="17.100000000000001" customHeight="1" thickBot="1" x14ac:dyDescent="0.3">
      <c r="A45" s="1397" t="s">
        <v>11</v>
      </c>
      <c r="B45" s="313" t="s">
        <v>377</v>
      </c>
      <c r="C45" s="1193">
        <v>0</v>
      </c>
      <c r="D45" s="1197"/>
      <c r="E45" s="1498" t="s">
        <v>1246</v>
      </c>
      <c r="F45" s="1498"/>
      <c r="G45" s="1499"/>
      <c r="H45" s="1042"/>
    </row>
    <row r="46" spans="1:8" ht="17.100000000000001" customHeight="1" thickBot="1" x14ac:dyDescent="0.3">
      <c r="A46" s="1397" t="s">
        <v>162</v>
      </c>
      <c r="B46" s="313" t="s">
        <v>378</v>
      </c>
      <c r="C46" s="1189">
        <v>1</v>
      </c>
      <c r="D46" s="1197"/>
      <c r="E46" s="1498"/>
      <c r="F46" s="1498"/>
      <c r="G46" s="1499"/>
      <c r="H46" s="1042"/>
    </row>
    <row r="47" spans="1:8" ht="17.100000000000001" customHeight="1" thickBot="1" x14ac:dyDescent="0.3">
      <c r="A47" s="1397" t="s">
        <v>164</v>
      </c>
      <c r="B47" s="313" t="s">
        <v>379</v>
      </c>
      <c r="C47" s="1189">
        <v>1</v>
      </c>
      <c r="D47" s="1197"/>
      <c r="E47" s="1498"/>
      <c r="F47" s="1498"/>
      <c r="G47" s="1499"/>
      <c r="H47" s="1042"/>
    </row>
    <row r="48" spans="1:8" ht="17.100000000000001" customHeight="1" thickBot="1" x14ac:dyDescent="0.3">
      <c r="A48" s="1397" t="s">
        <v>165</v>
      </c>
      <c r="B48" s="313" t="s">
        <v>380</v>
      </c>
      <c r="C48" s="1189">
        <v>1</v>
      </c>
      <c r="D48" s="1197"/>
      <c r="E48" s="1498"/>
      <c r="F48" s="1498"/>
      <c r="G48" s="1499"/>
      <c r="H48" s="1042"/>
    </row>
    <row r="49" spans="1:8" ht="17.100000000000001" customHeight="1" thickBot="1" x14ac:dyDescent="0.3">
      <c r="A49" s="1397" t="s">
        <v>15</v>
      </c>
      <c r="B49" s="313" t="s">
        <v>381</v>
      </c>
      <c r="C49" s="1189">
        <v>0.1</v>
      </c>
      <c r="D49" s="1197"/>
      <c r="E49" s="1498"/>
      <c r="F49" s="1498"/>
      <c r="G49" s="1499"/>
      <c r="H49" s="1042"/>
    </row>
    <row r="50" spans="1:8" ht="17.100000000000001" customHeight="1" thickBot="1" x14ac:dyDescent="0.3">
      <c r="A50" s="1397" t="s">
        <v>175</v>
      </c>
      <c r="B50" s="313" t="s">
        <v>382</v>
      </c>
      <c r="C50" s="1189">
        <v>0.1</v>
      </c>
      <c r="D50" s="1197"/>
      <c r="E50" s="1498"/>
      <c r="F50" s="1498"/>
      <c r="G50" s="1499"/>
      <c r="H50" s="1042"/>
    </row>
    <row r="51" spans="1:8" ht="17.100000000000001" customHeight="1" thickBot="1" x14ac:dyDescent="0.3">
      <c r="A51" s="1397" t="s">
        <v>27</v>
      </c>
      <c r="B51" s="313" t="s">
        <v>953</v>
      </c>
      <c r="C51" s="1188">
        <v>1.9E-2</v>
      </c>
      <c r="D51" s="1197"/>
      <c r="E51" s="1498"/>
      <c r="F51" s="1498"/>
      <c r="G51" s="1499"/>
      <c r="H51" s="1042"/>
    </row>
    <row r="52" spans="1:8" ht="17.100000000000001" customHeight="1" thickBot="1" x14ac:dyDescent="0.3">
      <c r="A52" s="1397" t="s">
        <v>171</v>
      </c>
      <c r="B52" s="313" t="s">
        <v>993</v>
      </c>
      <c r="C52" s="1188">
        <f ca="1">0.08*sensitivity_03</f>
        <v>0.08</v>
      </c>
      <c r="D52" s="1197"/>
      <c r="E52" s="1498"/>
      <c r="F52" s="1498"/>
      <c r="G52" s="1499"/>
      <c r="H52" s="1042"/>
    </row>
    <row r="53" spans="1:8" ht="17.100000000000001" customHeight="1" thickBot="1" x14ac:dyDescent="0.3">
      <c r="A53" s="1397" t="s">
        <v>181</v>
      </c>
      <c r="B53" s="313" t="s">
        <v>994</v>
      </c>
      <c r="C53" s="1188">
        <v>0.06</v>
      </c>
      <c r="D53" s="1197"/>
      <c r="E53" s="1498"/>
      <c r="F53" s="1498"/>
      <c r="G53" s="1499"/>
      <c r="H53" s="1042"/>
    </row>
    <row r="54" spans="1:8" ht="17.100000000000001" customHeight="1" thickBot="1" x14ac:dyDescent="0.3">
      <c r="A54" s="1397" t="s">
        <v>25</v>
      </c>
      <c r="B54" s="313" t="s">
        <v>952</v>
      </c>
      <c r="C54" s="1194">
        <v>0.21</v>
      </c>
      <c r="D54" s="1197"/>
      <c r="E54" s="1498"/>
      <c r="F54" s="1498"/>
      <c r="G54" s="1499"/>
      <c r="H54" s="1042"/>
    </row>
    <row r="55" spans="1:8" ht="17.100000000000001" customHeight="1" thickBot="1" x14ac:dyDescent="0.3">
      <c r="A55" s="1397" t="s">
        <v>990</v>
      </c>
      <c r="B55" s="313" t="s">
        <v>18</v>
      </c>
      <c r="C55" s="1195">
        <f>fed_tax_rate+state_tax_rate*(1-fed_tax_rate)</f>
        <v>0.25739999999999996</v>
      </c>
      <c r="D55" s="1202"/>
      <c r="E55" s="1503"/>
      <c r="F55" s="1498"/>
      <c r="G55" s="1499"/>
      <c r="H55" s="1042"/>
    </row>
    <row r="56" spans="1:8" ht="17.100000000000001" customHeight="1" thickBot="1" x14ac:dyDescent="0.3">
      <c r="A56" s="1397" t="s">
        <v>186</v>
      </c>
      <c r="B56" s="313" t="s">
        <v>366</v>
      </c>
      <c r="C56" s="1184">
        <v>0.15</v>
      </c>
      <c r="D56" s="1197"/>
      <c r="E56" s="1498"/>
      <c r="F56" s="1498"/>
      <c r="G56" s="1499"/>
      <c r="H56" s="1042"/>
    </row>
    <row r="57" spans="1:8" ht="18.75" customHeight="1" thickTop="1" x14ac:dyDescent="0.25">
      <c r="A57" s="1397"/>
      <c r="B57" s="1337" t="s">
        <v>1016</v>
      </c>
      <c r="C57" s="1203"/>
      <c r="D57" s="1204"/>
      <c r="E57" s="1204"/>
      <c r="F57" s="1204"/>
      <c r="G57" s="1205"/>
      <c r="H57" s="1042"/>
    </row>
    <row r="58" spans="1:8" ht="21" customHeight="1" thickBot="1" x14ac:dyDescent="0.3">
      <c r="A58" s="1397"/>
      <c r="B58" s="413" t="s">
        <v>272</v>
      </c>
      <c r="C58" s="446"/>
      <c r="D58" s="1206"/>
      <c r="E58" s="1206"/>
      <c r="F58" s="1206"/>
      <c r="G58" s="1207"/>
      <c r="H58" s="1042"/>
    </row>
    <row r="59" spans="1:8" ht="23.25" customHeight="1" thickBot="1" x14ac:dyDescent="0.3">
      <c r="A59" s="1397"/>
      <c r="B59" s="980" t="s">
        <v>1187</v>
      </c>
      <c r="C59" s="446"/>
      <c r="D59" s="1206"/>
      <c r="E59" s="1206"/>
      <c r="F59" s="1502" t="s">
        <v>699</v>
      </c>
      <c r="G59" s="1207"/>
      <c r="H59" s="1042"/>
    </row>
    <row r="60" spans="1:8" ht="18.75" customHeight="1" thickBot="1" x14ac:dyDescent="0.3">
      <c r="A60" s="1397"/>
      <c r="B60" s="413" t="s">
        <v>681</v>
      </c>
      <c r="C60" s="1206"/>
      <c r="D60" s="1206"/>
      <c r="E60" s="1206"/>
      <c r="F60" s="1502"/>
      <c r="G60" s="1207"/>
      <c r="H60" s="1042"/>
    </row>
    <row r="61" spans="1:8" ht="17.100000000000001" customHeight="1" thickBot="1" x14ac:dyDescent="0.3">
      <c r="A61" s="1397"/>
      <c r="B61" s="980" t="s">
        <v>813</v>
      </c>
      <c r="C61" s="415" t="str">
        <f>IF(OR(TMP_FeedType="Feedstock",TMP_FeedType = "Utility")," Enter usage in","Enter production in")</f>
        <v xml:space="preserve"> Enter usage in</v>
      </c>
      <c r="D61" s="415" t="str">
        <f ca="1">VLOOKUP(TMP_FeedName,INDIRECT(TMP_PriceTable),4,FALSE)</f>
        <v>mmBtu</v>
      </c>
      <c r="E61" s="1206"/>
      <c r="F61" s="1502"/>
      <c r="G61" s="1207"/>
      <c r="H61" s="1042"/>
    </row>
    <row r="62" spans="1:8" ht="17.100000000000001" customHeight="1" thickBot="1" x14ac:dyDescent="0.3">
      <c r="A62" s="1397"/>
      <c r="B62" s="413" t="s">
        <v>682</v>
      </c>
      <c r="C62" s="415"/>
      <c r="D62" s="415"/>
      <c r="E62" s="1206"/>
      <c r="F62" s="1502"/>
      <c r="G62" s="1207"/>
      <c r="H62" s="1042"/>
    </row>
    <row r="63" spans="1:8" ht="17.100000000000001" customHeight="1" thickBot="1" x14ac:dyDescent="0.3">
      <c r="A63" s="1397"/>
      <c r="B63" s="980" t="s">
        <v>280</v>
      </c>
      <c r="C63" s="1206"/>
      <c r="D63" s="1206"/>
      <c r="E63" s="1206"/>
      <c r="F63" s="1502"/>
      <c r="G63" s="1207"/>
      <c r="H63" s="1042"/>
    </row>
    <row r="64" spans="1:8" ht="17.100000000000001" customHeight="1" thickBot="1" x14ac:dyDescent="0.3">
      <c r="A64" s="1397"/>
      <c r="B64" s="1338"/>
      <c r="C64" s="1206"/>
      <c r="D64" s="1206"/>
      <c r="E64" s="1206"/>
      <c r="F64" s="1502"/>
      <c r="G64" s="1207"/>
      <c r="H64" s="1042"/>
    </row>
    <row r="65" spans="1:8" ht="37.5" customHeight="1" thickBot="1" x14ac:dyDescent="0.3">
      <c r="A65" s="1397"/>
      <c r="B65" s="421" t="str">
        <f>SELECTED_FEED</f>
        <v>feedstock</v>
      </c>
      <c r="C65" s="476" t="str">
        <f>TMP_FeedName</f>
        <v>Industrial Natural Gas</v>
      </c>
      <c r="D65" s="477"/>
      <c r="E65" s="1208"/>
      <c r="F65" s="1502"/>
      <c r="G65" s="1207"/>
      <c r="H65" s="1042"/>
    </row>
    <row r="66" spans="1:8" ht="19.2" customHeight="1" thickBot="1" x14ac:dyDescent="0.3">
      <c r="A66" s="1397"/>
      <c r="B66" s="422" t="str">
        <f ca="1">"Price Conversion Factor (GJ/"&amp;TMP_Units&amp;")"</f>
        <v>Price Conversion Factor (GJ/mmBtu)</v>
      </c>
      <c r="C66" s="429">
        <f ca="1">VLOOKUP(TMP_FeedName,MASTER_PROPERTY_TABLE,9,FALSE)</f>
        <v>1.0549999999999999</v>
      </c>
      <c r="D66" s="1208"/>
      <c r="E66" s="1208"/>
      <c r="F66" s="1502"/>
      <c r="G66" s="1207"/>
      <c r="H66" s="1042"/>
    </row>
    <row r="67" spans="1:8" ht="19.2" customHeight="1" thickBot="1" x14ac:dyDescent="0.3">
      <c r="A67" s="1397"/>
      <c r="B67" s="699" t="str">
        <f ca="1">"Price in Startup Year ($" &amp; ref_year &amp; ")/" &amp; TMP_Units</f>
        <v>Price in Startup Year ($2016)/mmBtu</v>
      </c>
      <c r="C67" s="1038">
        <f ca="1">HLOOKUP(startup_year,INDIRECT(TMP_PriceTable),MATCH(TMP_FeedName,INDIRECT(Energy_Feed_List),0),FALSE)*TMP_Conversion</f>
        <v>3.7336748144174337</v>
      </c>
      <c r="D67" s="1209"/>
      <c r="E67" s="417"/>
      <c r="F67" s="1502"/>
      <c r="G67" s="1207"/>
      <c r="H67" s="1042"/>
    </row>
    <row r="68" spans="1:8" ht="19.2" customHeight="1" thickBot="1" x14ac:dyDescent="0.3">
      <c r="A68" s="1397"/>
      <c r="B68" s="422" t="str">
        <f ca="1">IF(OR(TMP_FeedType="Feedstock",TMP_FeedType = "Utility"),"Usage ("&amp;TMP_Units&amp;"/kg H2)","Production ("&amp;TMP_Units&amp;"/kg H2)")</f>
        <v>Usage (mmBtu/kg H2)</v>
      </c>
      <c r="C68" s="1303">
        <f>+ProcessFlow!C30</f>
        <v>1</v>
      </c>
      <c r="D68" s="417"/>
      <c r="E68" s="1208"/>
      <c r="F68" s="1502"/>
      <c r="G68" s="1207"/>
      <c r="H68" s="1042"/>
    </row>
    <row r="69" spans="1:8" ht="19.2" customHeight="1" thickBot="1" x14ac:dyDescent="0.3">
      <c r="A69" s="1397"/>
      <c r="B69" s="423" t="str">
        <f>IF(OR(TMP_FeedType = "Feedstock",TMP_FeedType = "Utility"), "Cost in Startup Year","Income in Startup Year")</f>
        <v>Cost in Startup Year</v>
      </c>
      <c r="C69" s="434">
        <f ca="1">design_cap*365*cap_factor*TMP_Usage*TMP_StartPrice</f>
        <v>592405381.2669493</v>
      </c>
      <c r="D69" s="1208"/>
      <c r="E69" s="1208"/>
      <c r="F69" s="1206"/>
      <c r="G69" s="1207"/>
      <c r="H69" s="1042"/>
    </row>
    <row r="70" spans="1:8" ht="19.2" customHeight="1" thickBot="1" x14ac:dyDescent="0.3">
      <c r="A70" s="1397"/>
      <c r="B70" s="422" t="s">
        <v>259</v>
      </c>
      <c r="C70" s="428" t="s">
        <v>696</v>
      </c>
      <c r="D70" s="1208"/>
      <c r="E70" s="1208"/>
      <c r="F70" s="1206"/>
      <c r="G70" s="1207"/>
      <c r="H70" s="1042"/>
    </row>
    <row r="71" spans="1:8" s="414" customFormat="1" ht="19.2" customHeight="1" x14ac:dyDescent="0.25">
      <c r="A71" s="1398"/>
      <c r="B71" s="752"/>
      <c r="C71" s="753"/>
      <c r="D71" s="1208"/>
      <c r="E71" s="1208"/>
      <c r="F71" s="1206"/>
      <c r="G71" s="1207"/>
      <c r="H71" s="1042"/>
    </row>
    <row r="72" spans="1:8" ht="27" customHeight="1" thickBot="1" x14ac:dyDescent="0.3">
      <c r="A72" s="1399"/>
      <c r="B72" s="1339" t="s">
        <v>700</v>
      </c>
      <c r="C72" s="1210"/>
      <c r="D72" s="1210"/>
      <c r="E72" s="1210"/>
      <c r="F72" s="1210"/>
      <c r="G72" s="1211"/>
      <c r="H72" s="1042"/>
    </row>
    <row r="73" spans="1:8" ht="28.2" customHeight="1" x14ac:dyDescent="0.25">
      <c r="A73" s="1399" t="s">
        <v>12</v>
      </c>
      <c r="B73" s="430"/>
      <c r="C73" s="431"/>
      <c r="D73" s="431"/>
      <c r="E73" s="431"/>
      <c r="F73" s="432"/>
      <c r="G73" s="433"/>
      <c r="H73" s="1042"/>
    </row>
    <row r="74" spans="1:8" ht="28.2" customHeight="1" x14ac:dyDescent="0.25">
      <c r="A74" s="1399"/>
      <c r="B74" s="430" t="s">
        <v>813</v>
      </c>
      <c r="C74" s="431" t="s">
        <v>1243</v>
      </c>
      <c r="D74" s="431" t="s">
        <v>1244</v>
      </c>
      <c r="E74" s="431" t="s">
        <v>1245</v>
      </c>
      <c r="F74" s="432" t="s">
        <v>814</v>
      </c>
      <c r="G74" s="433" t="s">
        <v>259</v>
      </c>
      <c r="H74" s="1042"/>
    </row>
    <row r="75" spans="1:8" ht="28.2" customHeight="1" x14ac:dyDescent="0.25">
      <c r="A75" s="1399"/>
      <c r="B75" s="430" t="s">
        <v>683</v>
      </c>
      <c r="C75" s="431">
        <v>3.5999999999999995E-3</v>
      </c>
      <c r="D75" s="431">
        <v>6.9980611257164108E-2</v>
      </c>
      <c r="E75" s="1389">
        <f>+ProcessFlow!V22</f>
        <v>1.5026086956521738</v>
      </c>
      <c r="F75" s="432">
        <f ca="1">+output_kgyear*feedstockIndustrial_Electricity_Price*feedstockIndustrial_Electricity_Usage</f>
        <v>16684228.68794081</v>
      </c>
      <c r="G75" s="433" t="s">
        <v>696</v>
      </c>
      <c r="H75" s="1042"/>
    </row>
    <row r="76" spans="1:8" ht="28.2" customHeight="1" x14ac:dyDescent="0.25">
      <c r="A76" s="1399"/>
      <c r="B76" s="430" t="s">
        <v>813</v>
      </c>
      <c r="C76" s="431" t="s">
        <v>1344</v>
      </c>
      <c r="D76" s="431" t="s">
        <v>1345</v>
      </c>
      <c r="E76" s="431" t="s">
        <v>1346</v>
      </c>
      <c r="F76" s="432" t="s">
        <v>814</v>
      </c>
      <c r="G76" s="433" t="s">
        <v>259</v>
      </c>
      <c r="H76" s="1042"/>
    </row>
    <row r="77" spans="1:8" ht="28.2" customHeight="1" x14ac:dyDescent="0.25">
      <c r="A77" s="1399"/>
      <c r="B77" s="430" t="s">
        <v>280</v>
      </c>
      <c r="C77" s="431">
        <v>1.0549999999999999</v>
      </c>
      <c r="D77" s="431">
        <v>3.7336748144174337</v>
      </c>
      <c r="E77" s="1388">
        <f>+ProcessFlow!V18</f>
        <v>0.16777966335265296</v>
      </c>
      <c r="F77" s="432">
        <f ca="1">+output_kgyear*feedstockIndustrial_Natural_Gas_Price*feedstockIndustrial_Natural_Gas_Usage</f>
        <v>99393575.437268779</v>
      </c>
      <c r="G77" s="433" t="s">
        <v>696</v>
      </c>
      <c r="H77" s="1042"/>
    </row>
    <row r="78" spans="1:8" ht="28.2" customHeight="1" x14ac:dyDescent="0.25">
      <c r="A78" s="1399" t="s">
        <v>12</v>
      </c>
      <c r="B78" s="430"/>
      <c r="C78" s="431"/>
      <c r="D78" s="431"/>
      <c r="E78" s="431"/>
      <c r="F78" s="432"/>
      <c r="G78" s="433"/>
      <c r="H78" s="1042"/>
    </row>
    <row r="79" spans="1:8" ht="28.2" customHeight="1" x14ac:dyDescent="0.25">
      <c r="A79" s="1397" t="s">
        <v>270</v>
      </c>
      <c r="B79" s="430"/>
      <c r="C79" s="431"/>
      <c r="D79" s="431"/>
      <c r="E79" s="431"/>
      <c r="F79" s="432"/>
      <c r="G79" s="433"/>
      <c r="H79" s="1042"/>
    </row>
    <row r="80" spans="1:8" ht="28.2" customHeight="1" x14ac:dyDescent="0.25">
      <c r="A80" s="1400" t="s">
        <v>271</v>
      </c>
      <c r="B80" s="431"/>
      <c r="C80" s="431"/>
      <c r="D80" s="431"/>
      <c r="E80" s="431"/>
      <c r="F80" s="432"/>
      <c r="G80" s="433"/>
      <c r="H80" s="1042"/>
    </row>
    <row r="81" spans="1:8" ht="17.100000000000001" customHeight="1" thickBot="1" x14ac:dyDescent="0.3">
      <c r="A81" s="1400"/>
      <c r="B81" s="1212"/>
      <c r="C81" s="1212"/>
      <c r="D81" s="1213"/>
      <c r="E81" s="1213"/>
      <c r="F81" s="1214" t="s">
        <v>55</v>
      </c>
      <c r="G81" s="1215"/>
      <c r="H81" s="1042"/>
    </row>
    <row r="82" spans="1:8" ht="17.100000000000001" customHeight="1" thickBot="1" x14ac:dyDescent="0.3">
      <c r="A82" s="1397" t="s">
        <v>248</v>
      </c>
      <c r="B82" s="316" t="s">
        <v>274</v>
      </c>
      <c r="C82" s="1214"/>
      <c r="D82" s="1213"/>
      <c r="E82" s="1213"/>
      <c r="F82" s="1216">
        <f ca="1">SUM(Dynamic_Feed_Total)</f>
        <v>116077804.12520958</v>
      </c>
      <c r="G82" s="1215"/>
      <c r="H82" s="1042"/>
    </row>
    <row r="83" spans="1:8" ht="17.100000000000001" customHeight="1" thickBot="1" x14ac:dyDescent="0.3">
      <c r="A83" s="1397" t="s">
        <v>249</v>
      </c>
      <c r="B83" s="316" t="s">
        <v>275</v>
      </c>
      <c r="C83" s="1214"/>
      <c r="D83" s="1213"/>
      <c r="E83" s="1213"/>
      <c r="F83" s="1216">
        <f>SUM(Dynamic_Utilities_Total)</f>
        <v>0</v>
      </c>
      <c r="G83" s="1215"/>
      <c r="H83" s="1042"/>
    </row>
    <row r="84" spans="1:8" ht="17.100000000000001" customHeight="1" thickBot="1" x14ac:dyDescent="0.3">
      <c r="A84" s="1397" t="s">
        <v>253</v>
      </c>
      <c r="B84" s="314" t="s">
        <v>273</v>
      </c>
      <c r="C84" s="1214"/>
      <c r="D84" s="1213"/>
      <c r="E84" s="1213"/>
      <c r="F84" s="1216">
        <f>SUM(Dynamic_Byproduct_Total)</f>
        <v>0</v>
      </c>
      <c r="G84" s="1215"/>
      <c r="H84" s="1042"/>
    </row>
    <row r="85" spans="1:8" ht="38.25" customHeight="1" x14ac:dyDescent="0.25">
      <c r="A85" s="1397"/>
      <c r="B85" s="314"/>
      <c r="C85" s="1217"/>
      <c r="D85" s="1218" t="s">
        <v>314</v>
      </c>
      <c r="E85" s="1498"/>
      <c r="F85" s="1498"/>
      <c r="G85" s="1499"/>
      <c r="H85" s="1042"/>
    </row>
    <row r="86" spans="1:8" ht="28.5" customHeight="1" thickBot="1" x14ac:dyDescent="0.3">
      <c r="A86" s="1397"/>
      <c r="B86" s="314"/>
      <c r="C86" s="1217"/>
      <c r="D86" s="1206"/>
      <c r="E86" s="1504"/>
      <c r="F86" s="1504"/>
      <c r="G86" s="1505"/>
      <c r="H86" s="1042"/>
    </row>
    <row r="87" spans="1:8" ht="17.100000000000001" customHeight="1" thickTop="1" thickBot="1" x14ac:dyDescent="0.3">
      <c r="A87" s="1397"/>
      <c r="B87" s="1336" t="s">
        <v>80</v>
      </c>
      <c r="C87" s="1204"/>
      <c r="D87" s="1204"/>
      <c r="E87" s="1500" t="s">
        <v>427</v>
      </c>
      <c r="F87" s="1500"/>
      <c r="G87" s="1501"/>
      <c r="H87" s="1042"/>
    </row>
    <row r="88" spans="1:8" ht="20.100000000000001" customHeight="1" thickBot="1" x14ac:dyDescent="0.3">
      <c r="A88" s="1397" t="s">
        <v>243</v>
      </c>
      <c r="B88" s="315" t="s">
        <v>333</v>
      </c>
      <c r="C88" s="1219">
        <f ca="1">Det_scaled_cap</f>
        <v>378249572.31872451</v>
      </c>
      <c r="D88" s="1197"/>
      <c r="E88" s="1521" t="s">
        <v>517</v>
      </c>
      <c r="F88" s="1521"/>
      <c r="G88" s="1522"/>
      <c r="H88" s="1042"/>
    </row>
    <row r="89" spans="1:8" ht="21.75" customHeight="1" x14ac:dyDescent="0.25">
      <c r="A89" s="1397"/>
      <c r="B89" s="315"/>
      <c r="C89" s="299"/>
      <c r="D89" s="299"/>
      <c r="E89" s="299"/>
      <c r="F89" s="299"/>
      <c r="G89" s="1220"/>
      <c r="H89" s="1042"/>
    </row>
    <row r="90" spans="1:8" ht="45.75" customHeight="1" thickBot="1" x14ac:dyDescent="0.3">
      <c r="A90" s="1397"/>
      <c r="B90" s="315" t="s">
        <v>334</v>
      </c>
      <c r="C90" s="819" t="str">
        <f>"Enter values in basis year (" &amp; BasisYear &amp; ") dollars"</f>
        <v>Enter values in basis year (2018) dollars</v>
      </c>
      <c r="D90" s="819" t="s">
        <v>823</v>
      </c>
      <c r="E90" s="819" t="str">
        <f xml:space="preserve"> "Reference Year ("&amp; ref_year &amp; ") Dollars"</f>
        <v>Reference Year (2016) Dollars</v>
      </c>
      <c r="F90" s="299"/>
      <c r="G90" s="1220"/>
      <c r="H90" s="1042"/>
    </row>
    <row r="91" spans="1:8" ht="17.100000000000001" customHeight="1" x14ac:dyDescent="0.25">
      <c r="A91" s="1397" t="s">
        <v>176</v>
      </c>
      <c r="B91" s="313" t="s">
        <v>697</v>
      </c>
      <c r="C91" s="1393">
        <f ca="1">0.0643491944473551*(direct_cap)/(CEPCIinflator*CPIinflator)</f>
        <v>25394347.690598253</v>
      </c>
      <c r="D91" s="1221">
        <f t="shared" ref="D91:D97" si="0">CEPCIinflator*CPIinflator</f>
        <v>0.9584831859169165</v>
      </c>
      <c r="E91" s="1222">
        <f ca="1">C91*D91</f>
        <v>24340055.278766505</v>
      </c>
      <c r="F91" s="1529" t="s">
        <v>1299</v>
      </c>
      <c r="G91" s="1530"/>
      <c r="H91" s="1042"/>
    </row>
    <row r="92" spans="1:8" ht="29.25" customHeight="1" x14ac:dyDescent="0.25">
      <c r="A92" s="1397" t="s">
        <v>24</v>
      </c>
      <c r="B92" s="313" t="s">
        <v>335</v>
      </c>
      <c r="C92" s="1394">
        <f ca="1">0.137394766021756*(direct_cap)/(CEPCIinflator*CPIinflator)</f>
        <v>54220577.105736792</v>
      </c>
      <c r="D92" s="1223">
        <f t="shared" si="0"/>
        <v>0.9584831859169165</v>
      </c>
      <c r="E92" s="1224">
        <f t="shared" ref="E92:E97" ca="1" si="1">C92*D92</f>
        <v>51969511.486560427</v>
      </c>
      <c r="F92" s="1529"/>
      <c r="G92" s="1530"/>
      <c r="H92" s="1042"/>
    </row>
    <row r="93" spans="1:8" ht="30.6" customHeight="1" x14ac:dyDescent="0.25">
      <c r="A93" s="1397" t="s">
        <v>168</v>
      </c>
      <c r="B93" s="313" t="s">
        <v>1301</v>
      </c>
      <c r="C93" s="1394">
        <f ca="1">0.11079055690422*(direct_cap)/(CEPCIinflator*CPIinflator)</f>
        <v>43721665.003320232</v>
      </c>
      <c r="D93" s="1223">
        <f t="shared" si="0"/>
        <v>0.9584831859169165</v>
      </c>
      <c r="E93" s="1224">
        <f t="shared" ca="1" si="1"/>
        <v>41906480.765974529</v>
      </c>
      <c r="F93" s="1314"/>
      <c r="G93" s="1247"/>
      <c r="H93" s="1042"/>
    </row>
    <row r="94" spans="1:8" ht="30.6" customHeight="1" x14ac:dyDescent="0.25">
      <c r="A94" s="1397" t="s">
        <v>170</v>
      </c>
      <c r="B94" s="313" t="s">
        <v>1300</v>
      </c>
      <c r="C94" s="1394">
        <f ca="1">0.404009659162592*(direct_cap)/(CEPCIinflator*CPIinflator)</f>
        <v>159435744.97313148</v>
      </c>
      <c r="D94" s="1223">
        <f t="shared" si="0"/>
        <v>0.9584831859169165</v>
      </c>
      <c r="E94" s="1224">
        <f t="shared" ca="1" si="1"/>
        <v>152816480.79088408</v>
      </c>
      <c r="F94" s="1314"/>
      <c r="G94" s="1247"/>
      <c r="H94" s="1042"/>
    </row>
    <row r="95" spans="1:8" ht="31.5" customHeight="1" x14ac:dyDescent="0.25">
      <c r="A95" s="1397" t="s">
        <v>156</v>
      </c>
      <c r="B95" s="313" t="s">
        <v>345</v>
      </c>
      <c r="C95" s="1394">
        <f>+ProcessFlow!C121*1000</f>
        <v>100993000</v>
      </c>
      <c r="D95" s="1223">
        <f t="shared" si="0"/>
        <v>0.9584831859169165</v>
      </c>
      <c r="E95" s="1224">
        <f t="shared" si="1"/>
        <v>96800092.395307153</v>
      </c>
      <c r="F95" s="1321"/>
      <c r="G95" s="1319"/>
      <c r="H95" s="1042"/>
    </row>
    <row r="96" spans="1:8" ht="17.100000000000001" customHeight="1" x14ac:dyDescent="0.25">
      <c r="A96" s="1397" t="s">
        <v>26</v>
      </c>
      <c r="B96" s="313" t="s">
        <v>344</v>
      </c>
      <c r="C96" s="1394"/>
      <c r="D96" s="1223">
        <f t="shared" si="0"/>
        <v>0.9584831859169165</v>
      </c>
      <c r="E96" s="1224">
        <f t="shared" si="1"/>
        <v>0</v>
      </c>
      <c r="F96" s="1321"/>
      <c r="G96" s="1319"/>
      <c r="H96" s="1042"/>
    </row>
    <row r="97" spans="1:8" ht="21.75" customHeight="1" thickBot="1" x14ac:dyDescent="0.3">
      <c r="A97" s="1397" t="s">
        <v>166</v>
      </c>
      <c r="B97" s="313" t="s">
        <v>698</v>
      </c>
      <c r="C97" s="1395">
        <f ca="1">0.137394766021756*(direct_cap)/(CEPCIinflator*CPIinflator)</f>
        <v>54220577.105736792</v>
      </c>
      <c r="D97" s="1226">
        <f t="shared" si="0"/>
        <v>0.9584831859169165</v>
      </c>
      <c r="E97" s="1227">
        <f t="shared" ca="1" si="1"/>
        <v>51969511.486560427</v>
      </c>
      <c r="F97" s="1321"/>
      <c r="G97" s="1319"/>
      <c r="H97" s="1042"/>
    </row>
    <row r="98" spans="1:8" ht="20.100000000000001" customHeight="1" thickBot="1" x14ac:dyDescent="0.3">
      <c r="A98" s="1397" t="s">
        <v>983</v>
      </c>
      <c r="B98" s="315" t="s">
        <v>954</v>
      </c>
      <c r="C98" s="299"/>
      <c r="D98" s="1042"/>
      <c r="E98" s="1228">
        <f ca="1">direct_cap+SUM($E$91:$E$97)</f>
        <v>798051704.52277756</v>
      </c>
      <c r="F98" s="1229"/>
      <c r="G98" s="1230"/>
      <c r="H98" s="1042"/>
    </row>
    <row r="99" spans="1:8" x14ac:dyDescent="0.25">
      <c r="A99" s="1397"/>
      <c r="B99" s="313"/>
      <c r="C99" s="1217"/>
      <c r="D99" s="1519" t="s">
        <v>823</v>
      </c>
      <c r="E99" s="299"/>
      <c r="F99" s="1179"/>
      <c r="G99" s="1231"/>
      <c r="H99" s="1042"/>
    </row>
    <row r="100" spans="1:8" ht="30.75" customHeight="1" thickBot="1" x14ac:dyDescent="0.3">
      <c r="A100" s="1397"/>
      <c r="B100" s="315" t="s">
        <v>346</v>
      </c>
      <c r="C100" s="819" t="str">
        <f>"Enter values in basis year (" &amp; BasisYear &amp; ") dollars"</f>
        <v>Enter values in basis year (2018) dollars</v>
      </c>
      <c r="D100" s="1520"/>
      <c r="E100" s="819" t="str">
        <f xml:space="preserve"> "Reference Year ("&amp; ref_year &amp; ") Dollars"</f>
        <v>Reference Year (2016) Dollars</v>
      </c>
      <c r="F100" s="1179"/>
      <c r="G100" s="1231"/>
      <c r="H100" s="1042"/>
    </row>
    <row r="101" spans="1:8" ht="27.75" customHeight="1" thickBot="1" x14ac:dyDescent="0.3">
      <c r="A101" s="1397" t="s">
        <v>1066</v>
      </c>
      <c r="B101" s="313" t="s">
        <v>347</v>
      </c>
      <c r="C101" s="1182">
        <v>50000</v>
      </c>
      <c r="D101" s="1221">
        <f>CPIinflator</f>
        <v>0.9584831859169165</v>
      </c>
      <c r="E101" s="1232">
        <f>C101*D101</f>
        <v>47924.159295845828</v>
      </c>
      <c r="F101" s="1179"/>
      <c r="G101" s="1231"/>
      <c r="H101" s="1042"/>
    </row>
    <row r="102" spans="1:8" ht="25.5" customHeight="1" thickBot="1" x14ac:dyDescent="0.3">
      <c r="A102" s="1397" t="s">
        <v>1067</v>
      </c>
      <c r="B102" s="313" t="s">
        <v>348</v>
      </c>
      <c r="C102" s="1390">
        <v>100</v>
      </c>
      <c r="D102" s="1233">
        <f ca="1">Scale_Factor *1</f>
        <v>1</v>
      </c>
      <c r="E102" s="1234">
        <f ca="1">C102*D102</f>
        <v>100</v>
      </c>
      <c r="F102" s="1529" t="s">
        <v>1291</v>
      </c>
      <c r="G102" s="1530"/>
      <c r="H102" s="1042"/>
    </row>
    <row r="103" spans="1:8" ht="27" customHeight="1" thickBot="1" x14ac:dyDescent="0.3">
      <c r="A103" s="1397" t="s">
        <v>984</v>
      </c>
      <c r="B103" s="313" t="s">
        <v>955</v>
      </c>
      <c r="C103" s="1235"/>
      <c r="D103" s="1235"/>
      <c r="E103" s="1228">
        <f ca="1">acre_cost*acres</f>
        <v>4792415.9295845823</v>
      </c>
      <c r="F103" s="1179"/>
      <c r="G103" s="1231"/>
      <c r="H103" s="1042"/>
    </row>
    <row r="104" spans="1:8" ht="17.100000000000001" customHeight="1" thickBot="1" x14ac:dyDescent="0.3">
      <c r="A104" s="1397"/>
      <c r="B104" s="313" t="s">
        <v>985</v>
      </c>
      <c r="C104" s="1182"/>
      <c r="D104" s="1221">
        <f>CPIinflator</f>
        <v>0.9584831859169165</v>
      </c>
      <c r="E104" s="1228">
        <f>C104*D104</f>
        <v>0</v>
      </c>
      <c r="F104" s="1229"/>
      <c r="G104" s="1230"/>
      <c r="H104" s="1042"/>
    </row>
    <row r="105" spans="1:8" ht="20.100000000000001" customHeight="1" thickBot="1" x14ac:dyDescent="0.3">
      <c r="A105" s="1397" t="s">
        <v>991</v>
      </c>
      <c r="B105" s="315" t="s">
        <v>956</v>
      </c>
      <c r="C105" s="1235"/>
      <c r="D105" s="1235"/>
      <c r="E105" s="1265">
        <f ca="1">land_cost+$E$104</f>
        <v>4792415.9295845823</v>
      </c>
      <c r="F105" s="1179"/>
      <c r="G105" s="1231"/>
      <c r="H105" s="1042"/>
    </row>
    <row r="106" spans="1:8" ht="13.8" thickBot="1" x14ac:dyDescent="0.3">
      <c r="A106" s="1397"/>
      <c r="B106" s="313"/>
      <c r="C106" s="1217"/>
      <c r="D106" s="1235"/>
      <c r="E106" s="1179"/>
      <c r="F106" s="1179"/>
      <c r="G106" s="1231"/>
      <c r="H106" s="1042"/>
    </row>
    <row r="107" spans="1:8" ht="20.100000000000001" customHeight="1" thickBot="1" x14ac:dyDescent="0.3">
      <c r="A107" s="1397" t="s">
        <v>992</v>
      </c>
      <c r="B107" s="315" t="s">
        <v>970</v>
      </c>
      <c r="C107" s="1219">
        <f ca="1">(depr_cap+non_dep_cap)*sensitivity_06</f>
        <v>802844120.45236218</v>
      </c>
      <c r="D107" s="1235"/>
      <c r="E107" s="1237"/>
      <c r="F107" s="1179"/>
      <c r="G107" s="1231"/>
      <c r="H107" s="1042"/>
    </row>
    <row r="108" spans="1:8" ht="13.8" thickBot="1" x14ac:dyDescent="0.3">
      <c r="A108" s="1397"/>
      <c r="B108" s="313"/>
      <c r="C108" s="1217"/>
      <c r="D108" s="1235"/>
      <c r="E108" s="1179"/>
      <c r="F108" s="1179"/>
      <c r="G108" s="1231"/>
      <c r="H108" s="1042"/>
    </row>
    <row r="109" spans="1:8" ht="44.25" customHeight="1" thickTop="1" thickBot="1" x14ac:dyDescent="0.3">
      <c r="A109" s="1397"/>
      <c r="B109" s="1336" t="s">
        <v>349</v>
      </c>
      <c r="C109" s="826" t="str">
        <f>"Enter values in basis year (" &amp; BasisYear &amp; ") dollars"</f>
        <v>Enter values in basis year (2018) dollars</v>
      </c>
      <c r="D109" s="826" t="s">
        <v>823</v>
      </c>
      <c r="E109" s="826" t="str">
        <f xml:space="preserve"> "Reference Year ("&amp; ref_year &amp; ") Dollars"</f>
        <v>Reference Year (2016) Dollars</v>
      </c>
      <c r="F109" s="1204"/>
      <c r="G109" s="1205"/>
      <c r="H109" s="1042"/>
    </row>
    <row r="110" spans="1:8" s="33" customFormat="1" ht="29.25" customHeight="1" thickBot="1" x14ac:dyDescent="0.3">
      <c r="A110" s="1397" t="s">
        <v>995</v>
      </c>
      <c r="B110" s="313" t="s">
        <v>350</v>
      </c>
      <c r="C110" s="1340">
        <v>22</v>
      </c>
      <c r="D110" s="1238">
        <f ca="1">Scale_Ratio^0.25</f>
        <v>1</v>
      </c>
      <c r="E110" s="1239">
        <f ca="1">C110*D110</f>
        <v>22</v>
      </c>
      <c r="F110" s="1179"/>
      <c r="G110" s="1231"/>
      <c r="H110" s="1042"/>
    </row>
    <row r="111" spans="1:8" s="33" customFormat="1" ht="17.25" customHeight="1" thickBot="1" x14ac:dyDescent="0.3">
      <c r="A111" s="1397" t="s">
        <v>996</v>
      </c>
      <c r="B111" s="313" t="s">
        <v>351</v>
      </c>
      <c r="C111" s="1182">
        <v>50</v>
      </c>
      <c r="D111" s="1221">
        <f>VLOOKUP(ref_year,Tbl_labor_indexes,2,FALSE)/VLOOKUP(BasisYear,Tbl_labor_indexes,2,FALSE)</f>
        <v>0.89209621993127108</v>
      </c>
      <c r="E111" s="1240">
        <f>C111*D111</f>
        <v>44.604810996563558</v>
      </c>
      <c r="F111" s="1179" t="s">
        <v>1294</v>
      </c>
      <c r="G111" s="1231"/>
      <c r="H111" s="1042"/>
    </row>
    <row r="112" spans="1:8" s="33" customFormat="1" ht="17.100000000000001" customHeight="1" thickBot="1" x14ac:dyDescent="0.3">
      <c r="A112" s="1397" t="s">
        <v>986</v>
      </c>
      <c r="B112" s="313" t="s">
        <v>971</v>
      </c>
      <c r="C112" s="1235"/>
      <c r="D112" s="1235"/>
      <c r="E112" s="1241">
        <f ca="1">FTEs*2080*FTE_cost</f>
        <v>2041116.1512027483</v>
      </c>
      <c r="F112" s="1179"/>
      <c r="G112" s="1231"/>
      <c r="H112" s="1042"/>
    </row>
    <row r="113" spans="1:8" s="33" customFormat="1" ht="17.100000000000001" customHeight="1" thickBot="1" x14ac:dyDescent="0.3">
      <c r="A113" s="1397" t="s">
        <v>157</v>
      </c>
      <c r="B113" s="313" t="s">
        <v>352</v>
      </c>
      <c r="C113" s="1184">
        <v>0.2</v>
      </c>
      <c r="D113" s="1235"/>
      <c r="E113" s="1042"/>
      <c r="F113" s="1179" t="s">
        <v>1294</v>
      </c>
      <c r="G113" s="1231"/>
      <c r="H113" s="1042"/>
    </row>
    <row r="114" spans="1:8" s="33" customFormat="1" ht="17.100000000000001" customHeight="1" thickBot="1" x14ac:dyDescent="0.3">
      <c r="A114" s="1397" t="s">
        <v>989</v>
      </c>
      <c r="B114" s="313" t="s">
        <v>964</v>
      </c>
      <c r="C114" s="1235"/>
      <c r="D114" s="1235"/>
      <c r="E114" s="1242">
        <f ca="1">labor_cost*overhead_rate</f>
        <v>408223.23024054966</v>
      </c>
      <c r="F114" s="1179"/>
      <c r="G114" s="1231"/>
      <c r="H114" s="1042"/>
    </row>
    <row r="115" spans="1:8" s="33" customFormat="1" ht="17.100000000000001" customHeight="1" thickBot="1" x14ac:dyDescent="0.3">
      <c r="A115" s="1397" t="s">
        <v>28</v>
      </c>
      <c r="B115" s="313" t="s">
        <v>353</v>
      </c>
      <c r="C115" s="1182">
        <v>0</v>
      </c>
      <c r="D115" s="1221">
        <f ca="1">Scale_Factor *CEPCIinflator*CPIinflator</f>
        <v>0.9584831859169165</v>
      </c>
      <c r="E115" s="1236">
        <f ca="1">C115*D115</f>
        <v>0</v>
      </c>
      <c r="F115" s="1179"/>
      <c r="G115" s="1231"/>
      <c r="H115" s="1042"/>
    </row>
    <row r="116" spans="1:8" s="33" customFormat="1" ht="26.25" customHeight="1" thickBot="1" x14ac:dyDescent="0.3">
      <c r="A116" s="1397" t="s">
        <v>183</v>
      </c>
      <c r="B116" s="313" t="s">
        <v>1069</v>
      </c>
      <c r="C116" s="1183">
        <v>0.02</v>
      </c>
      <c r="D116" s="1243"/>
      <c r="E116" s="1042"/>
      <c r="F116" s="1179"/>
      <c r="G116" s="1231"/>
      <c r="H116" s="1042"/>
    </row>
    <row r="117" spans="1:8" s="33" customFormat="1" ht="17.100000000000001" customHeight="1" thickBot="1" x14ac:dyDescent="0.3">
      <c r="A117" s="1397" t="s">
        <v>987</v>
      </c>
      <c r="B117" s="313" t="s">
        <v>969</v>
      </c>
      <c r="C117" s="1235"/>
      <c r="D117" s="1243"/>
      <c r="E117" s="1244">
        <f ca="1">tax_ins_rate*total_cap</f>
        <v>16056882.409047244</v>
      </c>
      <c r="F117" s="1179"/>
      <c r="G117" s="1231"/>
      <c r="H117" s="1042"/>
    </row>
    <row r="118" spans="1:8" s="33" customFormat="1" ht="17.100000000000001" customHeight="1" thickBot="1" x14ac:dyDescent="0.3">
      <c r="A118" s="1397" t="s">
        <v>172</v>
      </c>
      <c r="B118" s="313" t="s">
        <v>354</v>
      </c>
      <c r="C118" s="1182">
        <v>0</v>
      </c>
      <c r="D118" s="1221">
        <f ca="1">Scale_Factor *CPIinflator</f>
        <v>0.9584831859169165</v>
      </c>
      <c r="E118" s="1232">
        <f ca="1">C118*D118</f>
        <v>0</v>
      </c>
      <c r="F118" s="1179"/>
      <c r="G118" s="1231"/>
      <c r="H118" s="1042"/>
    </row>
    <row r="119" spans="1:8" s="33" customFormat="1" ht="27" customHeight="1" thickBot="1" x14ac:dyDescent="0.3">
      <c r="A119" s="1397" t="s">
        <v>997</v>
      </c>
      <c r="B119" s="313" t="s">
        <v>355</v>
      </c>
      <c r="C119" s="1182">
        <f>7675489</f>
        <v>7675489</v>
      </c>
      <c r="D119" s="1221">
        <f ca="1">Scale_Factor *CEPCIinflator*CPIinflator</f>
        <v>0.9584831859169165</v>
      </c>
      <c r="E119" s="1245">
        <f ca="1">C119*D119</f>
        <v>7356827.1501902472</v>
      </c>
      <c r="F119" s="1179"/>
      <c r="G119" s="1231"/>
      <c r="H119" s="1246"/>
    </row>
    <row r="120" spans="1:8" s="33" customFormat="1" ht="17.100000000000001" customHeight="1" thickBot="1" x14ac:dyDescent="0.3">
      <c r="A120" s="1397" t="s">
        <v>169</v>
      </c>
      <c r="B120" s="313" t="s">
        <v>356</v>
      </c>
      <c r="C120" s="1182">
        <v>5116993</v>
      </c>
      <c r="D120" s="1221">
        <f ca="1">Scale_Factor *CEPCIinflator*CPIinflator</f>
        <v>0.9584831859169165</v>
      </c>
      <c r="E120" s="1232">
        <f ca="1">C120*D120</f>
        <v>4904551.7529545603</v>
      </c>
      <c r="F120" s="1179" t="s">
        <v>1302</v>
      </c>
      <c r="G120" s="1231"/>
      <c r="H120" s="1042"/>
    </row>
    <row r="121" spans="1:8" s="33" customFormat="1" ht="17.100000000000001" customHeight="1" thickBot="1" x14ac:dyDescent="0.3">
      <c r="A121" s="1397" t="s">
        <v>154</v>
      </c>
      <c r="B121" s="313" t="s">
        <v>357</v>
      </c>
      <c r="C121" s="1182">
        <v>1973405</v>
      </c>
      <c r="D121" s="1221">
        <f ca="1">Scale_Ratio * CEPCIinflator*CPIinflator</f>
        <v>0.9584831859169165</v>
      </c>
      <c r="E121" s="1245">
        <f ca="1">C121*D121</f>
        <v>1891475.5115043726</v>
      </c>
      <c r="F121" s="1179" t="s">
        <v>1295</v>
      </c>
      <c r="G121" s="1231"/>
      <c r="H121" s="1042"/>
    </row>
    <row r="122" spans="1:8" s="33" customFormat="1" ht="17.100000000000001" customHeight="1" thickBot="1" x14ac:dyDescent="0.3">
      <c r="A122" s="1397" t="s">
        <v>155</v>
      </c>
      <c r="B122" s="313" t="s">
        <v>358</v>
      </c>
      <c r="C122" s="1391">
        <v>0</v>
      </c>
      <c r="D122" s="1221">
        <f ca="1">Scale_Factor *CEPCIinflator*CPIinflator</f>
        <v>0.9584831859169165</v>
      </c>
      <c r="E122" s="1236">
        <f ca="1">C122*D122</f>
        <v>0</v>
      </c>
      <c r="F122" s="1179"/>
      <c r="G122" s="1231"/>
      <c r="H122" s="1042"/>
    </row>
    <row r="123" spans="1:8" s="33" customFormat="1" ht="24" customHeight="1" thickBot="1" x14ac:dyDescent="0.3">
      <c r="A123" s="1397" t="s">
        <v>988</v>
      </c>
      <c r="B123" s="315" t="s">
        <v>972</v>
      </c>
      <c r="C123" s="1235"/>
      <c r="D123" s="1235"/>
      <c r="E123" s="1228">
        <f ca="1">(labor_cost+overhead_GA+tax_insurance+licensing+SUM(E118:E122))*sensitivity_07</f>
        <v>32659076.205139719</v>
      </c>
      <c r="F123" s="1237"/>
      <c r="G123" s="1247"/>
      <c r="H123" s="1042"/>
    </row>
    <row r="124" spans="1:8" s="33" customFormat="1" ht="13.8" thickBot="1" x14ac:dyDescent="0.3">
      <c r="A124" s="1397"/>
      <c r="B124" s="313"/>
      <c r="C124" s="1217"/>
      <c r="D124" s="1248"/>
      <c r="E124" s="1217"/>
      <c r="F124" s="1217"/>
      <c r="G124" s="1249"/>
      <c r="H124" s="1042"/>
    </row>
    <row r="125" spans="1:8" s="33" customFormat="1" ht="26.25" customHeight="1" thickTop="1" thickBot="1" x14ac:dyDescent="0.3">
      <c r="A125" s="1397"/>
      <c r="B125" s="1341" t="s">
        <v>927</v>
      </c>
      <c r="C125" s="1250"/>
      <c r="D125" s="1251"/>
      <c r="E125" s="1252"/>
      <c r="F125" s="1251"/>
      <c r="G125" s="1253"/>
      <c r="H125" s="1042"/>
    </row>
    <row r="126" spans="1:8" customFormat="1" ht="15" customHeight="1" thickTop="1" x14ac:dyDescent="0.25">
      <c r="A126" s="1397"/>
      <c r="B126" s="1337" t="s">
        <v>1017</v>
      </c>
      <c r="C126" s="1254"/>
      <c r="D126" s="1254"/>
      <c r="E126" s="1254"/>
      <c r="F126" s="1254"/>
      <c r="G126" s="1255"/>
      <c r="H126" s="299"/>
    </row>
    <row r="127" spans="1:8" customFormat="1" ht="15" customHeight="1" x14ac:dyDescent="0.25">
      <c r="A127" s="1397"/>
      <c r="B127" s="1342"/>
      <c r="C127" s="1256"/>
      <c r="D127" s="1256"/>
      <c r="E127" s="1256"/>
      <c r="F127" s="1256"/>
      <c r="G127" s="1220"/>
      <c r="H127" s="299"/>
    </row>
    <row r="128" spans="1:8" customFormat="1" ht="24" customHeight="1" thickBot="1" x14ac:dyDescent="0.3">
      <c r="A128" s="1397"/>
      <c r="B128" s="413" t="s">
        <v>1024</v>
      </c>
      <c r="C128" s="1256"/>
      <c r="D128" s="1256"/>
      <c r="E128" s="1256"/>
      <c r="F128" s="1256"/>
      <c r="G128" s="1220"/>
      <c r="H128" s="299"/>
    </row>
    <row r="129" spans="1:8" customFormat="1" ht="24" customHeight="1" thickBot="1" x14ac:dyDescent="0.3">
      <c r="A129" s="1397"/>
      <c r="B129" s="980" t="s">
        <v>1020</v>
      </c>
      <c r="C129" s="1256"/>
      <c r="D129" s="1256"/>
      <c r="E129" s="1256"/>
      <c r="F129" s="1256"/>
      <c r="G129" s="1220"/>
      <c r="H129" s="299"/>
    </row>
    <row r="130" spans="1:8" customFormat="1" ht="24" customHeight="1" thickBot="1" x14ac:dyDescent="0.3">
      <c r="A130" s="1397"/>
      <c r="B130" s="1343" t="s">
        <v>1045</v>
      </c>
      <c r="C130" s="1515" t="str">
        <f>B129</f>
        <v>Process Water</v>
      </c>
      <c r="D130" s="1516"/>
      <c r="E130" s="1256"/>
      <c r="F130" s="1256"/>
      <c r="G130" s="1220"/>
      <c r="H130" s="299"/>
    </row>
    <row r="131" spans="1:8" customFormat="1" ht="18.75" customHeight="1" thickBot="1" x14ac:dyDescent="0.3">
      <c r="A131" s="1397"/>
      <c r="B131" s="416" t="str">
        <f ca="1">"$(" &amp; ref_year &amp; ")/ " &amp; VLOOKUP(TMP_NonE_Feed,Tbl_Other_Inputs_and_Byproducts,2,FALSE)</f>
        <v>$(2016)/ gal</v>
      </c>
      <c r="C131" s="438">
        <f ca="1">HLOOKUP(startup_year,Tbl_Other_Inputs_and_Byproducts,MATCH(TMP_NonE_Feed,Other_Inputs_List,0),FALSE)</f>
        <v>2.374951094500801E-3</v>
      </c>
      <c r="D131" s="1256"/>
      <c r="E131" s="1256"/>
      <c r="F131" s="1256"/>
      <c r="G131" s="1220"/>
      <c r="H131" s="299"/>
    </row>
    <row r="132" spans="1:8" customFormat="1" ht="18" customHeight="1" thickBot="1" x14ac:dyDescent="0.3">
      <c r="A132" s="1397"/>
      <c r="B132" s="418" t="str">
        <f>IF(TMP_NonE_Type="Feed or utility","Usage per kg H2","Production per kg H2")</f>
        <v>Usage per kg H2</v>
      </c>
      <c r="C132" s="1304"/>
      <c r="D132" s="1256"/>
      <c r="E132" s="1256"/>
      <c r="F132" s="1256"/>
      <c r="G132" s="1220"/>
      <c r="H132" s="299"/>
    </row>
    <row r="133" spans="1:8" customFormat="1" ht="19.5" customHeight="1" thickBot="1" x14ac:dyDescent="0.3">
      <c r="A133" s="1397"/>
      <c r="B133" s="418" t="str">
        <f>IF(TMP_NonE_Type = "Feed or utility", "Cost in Startup Year","Income in Startup Year")</f>
        <v>Cost in Startup Year</v>
      </c>
      <c r="C133" s="426">
        <f ca="1">design_cap*365*cap_factor*TMP_NonE_Usage*TMP_NonE_StartPrice</f>
        <v>0</v>
      </c>
      <c r="D133" s="1256"/>
      <c r="E133" s="1256"/>
      <c r="F133" s="1256"/>
      <c r="G133" s="1220"/>
      <c r="H133" s="299"/>
    </row>
    <row r="134" spans="1:8" customFormat="1" ht="24" customHeight="1" thickBot="1" x14ac:dyDescent="0.3">
      <c r="A134" s="1397"/>
      <c r="B134" s="425" t="s">
        <v>259</v>
      </c>
      <c r="C134" s="427" t="s">
        <v>20</v>
      </c>
      <c r="D134" s="1257"/>
      <c r="E134" s="1257"/>
      <c r="F134" s="1257"/>
      <c r="G134" s="1211"/>
      <c r="H134" s="299"/>
    </row>
    <row r="135" spans="1:8" customFormat="1" ht="24" customHeight="1" x14ac:dyDescent="0.25">
      <c r="A135" s="1401" t="s">
        <v>1026</v>
      </c>
      <c r="B135" s="1344"/>
      <c r="C135" s="1214"/>
      <c r="D135" s="1214"/>
      <c r="E135" s="1258"/>
      <c r="F135" s="1214"/>
      <c r="G135" s="1215"/>
      <c r="H135" s="299"/>
    </row>
    <row r="136" spans="1:8" customFormat="1" ht="24" customHeight="1" x14ac:dyDescent="0.25">
      <c r="A136" s="1401"/>
      <c r="B136" s="1344" t="s">
        <v>1045</v>
      </c>
      <c r="C136" s="1214" t="s">
        <v>1197</v>
      </c>
      <c r="D136" s="1214" t="s">
        <v>817</v>
      </c>
      <c r="E136" s="1258" t="s">
        <v>814</v>
      </c>
      <c r="F136" s="1214" t="s">
        <v>259</v>
      </c>
      <c r="G136" s="1215"/>
      <c r="H136" s="299"/>
    </row>
    <row r="137" spans="1:8" customFormat="1" ht="24" customHeight="1" x14ac:dyDescent="0.25">
      <c r="A137" s="1401"/>
      <c r="B137" s="1344" t="s">
        <v>1020</v>
      </c>
      <c r="C137" s="1214">
        <v>2.374951094500801E-3</v>
      </c>
      <c r="D137" s="1345">
        <f>+ProcessFlow!V20</f>
        <v>8.1301863354037263</v>
      </c>
      <c r="E137" s="1258">
        <f ca="1">+output_kgyear*C137*D137</f>
        <v>3063639.6028802306</v>
      </c>
      <c r="F137" s="1214" t="s">
        <v>20</v>
      </c>
      <c r="G137" s="1215"/>
      <c r="H137" s="299"/>
    </row>
    <row r="138" spans="1:8" customFormat="1" ht="16.2" customHeight="1" x14ac:dyDescent="0.25">
      <c r="A138" s="1397" t="s">
        <v>1027</v>
      </c>
      <c r="B138" s="1344"/>
      <c r="C138" s="1259"/>
      <c r="D138" s="1259"/>
      <c r="E138" s="1260"/>
      <c r="F138" s="1259"/>
      <c r="G138" s="1215"/>
      <c r="H138" s="299"/>
    </row>
    <row r="139" spans="1:8" customFormat="1" ht="16.2" customHeight="1" thickBot="1" x14ac:dyDescent="0.3">
      <c r="A139" s="1397" t="s">
        <v>1028</v>
      </c>
      <c r="B139" s="1344"/>
      <c r="C139" s="1214"/>
      <c r="D139" s="1214"/>
      <c r="E139" s="1260"/>
      <c r="F139" s="1214"/>
      <c r="G139" s="1215"/>
      <c r="H139" s="299"/>
    </row>
    <row r="140" spans="1:8" customFormat="1" ht="17.100000000000001" customHeight="1" thickBot="1" x14ac:dyDescent="0.3">
      <c r="A140" s="1397"/>
      <c r="B140" s="316" t="s">
        <v>841</v>
      </c>
      <c r="C140" s="1216">
        <f ca="1">SUM(Dynamic_NonE_Feed_Total)</f>
        <v>3063639.6028802306</v>
      </c>
      <c r="D140" s="1202"/>
      <c r="E140" s="1523"/>
      <c r="F140" s="1523"/>
      <c r="G140" s="1499"/>
      <c r="H140" s="299"/>
    </row>
    <row r="141" spans="1:8" customFormat="1" ht="17.100000000000001" customHeight="1" thickBot="1" x14ac:dyDescent="0.3">
      <c r="A141" s="1397" t="s">
        <v>254</v>
      </c>
      <c r="B141" s="316" t="s">
        <v>276</v>
      </c>
      <c r="C141" s="1216">
        <f>SUM(Dynamic_NonE_Byprod_Total)</f>
        <v>0</v>
      </c>
      <c r="D141" s="1202"/>
      <c r="E141" s="1523"/>
      <c r="F141" s="1523"/>
      <c r="G141" s="1499"/>
      <c r="H141" s="299"/>
    </row>
    <row r="142" spans="1:8" customFormat="1" ht="26.7" customHeight="1" thickBot="1" x14ac:dyDescent="0.3">
      <c r="A142" s="1397"/>
      <c r="B142" s="316"/>
      <c r="C142" s="1214"/>
      <c r="D142" s="1261"/>
      <c r="E142" s="1523"/>
      <c r="F142" s="1523"/>
      <c r="G142" s="1499"/>
      <c r="H142" s="299"/>
    </row>
    <row r="143" spans="1:8" customFormat="1" ht="17.100000000000001" customHeight="1" thickBot="1" x14ac:dyDescent="0.3">
      <c r="A143" s="1397" t="s">
        <v>247</v>
      </c>
      <c r="B143" s="315" t="s">
        <v>250</v>
      </c>
      <c r="C143" s="1219">
        <f ca="1">Total_Energy_Feed_Cost</f>
        <v>116077804.12520958</v>
      </c>
      <c r="D143" s="1202"/>
      <c r="E143" s="1517"/>
      <c r="F143" s="1517"/>
      <c r="G143" s="1518"/>
      <c r="H143" s="299"/>
    </row>
    <row r="144" spans="1:8" customFormat="1" ht="17.100000000000001" customHeight="1" thickBot="1" x14ac:dyDescent="0.3">
      <c r="A144" s="1397" t="s">
        <v>649</v>
      </c>
      <c r="B144" s="315" t="s">
        <v>251</v>
      </c>
      <c r="C144" s="1219">
        <f ca="1">Total_Energy_Utilities_Cost+Total_Non_Energy_Feed_Cost</f>
        <v>3063639.6028802306</v>
      </c>
      <c r="D144" s="1202"/>
      <c r="E144" s="1517"/>
      <c r="F144" s="1517"/>
      <c r="G144" s="1518"/>
      <c r="H144" s="299"/>
    </row>
    <row r="145" spans="1:8" customFormat="1" ht="31.5" customHeight="1" thickBot="1" x14ac:dyDescent="0.3">
      <c r="A145" s="1397" t="s">
        <v>650</v>
      </c>
      <c r="B145" s="315" t="s">
        <v>252</v>
      </c>
      <c r="C145" s="1245">
        <f>Total_Energy_Byproduct_Credit+total_non_energy_byproduct_credit</f>
        <v>0</v>
      </c>
      <c r="D145" s="1202"/>
      <c r="E145" s="1527"/>
      <c r="F145" s="1527"/>
      <c r="G145" s="1528"/>
      <c r="H145" s="299"/>
    </row>
    <row r="146" spans="1:8" customFormat="1" ht="45.75" customHeight="1" thickTop="1" thickBot="1" x14ac:dyDescent="0.3">
      <c r="A146" s="1397"/>
      <c r="B146" s="1337" t="s">
        <v>801</v>
      </c>
      <c r="C146" s="826" t="str">
        <f>"Enter values in basis year (" &amp; BasisYear &amp; ") dollars"</f>
        <v>Enter values in basis year (2018) dollars</v>
      </c>
      <c r="D146" s="826" t="s">
        <v>823</v>
      </c>
      <c r="E146" s="826" t="str">
        <f xml:space="preserve"> "Reference Year ("&amp; ref_year &amp; ") Dollars"</f>
        <v>Reference Year (2016) Dollars</v>
      </c>
      <c r="F146" s="1254"/>
      <c r="G146" s="1262"/>
      <c r="H146" s="299"/>
    </row>
    <row r="147" spans="1:8" s="33" customFormat="1" ht="39" customHeight="1" thickBot="1" x14ac:dyDescent="0.3">
      <c r="A147" s="1397" t="s">
        <v>184</v>
      </c>
      <c r="B147" s="313" t="s">
        <v>359</v>
      </c>
      <c r="C147" s="1182">
        <v>0</v>
      </c>
      <c r="D147" s="1221">
        <f ca="1">Scale_Ratio * VLOOKUP(ref_year,Chemical_price_indexes,2,FALSE)/VLOOKUP(BasisYear,Chemical_price_indexes,2,FALSE)</f>
        <v>0.920580847553085</v>
      </c>
      <c r="E147" s="1245">
        <f ca="1">C147*D147</f>
        <v>0</v>
      </c>
      <c r="F147" s="1526"/>
      <c r="G147" s="1499"/>
      <c r="H147" s="1042"/>
    </row>
    <row r="148" spans="1:8" s="33" customFormat="1" ht="38.25" customHeight="1" thickBot="1" x14ac:dyDescent="0.3">
      <c r="A148" s="1397" t="s">
        <v>277</v>
      </c>
      <c r="B148" s="1346" t="s">
        <v>908</v>
      </c>
      <c r="C148" s="1182">
        <f>30647681-1225337-22990051</f>
        <v>6432293</v>
      </c>
      <c r="D148" s="1221">
        <f ca="1">Scale_Ratio * VLOOKUP(ref_year,Chemical_price_indexes,2,FALSE)/VLOOKUP(BasisYear,Chemical_price_indexes,2,FALSE)</f>
        <v>0.920580847553085</v>
      </c>
      <c r="E148" s="1245">
        <f ca="1">C148*D148</f>
        <v>5921445.7416497758</v>
      </c>
      <c r="F148" s="1179"/>
      <c r="G148" s="1231"/>
      <c r="H148" s="1042"/>
    </row>
    <row r="149" spans="1:8" s="33" customFormat="1" ht="17.100000000000001" customHeight="1" thickBot="1" x14ac:dyDescent="0.3">
      <c r="A149" s="1397" t="s">
        <v>185</v>
      </c>
      <c r="B149" s="313" t="s">
        <v>360</v>
      </c>
      <c r="C149" s="1182">
        <f>72448</f>
        <v>72448</v>
      </c>
      <c r="D149" s="1221">
        <f ca="1">Scale_Ratio * VLOOKUP(ref_year,Chemical_price_indexes,2,FALSE)/VLOOKUP(BasisYear,Chemical_price_indexes,2,FALSE)</f>
        <v>0.920580847553085</v>
      </c>
      <c r="E149" s="1245">
        <f ca="1">C149*D149</f>
        <v>66694.241243525903</v>
      </c>
      <c r="F149" s="1179"/>
      <c r="G149" s="1231"/>
      <c r="H149" s="1042"/>
    </row>
    <row r="150" spans="1:8" s="33" customFormat="1" ht="17.100000000000001" customHeight="1" thickBot="1" x14ac:dyDescent="0.3">
      <c r="A150" s="1397" t="s">
        <v>177</v>
      </c>
      <c r="B150" s="313" t="s">
        <v>361</v>
      </c>
      <c r="C150" s="1182">
        <v>0</v>
      </c>
      <c r="D150" s="1221">
        <f ca="1">Scale_Ratio * VLOOKUP(ref_year,Chemical_price_indexes,2,FALSE)/VLOOKUP(BasisYear,Chemical_price_indexes,2,FALSE)</f>
        <v>0.920580847553085</v>
      </c>
      <c r="E150" s="1245">
        <f ca="1">C150*D150</f>
        <v>0</v>
      </c>
      <c r="F150" s="1179"/>
      <c r="G150" s="1231"/>
      <c r="H150" s="1042"/>
    </row>
    <row r="151" spans="1:8" s="33" customFormat="1" ht="28.5" customHeight="1" thickBot="1" x14ac:dyDescent="0.3">
      <c r="A151" s="1397" t="s">
        <v>173</v>
      </c>
      <c r="B151" s="313" t="s">
        <v>362</v>
      </c>
      <c r="C151" s="1263">
        <v>5.0000000000000001E-3</v>
      </c>
      <c r="D151" s="299"/>
      <c r="E151" s="1524" t="s">
        <v>1176</v>
      </c>
      <c r="F151" s="1524"/>
      <c r="G151" s="1525"/>
      <c r="H151" s="1042"/>
    </row>
    <row r="152" spans="1:8" s="33" customFormat="1" ht="17.100000000000001" customHeight="1" thickBot="1" x14ac:dyDescent="0.3">
      <c r="A152" s="1397" t="s">
        <v>174</v>
      </c>
      <c r="B152" s="313" t="s">
        <v>363</v>
      </c>
      <c r="C152" s="1182">
        <v>0</v>
      </c>
      <c r="D152" s="1221">
        <f ca="1">Scale_Ratio * CPIinflator</f>
        <v>0.9584831859169165</v>
      </c>
      <c r="E152" s="1245">
        <v>0</v>
      </c>
      <c r="F152" s="1179"/>
      <c r="G152" s="1231"/>
      <c r="H152" s="1042"/>
    </row>
    <row r="153" spans="1:8" s="33" customFormat="1" ht="17.100000000000001" customHeight="1" thickBot="1" x14ac:dyDescent="0.3">
      <c r="A153" s="1397" t="s">
        <v>153</v>
      </c>
      <c r="B153" s="313" t="s">
        <v>364</v>
      </c>
      <c r="C153" s="1182">
        <v>0</v>
      </c>
      <c r="D153" s="1221">
        <f ca="1">Scale_Ratio * CPIinflator</f>
        <v>0.9584831859169165</v>
      </c>
      <c r="E153" s="1245">
        <v>0</v>
      </c>
      <c r="F153" s="1179"/>
      <c r="G153" s="1231"/>
      <c r="H153" s="1042"/>
    </row>
    <row r="154" spans="1:8" s="33" customFormat="1" ht="17.100000000000001" customHeight="1" thickBot="1" x14ac:dyDescent="0.3">
      <c r="A154" s="1397" t="s">
        <v>182</v>
      </c>
      <c r="B154" s="313" t="s">
        <v>365</v>
      </c>
      <c r="C154" s="1182">
        <v>0</v>
      </c>
      <c r="D154" s="1221">
        <f ca="1">Scale_Ratio * CPIinflator</f>
        <v>0.9584831859169165</v>
      </c>
      <c r="E154" s="1245">
        <v>0</v>
      </c>
      <c r="F154" s="824"/>
      <c r="G154" s="825"/>
      <c r="H154" s="1042"/>
    </row>
    <row r="155" spans="1:8" s="33" customFormat="1" ht="17.100000000000001" customHeight="1" thickBot="1" x14ac:dyDescent="0.3">
      <c r="A155" s="1397" t="s">
        <v>6</v>
      </c>
      <c r="B155" s="313" t="s">
        <v>937</v>
      </c>
      <c r="C155" s="299"/>
      <c r="D155" s="1264"/>
      <c r="E155" s="1245">
        <f ca="1">+'Carbon Sequestration'!F39</f>
        <v>36130590.559998125</v>
      </c>
      <c r="F155" s="824"/>
      <c r="G155" s="1499"/>
      <c r="H155" s="1042"/>
    </row>
    <row r="156" spans="1:8" s="33" customFormat="1" ht="17.100000000000001" customHeight="1" thickBot="1" x14ac:dyDescent="0.3">
      <c r="A156" s="1397"/>
      <c r="B156" s="313" t="s">
        <v>934</v>
      </c>
      <c r="C156" s="1182">
        <v>0</v>
      </c>
      <c r="D156" s="1221">
        <f>CPIinflator</f>
        <v>0.9584831859169165</v>
      </c>
      <c r="E156" s="1245">
        <v>0</v>
      </c>
      <c r="F156" s="824"/>
      <c r="G156" s="1499"/>
      <c r="H156" s="1042"/>
    </row>
    <row r="157" spans="1:8" s="33" customFormat="1" ht="17.100000000000001" customHeight="1" thickBot="1" x14ac:dyDescent="0.3">
      <c r="A157" s="1397"/>
      <c r="B157" s="313" t="s">
        <v>933</v>
      </c>
      <c r="C157" s="299"/>
      <c r="D157" s="1264"/>
      <c r="E157" s="1265">
        <f ca="1">ROUND(Proc_CO2_tax*12/44*Proc_CO2_MTpY,-2)</f>
        <v>0</v>
      </c>
      <c r="F157" s="824"/>
      <c r="G157" s="1499"/>
      <c r="H157" s="1042"/>
    </row>
    <row r="158" spans="1:8" s="33" customFormat="1" ht="17.100000000000001" customHeight="1" thickBot="1" x14ac:dyDescent="0.3">
      <c r="A158" s="1397"/>
      <c r="B158" s="313" t="s">
        <v>935</v>
      </c>
      <c r="C158" s="1182">
        <v>0</v>
      </c>
      <c r="D158" s="1221">
        <f>CPIinflator</f>
        <v>0.9584831859169165</v>
      </c>
      <c r="E158" s="1265">
        <v>0</v>
      </c>
      <c r="F158" s="824"/>
      <c r="G158" s="1499"/>
      <c r="H158" s="1042"/>
    </row>
    <row r="159" spans="1:8" s="33" customFormat="1" ht="17.100000000000001" customHeight="1" thickBot="1" x14ac:dyDescent="0.3">
      <c r="A159" s="1397"/>
      <c r="B159" s="313" t="s">
        <v>936</v>
      </c>
      <c r="C159" s="1266"/>
      <c r="D159" s="1267"/>
      <c r="E159" s="1265">
        <f ca="1">ROUND(Upstream_CO2_tax/1000*Upstream_GHG_total*output_kgyear,2)</f>
        <v>0</v>
      </c>
      <c r="F159" s="1318"/>
      <c r="G159" s="1499"/>
      <c r="H159" s="1042"/>
    </row>
    <row r="160" spans="1:8" s="33" customFormat="1" ht="23.25" customHeight="1" thickBot="1" x14ac:dyDescent="0.3">
      <c r="A160" s="1397" t="s">
        <v>257</v>
      </c>
      <c r="B160" s="317" t="s">
        <v>255</v>
      </c>
      <c r="C160" s="1268"/>
      <c r="D160" s="1269"/>
      <c r="E160" s="1270">
        <f ca="1">ROUND(total_feedstock+total_utilities+total_other_raw-total_byproducts+var_misc+waste_treat+solidwaste_treat+royalties+operator_profit-tax_credit+CO2_OandMcost+Proc_CO2_taxpYear + Upstream_CO2_taxpYear,-2)</f>
        <v>161260200</v>
      </c>
      <c r="F160" s="1271"/>
      <c r="G160" s="1514"/>
      <c r="H160" s="1042"/>
    </row>
    <row r="161" spans="1:8" s="33" customFormat="1" x14ac:dyDescent="0.25">
      <c r="A161" s="1225"/>
      <c r="B161" s="1042"/>
      <c r="C161" s="1042"/>
      <c r="D161" s="1042"/>
      <c r="E161" s="1042"/>
      <c r="F161" s="1042"/>
      <c r="G161" s="1042"/>
      <c r="H161" s="1042"/>
    </row>
    <row r="162" spans="1:8" s="33" customFormat="1" x14ac:dyDescent="0.25">
      <c r="A162" s="1225"/>
      <c r="B162" s="1042"/>
      <c r="C162" s="1042"/>
      <c r="D162" s="1042"/>
      <c r="E162" s="1042"/>
      <c r="F162" s="1042"/>
      <c r="G162" s="1042"/>
      <c r="H162" s="1042"/>
    </row>
    <row r="163" spans="1:8" s="33" customFormat="1" x14ac:dyDescent="0.25">
      <c r="A163" s="1225"/>
      <c r="B163" s="1042"/>
      <c r="C163" s="1042"/>
      <c r="D163" s="1042"/>
      <c r="E163" s="1042"/>
      <c r="F163" s="1042"/>
      <c r="G163" s="1042"/>
      <c r="H163" s="1042"/>
    </row>
    <row r="164" spans="1:8" s="33" customFormat="1" x14ac:dyDescent="0.25">
      <c r="A164" s="1225"/>
      <c r="B164" s="1042"/>
      <c r="C164" s="1042"/>
      <c r="D164" s="1042"/>
      <c r="E164" s="1042"/>
      <c r="F164" s="1042"/>
      <c r="G164" s="1042"/>
      <c r="H164" s="1042"/>
    </row>
    <row r="165" spans="1:8" s="33" customFormat="1" x14ac:dyDescent="0.25">
      <c r="A165" s="1225"/>
      <c r="B165" s="1042"/>
      <c r="C165" s="1042"/>
      <c r="D165" s="1042"/>
      <c r="E165" s="1042"/>
      <c r="F165" s="1042"/>
      <c r="G165" s="1042"/>
      <c r="H165" s="1042"/>
    </row>
    <row r="166" spans="1:8" s="33" customFormat="1" x14ac:dyDescent="0.25">
      <c r="A166" s="1225"/>
      <c r="B166" s="1042"/>
      <c r="C166" s="1042"/>
      <c r="D166" s="1042"/>
      <c r="E166" s="1042"/>
      <c r="F166" s="1042"/>
      <c r="G166" s="1042"/>
      <c r="H166" s="1042"/>
    </row>
    <row r="167" spans="1:8" s="33" customFormat="1" x14ac:dyDescent="0.25">
      <c r="A167" s="1225"/>
      <c r="B167" s="1042"/>
      <c r="C167" s="1042"/>
      <c r="D167" s="1042"/>
      <c r="E167" s="1042"/>
      <c r="F167" s="1042"/>
      <c r="G167" s="1042"/>
      <c r="H167" s="1042"/>
    </row>
    <row r="168" spans="1:8" s="33" customFormat="1" x14ac:dyDescent="0.25">
      <c r="A168" s="1225"/>
      <c r="B168" s="1042"/>
      <c r="C168" s="1042"/>
      <c r="D168" s="1042"/>
      <c r="E168" s="1042"/>
      <c r="F168" s="1042"/>
      <c r="G168" s="1042"/>
      <c r="H168" s="1042"/>
    </row>
    <row r="169" spans="1:8" s="33" customFormat="1" x14ac:dyDescent="0.25">
      <c r="A169" s="1225"/>
      <c r="B169" s="1042"/>
      <c r="C169" s="1042"/>
      <c r="D169" s="1042"/>
      <c r="E169" s="1042"/>
      <c r="F169" s="1042"/>
      <c r="G169" s="1042"/>
      <c r="H169" s="1042"/>
    </row>
    <row r="170" spans="1:8" s="33" customFormat="1" x14ac:dyDescent="0.25">
      <c r="A170" s="1225"/>
      <c r="B170" s="1042"/>
      <c r="C170" s="1042"/>
      <c r="D170" s="1042"/>
      <c r="E170" s="1042"/>
      <c r="F170" s="1042"/>
      <c r="G170" s="1042"/>
      <c r="H170" s="1042"/>
    </row>
    <row r="171" spans="1:8" s="33" customFormat="1" x14ac:dyDescent="0.25">
      <c r="A171" s="1225"/>
      <c r="B171" s="1042"/>
      <c r="C171" s="1042"/>
      <c r="D171" s="1042"/>
      <c r="E171" s="1042"/>
      <c r="F171" s="1042"/>
      <c r="G171" s="1042"/>
      <c r="H171" s="1042"/>
    </row>
    <row r="172" spans="1:8" s="33" customFormat="1" x14ac:dyDescent="0.25">
      <c r="A172" s="1225"/>
      <c r="B172" s="1042"/>
      <c r="C172" s="1042"/>
      <c r="D172" s="1042"/>
      <c r="E172" s="1042"/>
      <c r="F172" s="1042"/>
      <c r="G172" s="1042"/>
      <c r="H172" s="1042"/>
    </row>
    <row r="173" spans="1:8" s="33" customFormat="1" x14ac:dyDescent="0.25">
      <c r="A173" s="1225"/>
      <c r="B173" s="1042"/>
      <c r="C173" s="1042"/>
      <c r="D173" s="1042"/>
      <c r="E173" s="1042"/>
      <c r="F173" s="1042"/>
      <c r="G173" s="1042"/>
      <c r="H173" s="1042"/>
    </row>
    <row r="174" spans="1:8" s="33" customFormat="1" x14ac:dyDescent="0.25">
      <c r="A174" s="1225"/>
      <c r="B174" s="1042"/>
      <c r="C174" s="1042"/>
      <c r="D174" s="1042"/>
      <c r="E174" s="1042"/>
      <c r="F174" s="1042"/>
      <c r="G174" s="1042"/>
      <c r="H174" s="1042"/>
    </row>
    <row r="175" spans="1:8" s="33" customFormat="1" x14ac:dyDescent="0.25">
      <c r="A175" s="1225"/>
      <c r="B175" s="1042"/>
      <c r="C175" s="1042"/>
      <c r="D175" s="1042"/>
      <c r="E175" s="1042"/>
      <c r="F175" s="1042"/>
      <c r="G175" s="1042"/>
      <c r="H175" s="1042"/>
    </row>
    <row r="176" spans="1:8" s="33" customFormat="1" x14ac:dyDescent="0.25">
      <c r="A176" s="1225"/>
      <c r="B176" s="1042"/>
      <c r="C176" s="1042"/>
      <c r="D176" s="1042"/>
      <c r="E176" s="1042"/>
      <c r="F176" s="1042"/>
      <c r="G176" s="1042"/>
      <c r="H176" s="1042"/>
    </row>
    <row r="177" spans="1:8" s="33" customFormat="1" x14ac:dyDescent="0.25">
      <c r="A177" s="1225"/>
      <c r="B177" s="1042"/>
      <c r="C177" s="1042"/>
      <c r="D177" s="1042"/>
      <c r="E177" s="1042"/>
      <c r="F177" s="1042"/>
      <c r="G177" s="1042"/>
      <c r="H177" s="1042"/>
    </row>
    <row r="178" spans="1:8" s="33" customFormat="1" x14ac:dyDescent="0.25">
      <c r="A178" s="1225"/>
      <c r="B178" s="1042"/>
      <c r="C178" s="1042"/>
      <c r="D178" s="1042"/>
      <c r="E178" s="1042"/>
      <c r="F178" s="1042"/>
      <c r="G178" s="1042"/>
      <c r="H178" s="1042"/>
    </row>
    <row r="179" spans="1:8" s="33" customFormat="1" x14ac:dyDescent="0.25">
      <c r="A179" s="1225"/>
      <c r="B179" s="1042"/>
      <c r="C179" s="1042"/>
      <c r="D179" s="1042"/>
      <c r="E179" s="1042"/>
      <c r="F179" s="1042"/>
      <c r="G179" s="1042"/>
      <c r="H179" s="1042"/>
    </row>
    <row r="180" spans="1:8" s="33" customFormat="1" x14ac:dyDescent="0.25">
      <c r="A180" s="1225"/>
      <c r="B180" s="1042"/>
      <c r="C180" s="1042"/>
      <c r="D180" s="1042"/>
      <c r="E180" s="1042"/>
      <c r="F180" s="1042"/>
      <c r="G180" s="1042"/>
      <c r="H180" s="1042"/>
    </row>
    <row r="181" spans="1:8" s="33" customFormat="1" x14ac:dyDescent="0.25">
      <c r="A181" s="1225"/>
      <c r="B181" s="1042"/>
      <c r="C181" s="1042"/>
      <c r="D181" s="1042"/>
      <c r="E181" s="1042"/>
      <c r="F181" s="1042"/>
      <c r="G181" s="1042"/>
      <c r="H181" s="1042"/>
    </row>
    <row r="182" spans="1:8" s="33" customFormat="1" x14ac:dyDescent="0.25">
      <c r="A182" s="1225"/>
      <c r="B182" s="1042"/>
      <c r="C182" s="1042"/>
      <c r="D182" s="1042"/>
      <c r="E182" s="1042"/>
      <c r="F182" s="1042"/>
      <c r="G182" s="1042"/>
      <c r="H182" s="1042"/>
    </row>
    <row r="183" spans="1:8" s="33" customFormat="1" x14ac:dyDescent="0.25">
      <c r="A183" s="1225"/>
      <c r="B183" s="1042"/>
      <c r="C183" s="1042"/>
      <c r="D183" s="1042"/>
      <c r="E183" s="1042"/>
      <c r="F183" s="1042"/>
      <c r="G183" s="1042"/>
      <c r="H183" s="1042"/>
    </row>
    <row r="184" spans="1:8" s="33" customFormat="1" x14ac:dyDescent="0.25">
      <c r="A184" s="1225"/>
      <c r="B184" s="1042"/>
      <c r="C184" s="1042"/>
      <c r="D184" s="1042"/>
      <c r="E184" s="1042"/>
      <c r="F184" s="1042"/>
      <c r="G184" s="1042"/>
      <c r="H184" s="1042"/>
    </row>
    <row r="185" spans="1:8" s="33" customFormat="1" x14ac:dyDescent="0.25">
      <c r="A185" s="1225"/>
      <c r="B185" s="1042"/>
      <c r="C185" s="1042"/>
      <c r="D185" s="1042"/>
      <c r="E185" s="1042"/>
      <c r="F185" s="1042"/>
      <c r="G185" s="1042"/>
      <c r="H185" s="1042"/>
    </row>
    <row r="186" spans="1:8" s="33" customFormat="1" x14ac:dyDescent="0.25">
      <c r="A186" s="1225"/>
      <c r="B186" s="1042"/>
      <c r="C186" s="1042"/>
      <c r="D186" s="1042"/>
      <c r="E186" s="1042"/>
      <c r="F186" s="1042"/>
      <c r="G186" s="1042"/>
      <c r="H186" s="1042"/>
    </row>
    <row r="187" spans="1:8" s="33" customFormat="1" x14ac:dyDescent="0.25">
      <c r="A187" s="1225"/>
      <c r="B187" s="1042"/>
      <c r="C187" s="1225"/>
      <c r="D187" s="1042"/>
      <c r="E187" s="1042"/>
      <c r="F187" s="1042"/>
      <c r="G187" s="1042"/>
      <c r="H187" s="1042"/>
    </row>
    <row r="188" spans="1:8" s="33" customFormat="1" x14ac:dyDescent="0.25">
      <c r="A188" s="1225"/>
      <c r="B188" s="1042"/>
      <c r="C188" s="1225"/>
      <c r="D188" s="1042"/>
      <c r="E188" s="1042"/>
      <c r="F188" s="1042"/>
      <c r="G188" s="1042"/>
      <c r="H188" s="1042"/>
    </row>
    <row r="189" spans="1:8" s="33" customFormat="1" x14ac:dyDescent="0.25">
      <c r="A189" s="1225"/>
      <c r="B189" s="1042"/>
      <c r="C189" s="1225"/>
      <c r="D189" s="1042"/>
      <c r="E189" s="1042"/>
      <c r="F189" s="1042"/>
      <c r="G189" s="1042"/>
      <c r="H189" s="1042"/>
    </row>
    <row r="190" spans="1:8" s="33" customFormat="1" x14ac:dyDescent="0.25">
      <c r="A190" s="1225"/>
      <c r="B190" s="1042"/>
      <c r="C190" s="1225"/>
      <c r="D190" s="1042"/>
      <c r="E190" s="1042"/>
      <c r="F190" s="1042"/>
      <c r="G190" s="1042"/>
      <c r="H190" s="1042"/>
    </row>
    <row r="191" spans="1:8" s="33" customFormat="1" x14ac:dyDescent="0.25">
      <c r="A191" s="1225"/>
      <c r="B191" s="1042"/>
      <c r="C191" s="1225"/>
      <c r="D191" s="1042"/>
      <c r="E191" s="1042"/>
      <c r="F191" s="1042"/>
      <c r="G191" s="1042"/>
      <c r="H191" s="1042"/>
    </row>
    <row r="192" spans="1:8" s="33" customFormat="1" x14ac:dyDescent="0.25">
      <c r="A192" s="1225"/>
      <c r="B192" s="1042"/>
      <c r="C192" s="1225"/>
      <c r="D192" s="1042"/>
      <c r="E192" s="1042"/>
      <c r="F192" s="1042"/>
      <c r="G192" s="1042"/>
      <c r="H192" s="1042"/>
    </row>
    <row r="193" spans="1:8" s="33" customFormat="1" x14ac:dyDescent="0.25">
      <c r="A193" s="1225"/>
      <c r="B193" s="1042"/>
      <c r="C193" s="1225"/>
      <c r="D193" s="1042"/>
      <c r="E193" s="1042"/>
      <c r="F193" s="1042"/>
      <c r="G193" s="1042"/>
      <c r="H193" s="1042"/>
    </row>
    <row r="194" spans="1:8" s="33" customFormat="1" x14ac:dyDescent="0.25">
      <c r="A194" s="1225"/>
      <c r="B194" s="1042"/>
      <c r="C194" s="1225"/>
      <c r="D194" s="1042"/>
      <c r="E194" s="1042"/>
      <c r="F194" s="1042"/>
      <c r="G194" s="1042"/>
      <c r="H194" s="1042"/>
    </row>
    <row r="195" spans="1:8" s="33" customFormat="1" x14ac:dyDescent="0.25">
      <c r="A195" s="1225"/>
      <c r="B195" s="1042"/>
      <c r="C195" s="1225"/>
      <c r="D195" s="1042"/>
      <c r="E195" s="1042"/>
      <c r="F195" s="1042"/>
      <c r="G195" s="1042"/>
      <c r="H195" s="1042"/>
    </row>
    <row r="196" spans="1:8" s="33" customFormat="1" x14ac:dyDescent="0.25">
      <c r="A196" s="1225"/>
      <c r="B196" s="1042"/>
      <c r="C196" s="1225"/>
      <c r="D196" s="1042"/>
      <c r="E196" s="1042"/>
      <c r="F196" s="1042"/>
      <c r="G196" s="1042"/>
      <c r="H196" s="1042"/>
    </row>
    <row r="197" spans="1:8" s="33" customFormat="1" x14ac:dyDescent="0.25">
      <c r="A197" s="1225"/>
      <c r="B197" s="1042"/>
      <c r="C197" s="1225"/>
      <c r="D197" s="1042"/>
      <c r="E197" s="1042"/>
      <c r="F197" s="1042"/>
      <c r="G197" s="1042"/>
      <c r="H197" s="1042"/>
    </row>
    <row r="198" spans="1:8" s="33" customFormat="1" x14ac:dyDescent="0.25">
      <c r="A198" s="1225"/>
      <c r="B198" s="1042"/>
      <c r="C198" s="1225"/>
      <c r="D198" s="1042"/>
      <c r="E198" s="1042"/>
      <c r="F198" s="1042"/>
      <c r="G198" s="1042"/>
      <c r="H198" s="1042"/>
    </row>
    <row r="199" spans="1:8" s="33" customFormat="1" x14ac:dyDescent="0.25">
      <c r="A199" s="1225"/>
      <c r="B199" s="1042"/>
      <c r="C199" s="1225"/>
      <c r="D199" s="1042"/>
      <c r="E199" s="1042"/>
      <c r="F199" s="1042"/>
      <c r="G199" s="1042"/>
      <c r="H199" s="1042"/>
    </row>
    <row r="200" spans="1:8" s="33" customFormat="1" x14ac:dyDescent="0.25">
      <c r="A200" s="1225"/>
      <c r="B200" s="1042"/>
      <c r="C200" s="1225"/>
      <c r="D200" s="1042"/>
      <c r="E200" s="1042"/>
      <c r="F200" s="1042"/>
      <c r="G200" s="1042"/>
      <c r="H200" s="1042"/>
    </row>
    <row r="201" spans="1:8" s="33" customFormat="1" x14ac:dyDescent="0.25">
      <c r="A201" s="1225"/>
      <c r="B201" s="1042"/>
      <c r="C201" s="1225"/>
      <c r="D201" s="1042"/>
      <c r="E201" s="1042"/>
      <c r="F201" s="1042"/>
      <c r="G201" s="1042"/>
      <c r="H201" s="1042"/>
    </row>
    <row r="202" spans="1:8" s="33" customFormat="1" x14ac:dyDescent="0.25">
      <c r="A202" s="1225"/>
      <c r="B202" s="1042"/>
      <c r="C202" s="1225"/>
      <c r="D202" s="1042"/>
      <c r="E202" s="1042"/>
      <c r="F202" s="1042"/>
      <c r="G202" s="1042"/>
      <c r="H202" s="1042"/>
    </row>
    <row r="203" spans="1:8" s="33" customFormat="1" x14ac:dyDescent="0.25">
      <c r="A203" s="1225"/>
      <c r="B203" s="1042"/>
      <c r="C203" s="1225"/>
      <c r="D203" s="1042"/>
      <c r="E203" s="1042"/>
      <c r="F203" s="1042"/>
      <c r="G203" s="1042"/>
      <c r="H203" s="1042"/>
    </row>
    <row r="204" spans="1:8" s="33" customFormat="1" x14ac:dyDescent="0.25">
      <c r="A204" s="1225"/>
      <c r="B204" s="1042"/>
      <c r="C204" s="1225"/>
      <c r="D204" s="1042"/>
      <c r="E204" s="1042"/>
      <c r="F204" s="1042"/>
      <c r="G204" s="1042"/>
      <c r="H204" s="1042"/>
    </row>
    <row r="205" spans="1:8" s="33" customFormat="1" x14ac:dyDescent="0.25">
      <c r="A205" s="1225"/>
      <c r="B205" s="1042"/>
      <c r="C205" s="1225"/>
      <c r="D205" s="1042"/>
      <c r="E205" s="1042"/>
      <c r="F205" s="1042"/>
      <c r="G205" s="1042"/>
      <c r="H205" s="1042"/>
    </row>
    <row r="206" spans="1:8" s="33" customFormat="1" x14ac:dyDescent="0.25">
      <c r="A206" s="1225"/>
      <c r="B206" s="1042"/>
      <c r="C206" s="1225"/>
      <c r="D206" s="1042"/>
      <c r="E206" s="1042"/>
      <c r="F206" s="1042"/>
      <c r="G206" s="1042"/>
      <c r="H206" s="1042"/>
    </row>
    <row r="207" spans="1:8" s="33" customFormat="1" x14ac:dyDescent="0.25">
      <c r="A207" s="1225"/>
      <c r="B207" s="1042"/>
      <c r="C207" s="1225"/>
      <c r="D207" s="1042"/>
      <c r="E207" s="1042"/>
      <c r="F207" s="1042"/>
      <c r="G207" s="1042"/>
      <c r="H207" s="1042"/>
    </row>
    <row r="208" spans="1:8" s="33" customFormat="1" x14ac:dyDescent="0.25">
      <c r="A208" s="1225"/>
      <c r="B208" s="1042"/>
      <c r="C208" s="1225"/>
      <c r="D208" s="1042"/>
      <c r="E208" s="1042"/>
      <c r="F208" s="1042"/>
      <c r="G208" s="1042"/>
      <c r="H208" s="1042"/>
    </row>
    <row r="209" spans="1:8" s="33" customFormat="1" x14ac:dyDescent="0.25">
      <c r="A209" s="1225"/>
      <c r="B209" s="1042"/>
      <c r="C209" s="1225"/>
      <c r="D209" s="1042"/>
      <c r="E209" s="1042"/>
      <c r="F209" s="1042"/>
      <c r="G209" s="1042"/>
      <c r="H209" s="1042"/>
    </row>
    <row r="210" spans="1:8" s="33" customFormat="1" x14ac:dyDescent="0.25">
      <c r="A210" s="1225"/>
      <c r="B210" s="1042"/>
      <c r="C210" s="1225"/>
      <c r="D210" s="1042"/>
      <c r="E210" s="1042"/>
      <c r="F210" s="1042"/>
      <c r="G210" s="1042"/>
      <c r="H210" s="1042"/>
    </row>
    <row r="211" spans="1:8" s="33" customFormat="1" x14ac:dyDescent="0.25">
      <c r="A211" s="1225"/>
      <c r="B211" s="1042"/>
      <c r="C211" s="1225"/>
      <c r="D211" s="1042"/>
      <c r="E211" s="1042"/>
      <c r="F211" s="1042"/>
      <c r="G211" s="1042"/>
      <c r="H211" s="1042"/>
    </row>
    <row r="212" spans="1:8" s="33" customFormat="1" x14ac:dyDescent="0.25">
      <c r="A212" s="1225"/>
      <c r="B212" s="1042"/>
      <c r="C212" s="1225"/>
      <c r="D212" s="1042"/>
      <c r="E212" s="1042"/>
      <c r="F212" s="1042"/>
      <c r="G212" s="1042"/>
      <c r="H212" s="1042"/>
    </row>
    <row r="213" spans="1:8" s="33" customFormat="1" x14ac:dyDescent="0.25">
      <c r="A213" s="1225"/>
      <c r="B213" s="1042"/>
      <c r="C213" s="1225"/>
      <c r="D213" s="1042"/>
      <c r="E213" s="1042"/>
      <c r="F213" s="1042"/>
      <c r="G213" s="1042"/>
      <c r="H213" s="1042"/>
    </row>
    <row r="214" spans="1:8" s="33" customFormat="1" x14ac:dyDescent="0.25">
      <c r="A214" s="1225"/>
      <c r="B214" s="1042"/>
      <c r="C214" s="1225"/>
      <c r="D214" s="1042"/>
      <c r="E214" s="1042"/>
      <c r="F214" s="1042"/>
      <c r="G214" s="1042"/>
      <c r="H214" s="1042"/>
    </row>
    <row r="215" spans="1:8" s="33" customFormat="1" x14ac:dyDescent="0.25">
      <c r="A215" s="1225"/>
      <c r="B215" s="1042"/>
      <c r="C215" s="1225"/>
      <c r="D215" s="1042"/>
      <c r="E215" s="1042"/>
      <c r="F215" s="1042"/>
      <c r="G215" s="1042"/>
      <c r="H215" s="1042"/>
    </row>
    <row r="216" spans="1:8" s="33" customFormat="1" x14ac:dyDescent="0.25">
      <c r="A216" s="1225"/>
      <c r="B216" s="1042"/>
      <c r="C216" s="1225"/>
      <c r="D216" s="1042"/>
      <c r="E216" s="1042"/>
      <c r="F216" s="1042"/>
      <c r="G216" s="1042"/>
      <c r="H216" s="1042"/>
    </row>
    <row r="217" spans="1:8" s="33" customFormat="1" x14ac:dyDescent="0.25">
      <c r="A217" s="1225"/>
      <c r="B217" s="1042"/>
      <c r="C217" s="1225"/>
      <c r="D217" s="1042"/>
      <c r="E217" s="1042"/>
      <c r="F217" s="1042"/>
      <c r="G217" s="1042"/>
      <c r="H217" s="1042"/>
    </row>
    <row r="218" spans="1:8" s="33" customFormat="1" x14ac:dyDescent="0.25">
      <c r="A218" s="1225"/>
      <c r="B218" s="1042"/>
      <c r="C218" s="1225"/>
      <c r="D218" s="1042"/>
      <c r="E218" s="1042"/>
      <c r="F218" s="1042"/>
      <c r="G218" s="1042"/>
      <c r="H218" s="1042"/>
    </row>
    <row r="219" spans="1:8" s="33" customFormat="1" x14ac:dyDescent="0.25">
      <c r="A219" s="1225"/>
      <c r="B219" s="1042"/>
      <c r="C219" s="1225"/>
      <c r="D219" s="1042"/>
      <c r="E219" s="1042"/>
      <c r="F219" s="1042"/>
      <c r="G219" s="1042"/>
      <c r="H219" s="1042"/>
    </row>
    <row r="220" spans="1:8" s="33" customFormat="1" x14ac:dyDescent="0.25">
      <c r="A220" s="1225"/>
      <c r="B220" s="1042"/>
      <c r="C220" s="1225"/>
      <c r="D220" s="1042"/>
      <c r="E220" s="1042"/>
      <c r="F220" s="1042"/>
      <c r="G220" s="1042"/>
      <c r="H220" s="1042"/>
    </row>
    <row r="221" spans="1:8" s="33" customFormat="1" x14ac:dyDescent="0.25">
      <c r="A221" s="1225"/>
      <c r="B221" s="1042"/>
      <c r="C221" s="1225"/>
      <c r="D221" s="1042"/>
      <c r="E221" s="1042"/>
      <c r="F221" s="1042"/>
      <c r="G221" s="1042"/>
      <c r="H221" s="1042"/>
    </row>
    <row r="222" spans="1:8" s="33" customFormat="1" x14ac:dyDescent="0.25">
      <c r="A222" s="1225"/>
      <c r="B222" s="1042"/>
      <c r="C222" s="1225"/>
      <c r="D222" s="1042"/>
      <c r="E222" s="1042"/>
      <c r="F222" s="1042"/>
      <c r="G222" s="1042"/>
      <c r="H222" s="1042"/>
    </row>
  </sheetData>
  <mergeCells count="52">
    <mergeCell ref="G155:G160"/>
    <mergeCell ref="C130:D130"/>
    <mergeCell ref="E143:G143"/>
    <mergeCell ref="D99:D100"/>
    <mergeCell ref="E88:G88"/>
    <mergeCell ref="E140:G142"/>
    <mergeCell ref="E151:G151"/>
    <mergeCell ref="F147:G147"/>
    <mergeCell ref="E144:G144"/>
    <mergeCell ref="E145:G145"/>
    <mergeCell ref="F91:G91"/>
    <mergeCell ref="F92:G92"/>
    <mergeCell ref="F102:G102"/>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53:G53"/>
    <mergeCell ref="E52:G52"/>
    <mergeCell ref="E51:G51"/>
    <mergeCell ref="E55:G55"/>
    <mergeCell ref="E85:G85"/>
    <mergeCell ref="E86:G86"/>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8" xr:uid="{00000000-0002-0000-0300-000000000000}"/>
    <dataValidation allowBlank="1" showInputMessage="1" showErrorMessage="1" prompt="Enter specific year replacement costs on Replacement Costs sheet" sqref="C151"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type="list" allowBlank="1" showInputMessage="1" showErrorMessage="1" sqref="B129"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 allowBlank="1" showInputMessage="1" showErrorMessage="1" prompt="If the field is blue (linked), enter values on the &quot;Carbon Sequestration&quot; sheet only. If gold (unlinked) enter values here. Click the button to link or unlink the field." sqref="C89" xr:uid="{00000000-0002-0000-0300-000003000000}"/>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213360</xdr:rowOff>
                  </from>
                  <to>
                    <xdr:col>3</xdr:col>
                    <xdr:colOff>1066800</xdr:colOff>
                    <xdr:row>41</xdr:row>
                    <xdr:rowOff>213360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213360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112</xdr:row>
                    <xdr:rowOff>0</xdr:rowOff>
                  </from>
                  <to>
                    <xdr:col>3</xdr:col>
                    <xdr:colOff>1066800</xdr:colOff>
                    <xdr:row>113</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115</xdr:row>
                    <xdr:rowOff>22860</xdr:rowOff>
                  </from>
                  <to>
                    <xdr:col>3</xdr:col>
                    <xdr:colOff>1066800</xdr:colOff>
                    <xdr:row>115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defaultColWidth="9.33203125" defaultRowHeight="13.2" x14ac:dyDescent="0.25"/>
  <cols>
    <col min="1" max="1" width="16.33203125" style="208" customWidth="1"/>
    <col min="2" max="2" width="17.44140625" style="208" customWidth="1"/>
    <col min="3" max="5" width="19.5546875" style="208" customWidth="1"/>
    <col min="6" max="6" width="19.44140625" style="208" customWidth="1"/>
    <col min="7" max="7" width="21.6640625" style="208" customWidth="1"/>
    <col min="8" max="8" width="23.33203125" style="208" customWidth="1"/>
    <col min="9" max="10" width="19.33203125" style="208" customWidth="1"/>
    <col min="11" max="11" width="47.33203125" style="208" customWidth="1"/>
    <col min="12" max="12" width="30.33203125" style="208" customWidth="1"/>
    <col min="13" max="13" width="40.33203125" style="208" customWidth="1"/>
    <col min="14" max="14" width="20" style="208" customWidth="1"/>
    <col min="15" max="16384" width="9.33203125" style="208"/>
  </cols>
  <sheetData>
    <row r="1" spans="1:12" x14ac:dyDescent="0.25">
      <c r="B1" s="36"/>
      <c r="C1" s="36"/>
      <c r="D1" s="36"/>
      <c r="E1" s="36"/>
      <c r="F1" s="36"/>
      <c r="G1" s="36"/>
    </row>
    <row r="2" spans="1:12" ht="21" x14ac:dyDescent="0.5">
      <c r="A2" s="693" t="s">
        <v>1000</v>
      </c>
      <c r="B2" s="36"/>
      <c r="C2" s="36"/>
      <c r="D2" s="36"/>
      <c r="E2" s="36"/>
      <c r="F2" s="36"/>
      <c r="G2" s="36"/>
    </row>
    <row r="3" spans="1:12" x14ac:dyDescent="0.25">
      <c r="B3" s="39"/>
      <c r="C3" s="39"/>
      <c r="D3" s="39"/>
      <c r="E3" s="39"/>
      <c r="F3" s="39"/>
      <c r="G3" s="42"/>
      <c r="H3" s="209"/>
      <c r="I3" s="209"/>
      <c r="J3" s="209"/>
    </row>
    <row r="4" spans="1:12" x14ac:dyDescent="0.25">
      <c r="B4" s="39"/>
      <c r="C4" s="39"/>
      <c r="D4" s="39"/>
      <c r="E4" s="39"/>
      <c r="F4" s="39"/>
      <c r="G4" s="42"/>
      <c r="H4" s="209"/>
      <c r="I4" s="209"/>
      <c r="J4" s="209"/>
    </row>
    <row r="5" spans="1:12" customFormat="1" ht="15.6" x14ac:dyDescent="0.3">
      <c r="C5" s="695" t="s">
        <v>230</v>
      </c>
      <c r="D5" s="695"/>
      <c r="E5" s="695"/>
    </row>
    <row r="6" spans="1:12" customFormat="1" x14ac:dyDescent="0.25"/>
    <row r="7" spans="1:12" customFormat="1" x14ac:dyDescent="0.25"/>
    <row r="8" spans="1:12" customFormat="1" x14ac:dyDescent="0.25"/>
    <row r="9" spans="1:12" customFormat="1" x14ac:dyDescent="0.25">
      <c r="A9" s="694" t="str">
        <f>"NOTE: Enter costs in year "&amp;TEXT(BasisYear,"0")&amp;" $ - Do not inflate"</f>
        <v>NOTE: Enter costs in year 2018 $ - Do not inflate</v>
      </c>
    </row>
    <row r="10" spans="1:12" customFormat="1" x14ac:dyDescent="0.25">
      <c r="A10" s="694" t="s">
        <v>1001</v>
      </c>
    </row>
    <row r="11" spans="1:12" customFormat="1" x14ac:dyDescent="0.25"/>
    <row r="12" spans="1:12" ht="13.8" thickBot="1" x14ac:dyDescent="0.3">
      <c r="A12" s="210"/>
      <c r="B12" s="210"/>
      <c r="C12" s="210"/>
      <c r="D12" s="210"/>
      <c r="E12" s="210"/>
      <c r="F12" s="210"/>
      <c r="G12" s="210"/>
      <c r="H12" s="211"/>
      <c r="I12" s="211"/>
      <c r="J12" s="211"/>
    </row>
    <row r="13" spans="1:12" ht="14.4" thickTop="1" thickBot="1" x14ac:dyDescent="0.3">
      <c r="A13" s="318" t="s">
        <v>1002</v>
      </c>
      <c r="B13" s="319"/>
      <c r="C13" s="320"/>
      <c r="D13" s="320"/>
      <c r="E13" s="320"/>
      <c r="F13" s="321"/>
      <c r="G13" s="322"/>
    </row>
    <row r="14" spans="1:12" ht="14.4" thickTop="1" thickBot="1" x14ac:dyDescent="0.3">
      <c r="A14" s="323"/>
      <c r="B14" s="324"/>
      <c r="C14" s="325" t="s">
        <v>1003</v>
      </c>
      <c r="D14" s="325"/>
      <c r="E14" s="325"/>
      <c r="F14" s="325" t="s">
        <v>1004</v>
      </c>
      <c r="G14" s="326" t="s">
        <v>1005</v>
      </c>
    </row>
    <row r="15" spans="1:12" s="207" customFormat="1" ht="93.6" thickTop="1" thickBot="1" x14ac:dyDescent="0.3">
      <c r="A15" s="327" t="s">
        <v>180</v>
      </c>
      <c r="B15" s="458">
        <f>replace_factor</f>
        <v>5.0000000000000001E-3</v>
      </c>
      <c r="C15" s="328"/>
      <c r="D15" s="328"/>
      <c r="E15" s="328"/>
      <c r="F15" s="329"/>
      <c r="G15" s="330" t="s">
        <v>1006</v>
      </c>
      <c r="I15" s="219"/>
      <c r="J15" s="208"/>
      <c r="K15" s="212"/>
    </row>
    <row r="16" spans="1:12" ht="54" thickTop="1" thickBot="1" x14ac:dyDescent="0.3">
      <c r="A16" s="331" t="s">
        <v>1007</v>
      </c>
      <c r="B16" s="332" t="s">
        <v>37</v>
      </c>
      <c r="C16" s="333" t="s">
        <v>1008</v>
      </c>
      <c r="D16" s="333" t="s">
        <v>1009</v>
      </c>
      <c r="E16" s="333" t="s">
        <v>1189</v>
      </c>
      <c r="F16" s="333" t="s">
        <v>1009</v>
      </c>
      <c r="G16" s="333" t="s">
        <v>1010</v>
      </c>
      <c r="H16" s="333" t="s">
        <v>1048</v>
      </c>
      <c r="I16" s="333" t="s">
        <v>1049</v>
      </c>
      <c r="J16" s="333" t="s">
        <v>1050</v>
      </c>
      <c r="K16" s="334" t="s">
        <v>1051</v>
      </c>
      <c r="L16" s="335" t="s">
        <v>1052</v>
      </c>
    </row>
    <row r="17" spans="1:12" ht="14.4" thickTop="1" thickBot="1" x14ac:dyDescent="0.3">
      <c r="A17" s="336"/>
      <c r="B17" s="337"/>
      <c r="C17" s="337"/>
      <c r="D17" s="337" t="str">
        <f>"Year "&amp;TEXT(BasisYear,"0")&amp;" $"</f>
        <v>Year 2018 $</v>
      </c>
      <c r="E17" s="337" t="str">
        <f>"Year "&amp;TEXT(ref_year,"0")&amp;" $"</f>
        <v>Year 2016 $</v>
      </c>
      <c r="F17" s="337" t="str">
        <f>"Year "&amp;TEXT(ref_year,"0")&amp;" $"</f>
        <v>Year 2016 $</v>
      </c>
      <c r="G17" s="337" t="str">
        <f>"Year "&amp;TEXT(ref_year,"0")&amp;" $"</f>
        <v>Year 2016 $</v>
      </c>
      <c r="H17" s="337" t="s">
        <v>1053</v>
      </c>
      <c r="I17" s="337"/>
      <c r="J17" s="337"/>
      <c r="K17" s="338"/>
      <c r="L17" s="339"/>
    </row>
    <row r="18" spans="1:12" ht="13.8" thickTop="1" x14ac:dyDescent="0.25">
      <c r="A18" s="90">
        <f>IF(C18&lt;&gt;"",'Cash Flow Analysis'!A65,"")</f>
        <v>2012</v>
      </c>
      <c r="B18" s="307">
        <f>construct+1</f>
        <v>4</v>
      </c>
      <c r="C18" s="307">
        <v>1</v>
      </c>
      <c r="D18" s="439"/>
      <c r="E18" s="213">
        <v>0</v>
      </c>
      <c r="F18" s="213">
        <f t="shared" ref="F18:F57" si="0">(D18)*CPIinflator*CEPCIinflator+E18</f>
        <v>0</v>
      </c>
      <c r="G18" s="213">
        <f ca="1">IF(C18&gt;anal_period,0,IF(replace_factor&lt;&gt;"",replace_factor*depr_cap,0))</f>
        <v>3990258.5226138877</v>
      </c>
      <c r="H18" s="214">
        <f ca="1">(F18+G18)*((1+inflation_rate)^(startup_year-ref_year))</f>
        <v>3915857.2351461123</v>
      </c>
      <c r="I18" s="340"/>
      <c r="J18" s="341"/>
      <c r="K18" s="342"/>
      <c r="L18" s="343"/>
    </row>
    <row r="19" spans="1:12" x14ac:dyDescent="0.25">
      <c r="A19" s="92">
        <f>IF(C19&lt;&gt;"",'Cash Flow Analysis'!A66,"")</f>
        <v>2013</v>
      </c>
      <c r="B19" s="308">
        <f t="shared" ref="B19:B57" si="1">IF(B18&lt;anal_period+construct,B18+1,"")</f>
        <v>5</v>
      </c>
      <c r="C19" s="308">
        <f t="shared" ref="C19:C57" si="2">IF(B19="","",C18+1)</f>
        <v>2</v>
      </c>
      <c r="D19" s="440"/>
      <c r="E19" s="215">
        <v>0</v>
      </c>
      <c r="F19" s="215">
        <f t="shared" si="0"/>
        <v>0</v>
      </c>
      <c r="G19" s="215">
        <f t="shared" ref="G19:G57" ca="1" si="3">IF(C19&gt;anal_period,0,IF(replace_factor&lt;&gt;"",replace_factor*depr_cap,0))</f>
        <v>3990258.5226138877</v>
      </c>
      <c r="H19" s="216">
        <f t="shared" ref="H19:H57" ca="1" si="4">(F19+G19)*((1+inflation_rate)^(startup_year-ref_year))</f>
        <v>3915857.2351461123</v>
      </c>
      <c r="I19" s="344"/>
      <c r="J19" s="345"/>
      <c r="K19" s="346"/>
      <c r="L19" s="347"/>
    </row>
    <row r="20" spans="1:12" x14ac:dyDescent="0.25">
      <c r="A20" s="92">
        <f>IF(C20&lt;&gt;"",'Cash Flow Analysis'!A67,"")</f>
        <v>2014</v>
      </c>
      <c r="B20" s="308">
        <f t="shared" si="1"/>
        <v>6</v>
      </c>
      <c r="C20" s="308">
        <f t="shared" si="2"/>
        <v>3</v>
      </c>
      <c r="D20" s="440"/>
      <c r="E20" s="215">
        <v>0</v>
      </c>
      <c r="F20" s="215">
        <f t="shared" si="0"/>
        <v>0</v>
      </c>
      <c r="G20" s="215">
        <f t="shared" ca="1" si="3"/>
        <v>3990258.5226138877</v>
      </c>
      <c r="H20" s="216">
        <f t="shared" ca="1" si="4"/>
        <v>3915857.2351461123</v>
      </c>
      <c r="I20" s="344"/>
      <c r="J20" s="345"/>
      <c r="K20" s="346"/>
      <c r="L20" s="347"/>
    </row>
    <row r="21" spans="1:12" x14ac:dyDescent="0.25">
      <c r="A21" s="92">
        <f>IF(C21&lt;&gt;"",'Cash Flow Analysis'!A68,"")</f>
        <v>2015</v>
      </c>
      <c r="B21" s="308">
        <f t="shared" si="1"/>
        <v>7</v>
      </c>
      <c r="C21" s="308">
        <f t="shared" si="2"/>
        <v>4</v>
      </c>
      <c r="D21" s="440"/>
      <c r="E21" s="215">
        <v>0</v>
      </c>
      <c r="F21" s="215">
        <f t="shared" si="0"/>
        <v>0</v>
      </c>
      <c r="G21" s="215">
        <f t="shared" ca="1" si="3"/>
        <v>3990258.5226138877</v>
      </c>
      <c r="H21" s="216">
        <f t="shared" ca="1" si="4"/>
        <v>3915857.2351461123</v>
      </c>
      <c r="I21" s="344"/>
      <c r="J21" s="345"/>
      <c r="K21" s="346"/>
      <c r="L21" s="347"/>
    </row>
    <row r="22" spans="1:12" x14ac:dyDescent="0.25">
      <c r="A22" s="92">
        <f>IF(C22&lt;&gt;"",'Cash Flow Analysis'!A69,"")</f>
        <v>2016</v>
      </c>
      <c r="B22" s="308">
        <f t="shared" si="1"/>
        <v>8</v>
      </c>
      <c r="C22" s="308">
        <f t="shared" si="2"/>
        <v>5</v>
      </c>
      <c r="D22" s="440"/>
      <c r="E22" s="215">
        <v>0</v>
      </c>
      <c r="F22" s="215">
        <f t="shared" si="0"/>
        <v>0</v>
      </c>
      <c r="G22" s="215">
        <f t="shared" ca="1" si="3"/>
        <v>3990258.5226138877</v>
      </c>
      <c r="H22" s="216">
        <f t="shared" ca="1" si="4"/>
        <v>3915857.2351461123</v>
      </c>
      <c r="I22" s="344"/>
      <c r="J22" s="345"/>
      <c r="K22" s="750"/>
      <c r="L22" s="751"/>
    </row>
    <row r="23" spans="1:12" x14ac:dyDescent="0.25">
      <c r="A23" s="92">
        <f>IF(C23&lt;&gt;"",'Cash Flow Analysis'!A70,"")</f>
        <v>2017</v>
      </c>
      <c r="B23" s="308">
        <f t="shared" si="1"/>
        <v>9</v>
      </c>
      <c r="C23" s="308">
        <f t="shared" si="2"/>
        <v>6</v>
      </c>
      <c r="D23" s="440"/>
      <c r="E23" s="215">
        <v>0</v>
      </c>
      <c r="F23" s="215">
        <f t="shared" si="0"/>
        <v>0</v>
      </c>
      <c r="G23" s="215">
        <f t="shared" ca="1" si="3"/>
        <v>3990258.5226138877</v>
      </c>
      <c r="H23" s="216">
        <f t="shared" ca="1" si="4"/>
        <v>3915857.2351461123</v>
      </c>
      <c r="I23" s="344"/>
      <c r="J23" s="345"/>
      <c r="K23" s="346"/>
      <c r="L23" s="347"/>
    </row>
    <row r="24" spans="1:12" x14ac:dyDescent="0.25">
      <c r="A24" s="92">
        <f>IF(C24&lt;&gt;"",'Cash Flow Analysis'!A71,"")</f>
        <v>2018</v>
      </c>
      <c r="B24" s="308">
        <f t="shared" si="1"/>
        <v>10</v>
      </c>
      <c r="C24" s="308">
        <f t="shared" si="2"/>
        <v>7</v>
      </c>
      <c r="D24" s="440"/>
      <c r="E24" s="215">
        <v>0</v>
      </c>
      <c r="F24" s="215">
        <f t="shared" si="0"/>
        <v>0</v>
      </c>
      <c r="G24" s="215">
        <f t="shared" ca="1" si="3"/>
        <v>3990258.5226138877</v>
      </c>
      <c r="H24" s="216">
        <f t="shared" ca="1" si="4"/>
        <v>3915857.2351461123</v>
      </c>
      <c r="I24" s="344"/>
      <c r="J24" s="345"/>
      <c r="K24" s="346"/>
      <c r="L24" s="347"/>
    </row>
    <row r="25" spans="1:12" x14ac:dyDescent="0.25">
      <c r="A25" s="92">
        <f>IF(C25&lt;&gt;"",'Cash Flow Analysis'!A72,"")</f>
        <v>2019</v>
      </c>
      <c r="B25" s="308">
        <f t="shared" si="1"/>
        <v>11</v>
      </c>
      <c r="C25" s="308">
        <f t="shared" si="2"/>
        <v>8</v>
      </c>
      <c r="D25" s="440"/>
      <c r="E25" s="215">
        <v>0</v>
      </c>
      <c r="F25" s="215">
        <f t="shared" si="0"/>
        <v>0</v>
      </c>
      <c r="G25" s="215">
        <f t="shared" ca="1" si="3"/>
        <v>3990258.5226138877</v>
      </c>
      <c r="H25" s="216">
        <f t="shared" ca="1" si="4"/>
        <v>3915857.2351461123</v>
      </c>
      <c r="I25" s="344"/>
      <c r="J25" s="345"/>
      <c r="K25" s="346"/>
      <c r="L25" s="347"/>
    </row>
    <row r="26" spans="1:12" x14ac:dyDescent="0.25">
      <c r="A26" s="92">
        <f>IF(C26&lt;&gt;"",'Cash Flow Analysis'!A73,"")</f>
        <v>2020</v>
      </c>
      <c r="B26" s="308">
        <f t="shared" si="1"/>
        <v>12</v>
      </c>
      <c r="C26" s="308">
        <f t="shared" si="2"/>
        <v>9</v>
      </c>
      <c r="D26" s="440"/>
      <c r="E26" s="215">
        <v>0</v>
      </c>
      <c r="F26" s="215">
        <f t="shared" si="0"/>
        <v>0</v>
      </c>
      <c r="G26" s="215">
        <f t="shared" ca="1" si="3"/>
        <v>3990258.5226138877</v>
      </c>
      <c r="H26" s="216">
        <f t="shared" ca="1" si="4"/>
        <v>3915857.2351461123</v>
      </c>
      <c r="I26" s="344"/>
      <c r="J26" s="345"/>
      <c r="K26" s="346"/>
      <c r="L26" s="347"/>
    </row>
    <row r="27" spans="1:12" x14ac:dyDescent="0.25">
      <c r="A27" s="92">
        <f>IF(C27&lt;&gt;"",'Cash Flow Analysis'!A74,"")</f>
        <v>2021</v>
      </c>
      <c r="B27" s="308">
        <f t="shared" si="1"/>
        <v>13</v>
      </c>
      <c r="C27" s="308">
        <f t="shared" si="2"/>
        <v>10</v>
      </c>
      <c r="D27" s="440"/>
      <c r="E27" s="215">
        <v>0</v>
      </c>
      <c r="F27" s="215">
        <f t="shared" si="0"/>
        <v>0</v>
      </c>
      <c r="G27" s="215">
        <f t="shared" ca="1" si="3"/>
        <v>3990258.5226138877</v>
      </c>
      <c r="H27" s="216">
        <f t="shared" ca="1" si="4"/>
        <v>3915857.2351461123</v>
      </c>
      <c r="I27" s="344"/>
      <c r="J27" s="345"/>
      <c r="K27" s="346"/>
      <c r="L27" s="347"/>
    </row>
    <row r="28" spans="1:12" x14ac:dyDescent="0.25">
      <c r="A28" s="92">
        <f>IF(C28&lt;&gt;"",'Cash Flow Analysis'!A75,"")</f>
        <v>2022</v>
      </c>
      <c r="B28" s="308">
        <f t="shared" si="1"/>
        <v>14</v>
      </c>
      <c r="C28" s="308">
        <f t="shared" si="2"/>
        <v>11</v>
      </c>
      <c r="D28" s="440"/>
      <c r="E28" s="215">
        <v>0</v>
      </c>
      <c r="F28" s="215">
        <f t="shared" si="0"/>
        <v>0</v>
      </c>
      <c r="G28" s="215">
        <f t="shared" ca="1" si="3"/>
        <v>3990258.5226138877</v>
      </c>
      <c r="H28" s="216">
        <f t="shared" ca="1" si="4"/>
        <v>3915857.2351461123</v>
      </c>
      <c r="I28" s="344"/>
      <c r="J28" s="345"/>
      <c r="K28" s="346"/>
      <c r="L28" s="347"/>
    </row>
    <row r="29" spans="1:12" x14ac:dyDescent="0.25">
      <c r="A29" s="92">
        <f>IF(C29&lt;&gt;"",'Cash Flow Analysis'!A76,"")</f>
        <v>2023</v>
      </c>
      <c r="B29" s="308">
        <f t="shared" si="1"/>
        <v>15</v>
      </c>
      <c r="C29" s="308">
        <f t="shared" si="2"/>
        <v>12</v>
      </c>
      <c r="D29" s="440"/>
      <c r="E29" s="215">
        <v>0</v>
      </c>
      <c r="F29" s="215">
        <f t="shared" si="0"/>
        <v>0</v>
      </c>
      <c r="G29" s="215">
        <f t="shared" ca="1" si="3"/>
        <v>3990258.5226138877</v>
      </c>
      <c r="H29" s="216">
        <f t="shared" ca="1" si="4"/>
        <v>3915857.2351461123</v>
      </c>
      <c r="I29" s="344"/>
      <c r="J29" s="345"/>
      <c r="K29" s="346"/>
      <c r="L29" s="347"/>
    </row>
    <row r="30" spans="1:12" x14ac:dyDescent="0.25">
      <c r="A30" s="92">
        <f>IF(C30&lt;&gt;"",'Cash Flow Analysis'!A77,"")</f>
        <v>2024</v>
      </c>
      <c r="B30" s="308">
        <f t="shared" si="1"/>
        <v>16</v>
      </c>
      <c r="C30" s="308">
        <f t="shared" si="2"/>
        <v>13</v>
      </c>
      <c r="D30" s="440"/>
      <c r="E30" s="215">
        <v>0</v>
      </c>
      <c r="F30" s="215">
        <f t="shared" si="0"/>
        <v>0</v>
      </c>
      <c r="G30" s="215">
        <f t="shared" ca="1" si="3"/>
        <v>3990258.5226138877</v>
      </c>
      <c r="H30" s="216">
        <f t="shared" ca="1" si="4"/>
        <v>3915857.2351461123</v>
      </c>
      <c r="I30" s="344"/>
      <c r="J30" s="345"/>
      <c r="K30" s="346"/>
      <c r="L30" s="347"/>
    </row>
    <row r="31" spans="1:12" x14ac:dyDescent="0.25">
      <c r="A31" s="92">
        <f>IF(C31&lt;&gt;"",'Cash Flow Analysis'!A78,"")</f>
        <v>2025</v>
      </c>
      <c r="B31" s="308">
        <f t="shared" si="1"/>
        <v>17</v>
      </c>
      <c r="C31" s="308">
        <f t="shared" si="2"/>
        <v>14</v>
      </c>
      <c r="D31" s="440"/>
      <c r="E31" s="215">
        <v>0</v>
      </c>
      <c r="F31" s="215">
        <f t="shared" si="0"/>
        <v>0</v>
      </c>
      <c r="G31" s="215">
        <f t="shared" ca="1" si="3"/>
        <v>3990258.5226138877</v>
      </c>
      <c r="H31" s="216">
        <f t="shared" ca="1" si="4"/>
        <v>3915857.2351461123</v>
      </c>
      <c r="I31" s="344"/>
      <c r="J31" s="345"/>
      <c r="K31" s="346"/>
      <c r="L31" s="347"/>
    </row>
    <row r="32" spans="1:12" x14ac:dyDescent="0.25">
      <c r="A32" s="92">
        <f>IF(C32&lt;&gt;"",'Cash Flow Analysis'!A79,"")</f>
        <v>2026</v>
      </c>
      <c r="B32" s="308">
        <f t="shared" si="1"/>
        <v>18</v>
      </c>
      <c r="C32" s="308">
        <f t="shared" si="2"/>
        <v>15</v>
      </c>
      <c r="D32" s="440"/>
      <c r="E32" s="215">
        <v>0</v>
      </c>
      <c r="F32" s="215">
        <f t="shared" si="0"/>
        <v>0</v>
      </c>
      <c r="G32" s="215">
        <f t="shared" ca="1" si="3"/>
        <v>3990258.5226138877</v>
      </c>
      <c r="H32" s="216">
        <f t="shared" ca="1" si="4"/>
        <v>3915857.2351461123</v>
      </c>
      <c r="I32" s="344"/>
      <c r="J32" s="345"/>
      <c r="K32" s="346"/>
      <c r="L32" s="347"/>
    </row>
    <row r="33" spans="1:12" x14ac:dyDescent="0.25">
      <c r="A33" s="92">
        <f>IF(C33&lt;&gt;"",'Cash Flow Analysis'!A80,"")</f>
        <v>2027</v>
      </c>
      <c r="B33" s="308">
        <f t="shared" si="1"/>
        <v>19</v>
      </c>
      <c r="C33" s="308">
        <f t="shared" si="2"/>
        <v>16</v>
      </c>
      <c r="D33" s="440"/>
      <c r="E33" s="215">
        <v>0</v>
      </c>
      <c r="F33" s="215">
        <f t="shared" si="0"/>
        <v>0</v>
      </c>
      <c r="G33" s="215">
        <f t="shared" ca="1" si="3"/>
        <v>3990258.5226138877</v>
      </c>
      <c r="H33" s="216">
        <f t="shared" ca="1" si="4"/>
        <v>3915857.2351461123</v>
      </c>
      <c r="I33" s="344"/>
      <c r="J33" s="345"/>
      <c r="K33" s="346"/>
      <c r="L33" s="347"/>
    </row>
    <row r="34" spans="1:12" x14ac:dyDescent="0.25">
      <c r="A34" s="92">
        <f>IF(C34&lt;&gt;"",'Cash Flow Analysis'!A81,"")</f>
        <v>2028</v>
      </c>
      <c r="B34" s="308">
        <f t="shared" si="1"/>
        <v>20</v>
      </c>
      <c r="C34" s="308">
        <f t="shared" si="2"/>
        <v>17</v>
      </c>
      <c r="D34" s="440"/>
      <c r="E34" s="215">
        <v>0</v>
      </c>
      <c r="F34" s="215">
        <f t="shared" si="0"/>
        <v>0</v>
      </c>
      <c r="G34" s="215">
        <f t="shared" ca="1" si="3"/>
        <v>3990258.5226138877</v>
      </c>
      <c r="H34" s="216">
        <f t="shared" ca="1" si="4"/>
        <v>3915857.2351461123</v>
      </c>
      <c r="I34" s="344"/>
      <c r="J34" s="345"/>
      <c r="K34" s="346"/>
      <c r="L34" s="347"/>
    </row>
    <row r="35" spans="1:12" x14ac:dyDescent="0.25">
      <c r="A35" s="92">
        <f>IF(C35&lt;&gt;"",'Cash Flow Analysis'!A82,"")</f>
        <v>2029</v>
      </c>
      <c r="B35" s="308">
        <f t="shared" si="1"/>
        <v>21</v>
      </c>
      <c r="C35" s="308">
        <f t="shared" si="2"/>
        <v>18</v>
      </c>
      <c r="D35" s="440"/>
      <c r="E35" s="215">
        <v>0</v>
      </c>
      <c r="F35" s="215">
        <f t="shared" si="0"/>
        <v>0</v>
      </c>
      <c r="G35" s="215">
        <f t="shared" ca="1" si="3"/>
        <v>3990258.5226138877</v>
      </c>
      <c r="H35" s="216">
        <f t="shared" ca="1" si="4"/>
        <v>3915857.2351461123</v>
      </c>
      <c r="I35" s="344"/>
      <c r="J35" s="345"/>
      <c r="K35" s="346"/>
      <c r="L35" s="347"/>
    </row>
    <row r="36" spans="1:12" x14ac:dyDescent="0.25">
      <c r="A36" s="92">
        <f>IF(C36&lt;&gt;"",'Cash Flow Analysis'!A83,"")</f>
        <v>2030</v>
      </c>
      <c r="B36" s="308">
        <f t="shared" si="1"/>
        <v>22</v>
      </c>
      <c r="C36" s="308">
        <f t="shared" si="2"/>
        <v>19</v>
      </c>
      <c r="D36" s="440"/>
      <c r="E36" s="215">
        <v>0</v>
      </c>
      <c r="F36" s="215">
        <f t="shared" si="0"/>
        <v>0</v>
      </c>
      <c r="G36" s="215">
        <f t="shared" ca="1" si="3"/>
        <v>3990258.5226138877</v>
      </c>
      <c r="H36" s="216">
        <f t="shared" ca="1" si="4"/>
        <v>3915857.2351461123</v>
      </c>
      <c r="I36" s="344"/>
      <c r="J36" s="345"/>
      <c r="K36" s="346"/>
      <c r="L36" s="347"/>
    </row>
    <row r="37" spans="1:12" x14ac:dyDescent="0.25">
      <c r="A37" s="92">
        <f>IF(C37&lt;&gt;"",'Cash Flow Analysis'!A84,"")</f>
        <v>2031</v>
      </c>
      <c r="B37" s="308">
        <f t="shared" si="1"/>
        <v>23</v>
      </c>
      <c r="C37" s="308">
        <f t="shared" si="2"/>
        <v>20</v>
      </c>
      <c r="D37" s="440"/>
      <c r="E37" s="215">
        <v>0</v>
      </c>
      <c r="F37" s="215">
        <f t="shared" si="0"/>
        <v>0</v>
      </c>
      <c r="G37" s="215">
        <f t="shared" ca="1" si="3"/>
        <v>3990258.5226138877</v>
      </c>
      <c r="H37" s="216">
        <f t="shared" ca="1" si="4"/>
        <v>3915857.2351461123</v>
      </c>
      <c r="I37" s="344"/>
      <c r="J37" s="345"/>
      <c r="K37" s="346"/>
      <c r="L37" s="347"/>
    </row>
    <row r="38" spans="1:12" x14ac:dyDescent="0.25">
      <c r="A38" s="92">
        <f>IF(C38&lt;&gt;"",'Cash Flow Analysis'!A85,"")</f>
        <v>2032</v>
      </c>
      <c r="B38" s="308">
        <f t="shared" si="1"/>
        <v>24</v>
      </c>
      <c r="C38" s="308">
        <f t="shared" si="2"/>
        <v>21</v>
      </c>
      <c r="D38" s="440"/>
      <c r="E38" s="215">
        <v>0</v>
      </c>
      <c r="F38" s="215">
        <f t="shared" si="0"/>
        <v>0</v>
      </c>
      <c r="G38" s="215">
        <f t="shared" ca="1" si="3"/>
        <v>3990258.5226138877</v>
      </c>
      <c r="H38" s="216">
        <f t="shared" ca="1" si="4"/>
        <v>3915857.2351461123</v>
      </c>
      <c r="I38" s="344"/>
      <c r="J38" s="345"/>
      <c r="K38" s="346"/>
      <c r="L38" s="347"/>
    </row>
    <row r="39" spans="1:12" x14ac:dyDescent="0.25">
      <c r="A39" s="92">
        <f>IF(C39&lt;&gt;"",'Cash Flow Analysis'!A86,"")</f>
        <v>2033</v>
      </c>
      <c r="B39" s="308">
        <f t="shared" si="1"/>
        <v>25</v>
      </c>
      <c r="C39" s="308">
        <f t="shared" si="2"/>
        <v>22</v>
      </c>
      <c r="D39" s="440"/>
      <c r="E39" s="215">
        <v>0</v>
      </c>
      <c r="F39" s="215">
        <f t="shared" si="0"/>
        <v>0</v>
      </c>
      <c r="G39" s="215">
        <f t="shared" ca="1" si="3"/>
        <v>3990258.5226138877</v>
      </c>
      <c r="H39" s="216">
        <f t="shared" ca="1" si="4"/>
        <v>3915857.2351461123</v>
      </c>
      <c r="I39" s="344"/>
      <c r="J39" s="345"/>
      <c r="K39" s="346"/>
      <c r="L39" s="347"/>
    </row>
    <row r="40" spans="1:12" x14ac:dyDescent="0.25">
      <c r="A40" s="92">
        <f>IF(C40&lt;&gt;"",'Cash Flow Analysis'!A87,"")</f>
        <v>2034</v>
      </c>
      <c r="B40" s="308">
        <f t="shared" si="1"/>
        <v>26</v>
      </c>
      <c r="C40" s="308">
        <f t="shared" si="2"/>
        <v>23</v>
      </c>
      <c r="D40" s="440"/>
      <c r="E40" s="215">
        <v>0</v>
      </c>
      <c r="F40" s="215">
        <f t="shared" si="0"/>
        <v>0</v>
      </c>
      <c r="G40" s="215">
        <f t="shared" ca="1" si="3"/>
        <v>3990258.5226138877</v>
      </c>
      <c r="H40" s="216">
        <f t="shared" ca="1" si="4"/>
        <v>3915857.2351461123</v>
      </c>
      <c r="I40" s="344"/>
      <c r="J40" s="345"/>
      <c r="K40" s="346"/>
      <c r="L40" s="347"/>
    </row>
    <row r="41" spans="1:12" x14ac:dyDescent="0.25">
      <c r="A41" s="92">
        <f>IF(C41&lt;&gt;"",'Cash Flow Analysis'!A88,"")</f>
        <v>2035</v>
      </c>
      <c r="B41" s="308">
        <f t="shared" si="1"/>
        <v>27</v>
      </c>
      <c r="C41" s="308">
        <f t="shared" si="2"/>
        <v>24</v>
      </c>
      <c r="D41" s="440"/>
      <c r="E41" s="215">
        <v>0</v>
      </c>
      <c r="F41" s="215">
        <f t="shared" si="0"/>
        <v>0</v>
      </c>
      <c r="G41" s="215">
        <f t="shared" ca="1" si="3"/>
        <v>3990258.5226138877</v>
      </c>
      <c r="H41" s="216">
        <f t="shared" ca="1" si="4"/>
        <v>3915857.2351461123</v>
      </c>
      <c r="I41" s="344"/>
      <c r="J41" s="345"/>
      <c r="K41" s="346"/>
      <c r="L41" s="347"/>
    </row>
    <row r="42" spans="1:12" x14ac:dyDescent="0.25">
      <c r="A42" s="92">
        <f>IF(C42&lt;&gt;"",'Cash Flow Analysis'!A89,"")</f>
        <v>2036</v>
      </c>
      <c r="B42" s="308">
        <f t="shared" si="1"/>
        <v>28</v>
      </c>
      <c r="C42" s="308">
        <f t="shared" si="2"/>
        <v>25</v>
      </c>
      <c r="D42" s="440"/>
      <c r="E42" s="215">
        <v>0</v>
      </c>
      <c r="F42" s="215">
        <f t="shared" si="0"/>
        <v>0</v>
      </c>
      <c r="G42" s="215">
        <f t="shared" ca="1" si="3"/>
        <v>3990258.5226138877</v>
      </c>
      <c r="H42" s="216">
        <f t="shared" ca="1" si="4"/>
        <v>3915857.2351461123</v>
      </c>
      <c r="I42" s="344"/>
      <c r="J42" s="345"/>
      <c r="K42" s="346"/>
      <c r="L42" s="347"/>
    </row>
    <row r="43" spans="1:12" x14ac:dyDescent="0.25">
      <c r="A43" s="92">
        <f>IF(C43&lt;&gt;"",'Cash Flow Analysis'!A90,"")</f>
        <v>2037</v>
      </c>
      <c r="B43" s="308">
        <f t="shared" si="1"/>
        <v>29</v>
      </c>
      <c r="C43" s="308">
        <f t="shared" si="2"/>
        <v>26</v>
      </c>
      <c r="D43" s="440"/>
      <c r="E43" s="215">
        <v>0</v>
      </c>
      <c r="F43" s="215">
        <f t="shared" si="0"/>
        <v>0</v>
      </c>
      <c r="G43" s="215">
        <f t="shared" ca="1" si="3"/>
        <v>3990258.5226138877</v>
      </c>
      <c r="H43" s="216">
        <f t="shared" ca="1" si="4"/>
        <v>3915857.2351461123</v>
      </c>
      <c r="I43" s="344"/>
      <c r="J43" s="345"/>
      <c r="K43" s="346"/>
      <c r="L43" s="347"/>
    </row>
    <row r="44" spans="1:12" x14ac:dyDescent="0.25">
      <c r="A44" s="92">
        <f>IF(C44&lt;&gt;"",'Cash Flow Analysis'!A91,"")</f>
        <v>2038</v>
      </c>
      <c r="B44" s="308">
        <f t="shared" si="1"/>
        <v>30</v>
      </c>
      <c r="C44" s="308">
        <f t="shared" si="2"/>
        <v>27</v>
      </c>
      <c r="D44" s="440"/>
      <c r="E44" s="215">
        <v>0</v>
      </c>
      <c r="F44" s="215">
        <f t="shared" si="0"/>
        <v>0</v>
      </c>
      <c r="G44" s="215">
        <f t="shared" ca="1" si="3"/>
        <v>3990258.5226138877</v>
      </c>
      <c r="H44" s="216">
        <f t="shared" ca="1" si="4"/>
        <v>3915857.2351461123</v>
      </c>
      <c r="I44" s="344"/>
      <c r="J44" s="345"/>
      <c r="K44" s="346"/>
      <c r="L44" s="347"/>
    </row>
    <row r="45" spans="1:12" x14ac:dyDescent="0.25">
      <c r="A45" s="92">
        <f>IF(C45&lt;&gt;"",'Cash Flow Analysis'!A92,"")</f>
        <v>2039</v>
      </c>
      <c r="B45" s="308">
        <f t="shared" si="1"/>
        <v>31</v>
      </c>
      <c r="C45" s="308">
        <f t="shared" si="2"/>
        <v>28</v>
      </c>
      <c r="D45" s="440"/>
      <c r="E45" s="215">
        <v>0</v>
      </c>
      <c r="F45" s="215">
        <f t="shared" si="0"/>
        <v>0</v>
      </c>
      <c r="G45" s="215">
        <f t="shared" ca="1" si="3"/>
        <v>3990258.5226138877</v>
      </c>
      <c r="H45" s="216">
        <f t="shared" ca="1" si="4"/>
        <v>3915857.2351461123</v>
      </c>
      <c r="I45" s="344"/>
      <c r="J45" s="345"/>
      <c r="K45" s="346"/>
      <c r="L45" s="347"/>
    </row>
    <row r="46" spans="1:12" x14ac:dyDescent="0.25">
      <c r="A46" s="92">
        <f>IF(C46&lt;&gt;"",'Cash Flow Analysis'!A93,"")</f>
        <v>2040</v>
      </c>
      <c r="B46" s="308">
        <f t="shared" si="1"/>
        <v>32</v>
      </c>
      <c r="C46" s="308">
        <f t="shared" si="2"/>
        <v>29</v>
      </c>
      <c r="D46" s="440"/>
      <c r="E46" s="215">
        <v>0</v>
      </c>
      <c r="F46" s="215">
        <f t="shared" si="0"/>
        <v>0</v>
      </c>
      <c r="G46" s="215">
        <f t="shared" ca="1" si="3"/>
        <v>3990258.5226138877</v>
      </c>
      <c r="H46" s="216">
        <f t="shared" ca="1" si="4"/>
        <v>3915857.2351461123</v>
      </c>
      <c r="I46" s="344"/>
      <c r="J46" s="345"/>
      <c r="K46" s="346"/>
      <c r="L46" s="347"/>
    </row>
    <row r="47" spans="1:12" x14ac:dyDescent="0.25">
      <c r="A47" s="92">
        <f>IF(C47&lt;&gt;"",'Cash Flow Analysis'!A94,"")</f>
        <v>2041</v>
      </c>
      <c r="B47" s="308">
        <f t="shared" si="1"/>
        <v>33</v>
      </c>
      <c r="C47" s="308">
        <f t="shared" si="2"/>
        <v>30</v>
      </c>
      <c r="D47" s="440"/>
      <c r="E47" s="215">
        <v>0</v>
      </c>
      <c r="F47" s="215">
        <f t="shared" si="0"/>
        <v>0</v>
      </c>
      <c r="G47" s="215">
        <f t="shared" ca="1" si="3"/>
        <v>3990258.5226138877</v>
      </c>
      <c r="H47" s="216">
        <f t="shared" ca="1" si="4"/>
        <v>3915857.2351461123</v>
      </c>
      <c r="I47" s="344"/>
      <c r="J47" s="345"/>
      <c r="K47" s="346"/>
      <c r="L47" s="347"/>
    </row>
    <row r="48" spans="1:12" x14ac:dyDescent="0.25">
      <c r="A48" s="92">
        <f>IF(C48&lt;&gt;"",'Cash Flow Analysis'!A95,"")</f>
        <v>2042</v>
      </c>
      <c r="B48" s="308">
        <f t="shared" si="1"/>
        <v>34</v>
      </c>
      <c r="C48" s="308">
        <f t="shared" si="2"/>
        <v>31</v>
      </c>
      <c r="D48" s="440"/>
      <c r="E48" s="215">
        <v>0</v>
      </c>
      <c r="F48" s="215">
        <f t="shared" si="0"/>
        <v>0</v>
      </c>
      <c r="G48" s="215">
        <f t="shared" ca="1" si="3"/>
        <v>3990258.5226138877</v>
      </c>
      <c r="H48" s="216">
        <f t="shared" ca="1" si="4"/>
        <v>3915857.2351461123</v>
      </c>
      <c r="I48" s="344"/>
      <c r="J48" s="345"/>
      <c r="K48" s="346"/>
      <c r="L48" s="347"/>
    </row>
    <row r="49" spans="1:12" x14ac:dyDescent="0.25">
      <c r="A49" s="92">
        <f>IF(C49&lt;&gt;"",'Cash Flow Analysis'!A96,"")</f>
        <v>2043</v>
      </c>
      <c r="B49" s="308">
        <f t="shared" si="1"/>
        <v>35</v>
      </c>
      <c r="C49" s="308">
        <f t="shared" si="2"/>
        <v>32</v>
      </c>
      <c r="D49" s="440"/>
      <c r="E49" s="215">
        <v>0</v>
      </c>
      <c r="F49" s="215">
        <f t="shared" si="0"/>
        <v>0</v>
      </c>
      <c r="G49" s="215">
        <f t="shared" ca="1" si="3"/>
        <v>3990258.5226138877</v>
      </c>
      <c r="H49" s="216">
        <f t="shared" ca="1" si="4"/>
        <v>3915857.2351461123</v>
      </c>
      <c r="I49" s="344"/>
      <c r="J49" s="345"/>
      <c r="K49" s="346"/>
      <c r="L49" s="347"/>
    </row>
    <row r="50" spans="1:12" x14ac:dyDescent="0.25">
      <c r="A50" s="92">
        <f>IF(C50&lt;&gt;"",'Cash Flow Analysis'!A97,"")</f>
        <v>2044</v>
      </c>
      <c r="B50" s="308">
        <f t="shared" si="1"/>
        <v>36</v>
      </c>
      <c r="C50" s="308">
        <f t="shared" si="2"/>
        <v>33</v>
      </c>
      <c r="D50" s="440"/>
      <c r="E50" s="215">
        <v>0</v>
      </c>
      <c r="F50" s="215">
        <f t="shared" si="0"/>
        <v>0</v>
      </c>
      <c r="G50" s="215">
        <f t="shared" ca="1" si="3"/>
        <v>3990258.5226138877</v>
      </c>
      <c r="H50" s="216">
        <f t="shared" ca="1" si="4"/>
        <v>3915857.2351461123</v>
      </c>
      <c r="I50" s="344"/>
      <c r="J50" s="345"/>
      <c r="K50" s="346"/>
      <c r="L50" s="347"/>
    </row>
    <row r="51" spans="1:12" x14ac:dyDescent="0.25">
      <c r="A51" s="92">
        <f>IF(C51&lt;&gt;"",'Cash Flow Analysis'!A98,"")</f>
        <v>2045</v>
      </c>
      <c r="B51" s="308">
        <f t="shared" si="1"/>
        <v>37</v>
      </c>
      <c r="C51" s="308">
        <f t="shared" si="2"/>
        <v>34</v>
      </c>
      <c r="D51" s="440"/>
      <c r="E51" s="215">
        <v>0</v>
      </c>
      <c r="F51" s="215">
        <f t="shared" si="0"/>
        <v>0</v>
      </c>
      <c r="G51" s="215">
        <f t="shared" ca="1" si="3"/>
        <v>3990258.5226138877</v>
      </c>
      <c r="H51" s="216">
        <f t="shared" ca="1" si="4"/>
        <v>3915857.2351461123</v>
      </c>
      <c r="I51" s="344"/>
      <c r="J51" s="345"/>
      <c r="K51" s="346"/>
      <c r="L51" s="347"/>
    </row>
    <row r="52" spans="1:12" x14ac:dyDescent="0.25">
      <c r="A52" s="92">
        <f>IF(C52&lt;&gt;"",'Cash Flow Analysis'!A99,"")</f>
        <v>2046</v>
      </c>
      <c r="B52" s="308">
        <f t="shared" si="1"/>
        <v>38</v>
      </c>
      <c r="C52" s="308">
        <f t="shared" si="2"/>
        <v>35</v>
      </c>
      <c r="D52" s="440"/>
      <c r="E52" s="215">
        <v>0</v>
      </c>
      <c r="F52" s="215">
        <f t="shared" si="0"/>
        <v>0</v>
      </c>
      <c r="G52" s="215">
        <f t="shared" ca="1" si="3"/>
        <v>3990258.5226138877</v>
      </c>
      <c r="H52" s="216">
        <f t="shared" ca="1" si="4"/>
        <v>3915857.2351461123</v>
      </c>
      <c r="I52" s="344"/>
      <c r="J52" s="345"/>
      <c r="K52" s="346"/>
      <c r="L52" s="347"/>
    </row>
    <row r="53" spans="1:12" x14ac:dyDescent="0.25">
      <c r="A53" s="92">
        <f>IF(C53&lt;&gt;"",'Cash Flow Analysis'!A100,"")</f>
        <v>2047</v>
      </c>
      <c r="B53" s="308">
        <f t="shared" si="1"/>
        <v>39</v>
      </c>
      <c r="C53" s="308">
        <f t="shared" si="2"/>
        <v>36</v>
      </c>
      <c r="D53" s="440"/>
      <c r="E53" s="215">
        <v>0</v>
      </c>
      <c r="F53" s="215">
        <f t="shared" si="0"/>
        <v>0</v>
      </c>
      <c r="G53" s="215">
        <f t="shared" ca="1" si="3"/>
        <v>3990258.5226138877</v>
      </c>
      <c r="H53" s="216">
        <f t="shared" ca="1" si="4"/>
        <v>3915857.2351461123</v>
      </c>
      <c r="I53" s="344"/>
      <c r="J53" s="345"/>
      <c r="K53" s="346"/>
      <c r="L53" s="347"/>
    </row>
    <row r="54" spans="1:12" x14ac:dyDescent="0.25">
      <c r="A54" s="92">
        <f>IF(C54&lt;&gt;"",'Cash Flow Analysis'!A101,"")</f>
        <v>2048</v>
      </c>
      <c r="B54" s="308">
        <f t="shared" si="1"/>
        <v>40</v>
      </c>
      <c r="C54" s="308">
        <f t="shared" si="2"/>
        <v>37</v>
      </c>
      <c r="D54" s="440"/>
      <c r="E54" s="215">
        <v>0</v>
      </c>
      <c r="F54" s="215">
        <f t="shared" si="0"/>
        <v>0</v>
      </c>
      <c r="G54" s="215">
        <f t="shared" ca="1" si="3"/>
        <v>3990258.5226138877</v>
      </c>
      <c r="H54" s="216">
        <f t="shared" ca="1" si="4"/>
        <v>3915857.2351461123</v>
      </c>
      <c r="I54" s="344"/>
      <c r="J54" s="345"/>
      <c r="K54" s="346"/>
      <c r="L54" s="347"/>
    </row>
    <row r="55" spans="1:12" x14ac:dyDescent="0.25">
      <c r="A55" s="92">
        <f>IF(C55&lt;&gt;"",'Cash Flow Analysis'!A102,"")</f>
        <v>2049</v>
      </c>
      <c r="B55" s="308">
        <f t="shared" si="1"/>
        <v>41</v>
      </c>
      <c r="C55" s="308">
        <f t="shared" si="2"/>
        <v>38</v>
      </c>
      <c r="D55" s="440"/>
      <c r="E55" s="215">
        <v>0</v>
      </c>
      <c r="F55" s="215">
        <f t="shared" si="0"/>
        <v>0</v>
      </c>
      <c r="G55" s="215">
        <f t="shared" ca="1" si="3"/>
        <v>3990258.5226138877</v>
      </c>
      <c r="H55" s="216">
        <f t="shared" ca="1" si="4"/>
        <v>3915857.2351461123</v>
      </c>
      <c r="I55" s="344"/>
      <c r="J55" s="345"/>
      <c r="K55" s="346"/>
      <c r="L55" s="347"/>
    </row>
    <row r="56" spans="1:12" x14ac:dyDescent="0.25">
      <c r="A56" s="92">
        <f>IF(C56&lt;&gt;"",'Cash Flow Analysis'!A103,"")</f>
        <v>2050</v>
      </c>
      <c r="B56" s="308">
        <f t="shared" si="1"/>
        <v>42</v>
      </c>
      <c r="C56" s="308">
        <f t="shared" si="2"/>
        <v>39</v>
      </c>
      <c r="D56" s="440"/>
      <c r="E56" s="215">
        <v>0</v>
      </c>
      <c r="F56" s="215">
        <f t="shared" si="0"/>
        <v>0</v>
      </c>
      <c r="G56" s="215">
        <f t="shared" ca="1" si="3"/>
        <v>3990258.5226138877</v>
      </c>
      <c r="H56" s="216">
        <f t="shared" ca="1" si="4"/>
        <v>3915857.2351461123</v>
      </c>
      <c r="I56" s="344"/>
      <c r="J56" s="345"/>
      <c r="K56" s="346"/>
      <c r="L56" s="347"/>
    </row>
    <row r="57" spans="1:12" ht="13.8" thickBot="1" x14ac:dyDescent="0.3">
      <c r="A57" s="94">
        <f>IF(C57&lt;&gt;"",'Cash Flow Analysis'!A104,"")</f>
        <v>2051</v>
      </c>
      <c r="B57" s="309">
        <f t="shared" si="1"/>
        <v>43</v>
      </c>
      <c r="C57" s="309">
        <f t="shared" si="2"/>
        <v>40</v>
      </c>
      <c r="D57" s="441"/>
      <c r="E57" s="217">
        <v>0</v>
      </c>
      <c r="F57" s="217">
        <f t="shared" si="0"/>
        <v>0</v>
      </c>
      <c r="G57" s="217">
        <f t="shared" ca="1" si="3"/>
        <v>3990258.5226138877</v>
      </c>
      <c r="H57" s="218">
        <f t="shared" ca="1" si="4"/>
        <v>3915857.2351461123</v>
      </c>
      <c r="I57" s="348"/>
      <c r="J57" s="349"/>
      <c r="K57" s="350"/>
      <c r="L57" s="351"/>
    </row>
    <row r="58" spans="1:12" ht="13.8"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workbookViewId="0"/>
  </sheetViews>
  <sheetFormatPr defaultRowHeight="13.2" x14ac:dyDescent="0.25"/>
  <cols>
    <col min="2" max="2" width="38.33203125" customWidth="1"/>
    <col min="3" max="3" width="19.6640625" customWidth="1"/>
    <col min="4" max="5" width="18.6640625" customWidth="1"/>
    <col min="6" max="6" width="22.5546875" customWidth="1"/>
    <col min="7" max="7" width="87.33203125" customWidth="1"/>
    <col min="8" max="8" width="27.33203125" customWidth="1"/>
  </cols>
  <sheetData>
    <row r="1" spans="1:8" x14ac:dyDescent="0.25">
      <c r="A1" s="299"/>
      <c r="B1" s="299"/>
      <c r="C1" s="299"/>
      <c r="D1" s="299"/>
      <c r="E1" s="299"/>
      <c r="F1" s="299"/>
      <c r="G1" s="299"/>
      <c r="H1" s="299"/>
    </row>
    <row r="2" spans="1:8" ht="22.5" customHeight="1" x14ac:dyDescent="0.5">
      <c r="A2" s="299"/>
      <c r="B2" s="310" t="s">
        <v>80</v>
      </c>
      <c r="C2" s="299"/>
      <c r="D2" s="299"/>
      <c r="E2" s="299"/>
      <c r="F2" s="1538"/>
      <c r="G2" s="1538"/>
      <c r="H2" s="1538"/>
    </row>
    <row r="3" spans="1:8" x14ac:dyDescent="0.25">
      <c r="A3" s="299"/>
      <c r="B3" s="299"/>
      <c r="C3" s="299"/>
      <c r="D3" s="299"/>
      <c r="E3" s="299"/>
      <c r="F3" s="1538"/>
      <c r="G3" s="1538"/>
      <c r="H3" s="1538"/>
    </row>
    <row r="4" spans="1:8" ht="15.6" x14ac:dyDescent="0.3">
      <c r="A4" s="299"/>
      <c r="B4" s="299"/>
      <c r="C4" s="1273" t="s">
        <v>230</v>
      </c>
      <c r="D4" s="299"/>
      <c r="E4" s="299"/>
      <c r="F4" s="1538"/>
      <c r="G4" s="1538"/>
      <c r="H4" s="1538"/>
    </row>
    <row r="5" spans="1:8" ht="15.6" x14ac:dyDescent="0.3">
      <c r="A5" s="299"/>
      <c r="B5" s="299"/>
      <c r="C5" s="1273"/>
      <c r="D5" s="299"/>
      <c r="E5" s="299"/>
      <c r="F5" s="299"/>
      <c r="G5" s="299"/>
      <c r="H5" s="299"/>
    </row>
    <row r="6" spans="1:8" ht="16.2" thickBot="1" x14ac:dyDescent="0.35">
      <c r="A6" s="299"/>
      <c r="B6" s="299"/>
      <c r="C6" s="1273"/>
      <c r="D6" s="299"/>
      <c r="E6" s="299"/>
      <c r="F6" s="299"/>
      <c r="G6" s="299"/>
      <c r="H6" s="299"/>
    </row>
    <row r="7" spans="1:8" ht="27" thickBot="1" x14ac:dyDescent="0.3">
      <c r="A7" s="299"/>
      <c r="B7" s="819" t="s">
        <v>808</v>
      </c>
      <c r="C7" s="1352">
        <v>483000</v>
      </c>
      <c r="D7" s="1539" t="s">
        <v>809</v>
      </c>
      <c r="E7" s="1540"/>
      <c r="F7" s="1540"/>
      <c r="G7" s="1540"/>
      <c r="H7" s="1541"/>
    </row>
    <row r="8" spans="1:8" ht="13.8" thickBot="1" x14ac:dyDescent="0.3">
      <c r="A8" s="299"/>
      <c r="B8" s="299"/>
      <c r="C8" s="299"/>
      <c r="D8" s="1537" t="s">
        <v>1003</v>
      </c>
      <c r="E8" s="1535"/>
      <c r="F8" s="1535"/>
      <c r="G8" s="1535"/>
      <c r="H8" s="1535"/>
    </row>
    <row r="9" spans="1:8" x14ac:dyDescent="0.25">
      <c r="A9" s="299"/>
      <c r="B9" s="1" t="s">
        <v>822</v>
      </c>
      <c r="C9" s="1274">
        <f>BasisYear</f>
        <v>2018</v>
      </c>
      <c r="D9" s="1542"/>
      <c r="E9" s="1543"/>
      <c r="F9" s="1543"/>
      <c r="G9" s="1543"/>
      <c r="H9" s="1544"/>
    </row>
    <row r="10" spans="1:8" x14ac:dyDescent="0.25">
      <c r="A10" s="299"/>
      <c r="B10" s="1" t="s">
        <v>758</v>
      </c>
      <c r="C10" s="1353">
        <v>2018</v>
      </c>
      <c r="D10" s="1531"/>
      <c r="E10" s="1532"/>
      <c r="F10" s="1532"/>
      <c r="G10" s="1532"/>
      <c r="H10" s="1533"/>
    </row>
    <row r="11" spans="1:8" x14ac:dyDescent="0.25">
      <c r="A11" s="299"/>
      <c r="B11" s="1" t="str">
        <f>"CEPCI Inflator ("&amp;BasisYear&amp;" to "&amp;CurrentYear&amp;")"</f>
        <v>CEPCI Inflator (2018 to 2018)</v>
      </c>
      <c r="C11" s="1275">
        <f>VLOOKUP(CurrentYear,Tbl_PlantCostIndexes,2,FALSE)/VLOOKUP(BasisYear,Tbl_PlantCostIndexes,2,FALSE)</f>
        <v>1</v>
      </c>
      <c r="D11" s="1531" t="s">
        <v>802</v>
      </c>
      <c r="E11" s="1532"/>
      <c r="F11" s="1532"/>
      <c r="G11" s="1532"/>
      <c r="H11" s="1533"/>
    </row>
    <row r="12" spans="1:8" ht="13.8" thickBot="1" x14ac:dyDescent="0.3">
      <c r="A12" s="299"/>
      <c r="B12" s="1" t="str">
        <f>"Consumer Price Inflator ("&amp;CurrentYear&amp;" to "&amp;ref_year&amp;")"</f>
        <v>Consumer Price Inflator (2018 to 2016)</v>
      </c>
      <c r="C12" s="1276">
        <f>VLOOKUP(ref_year,DeflatorTable,2,FALSE)/VLOOKUP(CurrentYear,DeflatorTable,2,FALSE)</f>
        <v>0.9584831859169165</v>
      </c>
      <c r="D12" s="1534" t="s">
        <v>803</v>
      </c>
      <c r="E12" s="1535"/>
      <c r="F12" s="1535"/>
      <c r="G12" s="1535"/>
      <c r="H12" s="1536"/>
    </row>
    <row r="13" spans="1:8" ht="13.8" thickBot="1" x14ac:dyDescent="0.3">
      <c r="A13" s="299"/>
      <c r="B13" s="299"/>
      <c r="C13" s="299"/>
      <c r="D13" s="299"/>
      <c r="E13" s="299"/>
      <c r="F13" s="299"/>
      <c r="G13" s="299"/>
      <c r="H13" s="299"/>
    </row>
    <row r="14" spans="1:8" ht="16.8" thickTop="1" thickBot="1" x14ac:dyDescent="0.35">
      <c r="A14" s="299"/>
      <c r="B14" s="1277" t="str">
        <f xml:space="preserve"> "CAPITAL INVESTMENT (Inputs REQUIRED in Basis Year, (" &amp; BasisYear &amp; ") $)"</f>
        <v>CAPITAL INVESTMENT (Inputs REQUIRED in Basis Year, (2018) $)</v>
      </c>
      <c r="C14" s="1278"/>
      <c r="D14" s="1278"/>
      <c r="E14" s="1278"/>
      <c r="F14" s="1278"/>
      <c r="G14" s="1278"/>
      <c r="H14" s="1279"/>
    </row>
    <row r="15" spans="1:8" ht="41.4" thickTop="1" thickBot="1" x14ac:dyDescent="0.35">
      <c r="A15" s="299"/>
      <c r="B15" s="1280" t="s">
        <v>652</v>
      </c>
      <c r="C15" s="1281" t="str">
        <f>"Baseline Uninstalled Costs $"&amp;BasisYear&amp;" Dollars"</f>
        <v>Baseline Uninstalled Costs $2018 Dollars</v>
      </c>
      <c r="D15" s="1281" t="str">
        <f>"Baseline Uninstalled Costs $"&amp;ref_year&amp;" Dollars"</f>
        <v>Baseline Uninstalled Costs $2016 Dollars</v>
      </c>
      <c r="E15" s="1281" t="s">
        <v>653</v>
      </c>
      <c r="F15" s="1282" t="s">
        <v>1033</v>
      </c>
      <c r="G15" s="1281" t="s">
        <v>1003</v>
      </c>
      <c r="H15" s="1283" t="s">
        <v>655</v>
      </c>
    </row>
    <row r="16" spans="1:8" x14ac:dyDescent="0.25">
      <c r="A16" s="299"/>
      <c r="B16" s="1349" t="s">
        <v>1347</v>
      </c>
      <c r="C16" s="1350">
        <v>3270000</v>
      </c>
      <c r="D16" s="1284">
        <f>C16*CEPCIinflator*CPIinflator</f>
        <v>3134240.0179483169</v>
      </c>
      <c r="E16" s="1351">
        <v>2.0993883792048931</v>
      </c>
      <c r="F16" s="1284">
        <f>D16*E16</f>
        <v>6579987.0713196322</v>
      </c>
      <c r="G16" s="1285"/>
      <c r="H16" s="1286"/>
    </row>
    <row r="17" spans="1:8" x14ac:dyDescent="0.25">
      <c r="A17" s="299"/>
      <c r="B17" s="1039" t="s">
        <v>1297</v>
      </c>
      <c r="C17" s="1177">
        <v>19401000</v>
      </c>
      <c r="D17" s="1284">
        <f t="shared" ref="D17:D35" si="0">C17*CEPCIinflator*CPIinflator</f>
        <v>18595532.289974097</v>
      </c>
      <c r="E17" s="1040">
        <v>1.3467862481315396</v>
      </c>
      <c r="F17" s="1284">
        <f t="shared" ref="F17:F35" si="1">D17*E17</f>
        <v>25044207.164823111</v>
      </c>
      <c r="G17" s="1176"/>
      <c r="H17" s="1186"/>
    </row>
    <row r="18" spans="1:8" x14ac:dyDescent="0.25">
      <c r="A18" s="299"/>
      <c r="B18" s="1039" t="s">
        <v>1287</v>
      </c>
      <c r="C18" s="1177">
        <v>39465000</v>
      </c>
      <c r="D18" s="1284">
        <f t="shared" si="0"/>
        <v>37826538.932211109</v>
      </c>
      <c r="E18" s="1040">
        <v>1.5169390599265171</v>
      </c>
      <c r="F18" s="1284">
        <f t="shared" si="1"/>
        <v>57380554.408102117</v>
      </c>
      <c r="G18" s="1176"/>
      <c r="H18" s="1186"/>
    </row>
    <row r="19" spans="1:8" x14ac:dyDescent="0.25">
      <c r="A19" s="299"/>
      <c r="B19" s="1039" t="s">
        <v>1348</v>
      </c>
      <c r="C19" s="1177">
        <v>179884000</v>
      </c>
      <c r="D19" s="1284">
        <f t="shared" si="0"/>
        <v>172415789.41547862</v>
      </c>
      <c r="E19" s="1040">
        <v>1.0063012712704626</v>
      </c>
      <c r="F19" s="1284">
        <f t="shared" si="1"/>
        <v>173502228.0758965</v>
      </c>
      <c r="G19" s="1176"/>
      <c r="H19" s="1186"/>
    </row>
    <row r="20" spans="1:8" x14ac:dyDescent="0.25">
      <c r="A20" s="299"/>
      <c r="B20" s="1039" t="s">
        <v>1288</v>
      </c>
      <c r="C20" s="1177">
        <v>16135000</v>
      </c>
      <c r="D20" s="1284">
        <f t="shared" si="0"/>
        <v>15465126.204769447</v>
      </c>
      <c r="E20" s="1040">
        <v>1.0805082119615743</v>
      </c>
      <c r="F20" s="1284">
        <f t="shared" si="1"/>
        <v>16710195.863275524</v>
      </c>
      <c r="G20" s="1176"/>
      <c r="H20" s="1186"/>
    </row>
    <row r="21" spans="1:8" ht="13.8" x14ac:dyDescent="0.3">
      <c r="A21" s="299"/>
      <c r="B21" s="1039" t="s">
        <v>1289</v>
      </c>
      <c r="C21" s="1177">
        <v>10012000</v>
      </c>
      <c r="D21" s="1284">
        <f t="shared" si="0"/>
        <v>9596333.6574001685</v>
      </c>
      <c r="E21" s="1040">
        <v>1.1457251298441871</v>
      </c>
      <c r="F21" s="1284">
        <f t="shared" si="1"/>
        <v>10994760.62565295</v>
      </c>
      <c r="G21" s="1176" t="s">
        <v>1290</v>
      </c>
      <c r="H21" s="1186"/>
    </row>
    <row r="22" spans="1:8" x14ac:dyDescent="0.25">
      <c r="A22" s="299"/>
      <c r="B22" s="1039" t="s">
        <v>1349</v>
      </c>
      <c r="C22" s="1177">
        <v>41908000</v>
      </c>
      <c r="D22" s="1284">
        <f t="shared" si="0"/>
        <v>40168113.355406135</v>
      </c>
      <c r="E22" s="1040">
        <v>1.5076834971843085</v>
      </c>
      <c r="F22" s="1284">
        <f t="shared" si="1"/>
        <v>60560801.618974447</v>
      </c>
      <c r="G22" s="1176"/>
      <c r="H22" s="1186"/>
    </row>
    <row r="23" spans="1:8" x14ac:dyDescent="0.25">
      <c r="A23" s="299"/>
      <c r="B23" s="1039" t="s">
        <v>1419</v>
      </c>
      <c r="C23" s="1177">
        <v>22779000</v>
      </c>
      <c r="D23" s="1284">
        <f t="shared" si="0"/>
        <v>21833288.49200144</v>
      </c>
      <c r="E23" s="1040">
        <v>1.2584836911190131</v>
      </c>
      <c r="F23" s="1284">
        <f t="shared" si="1"/>
        <v>27476837.490680244</v>
      </c>
      <c r="G23" s="1176"/>
      <c r="H23" s="1186"/>
    </row>
    <row r="24" spans="1:8" x14ac:dyDescent="0.25">
      <c r="A24" s="299"/>
      <c r="B24" s="1039"/>
      <c r="C24" s="1177"/>
      <c r="D24" s="1284">
        <f t="shared" si="0"/>
        <v>0</v>
      </c>
      <c r="E24" s="1040"/>
      <c r="F24" s="1284">
        <f t="shared" si="1"/>
        <v>0</v>
      </c>
      <c r="G24" s="1176"/>
      <c r="H24" s="1186"/>
    </row>
    <row r="25" spans="1:8" x14ac:dyDescent="0.25">
      <c r="A25" s="299"/>
      <c r="B25" s="1039"/>
      <c r="C25" s="1177"/>
      <c r="D25" s="1284">
        <f t="shared" si="0"/>
        <v>0</v>
      </c>
      <c r="E25" s="1040"/>
      <c r="F25" s="1284">
        <f t="shared" si="1"/>
        <v>0</v>
      </c>
      <c r="G25" s="1176"/>
      <c r="H25" s="1186"/>
    </row>
    <row r="26" spans="1:8" x14ac:dyDescent="0.25">
      <c r="A26" s="299"/>
      <c r="B26" s="1039"/>
      <c r="C26" s="1177"/>
      <c r="D26" s="1284">
        <f t="shared" si="0"/>
        <v>0</v>
      </c>
      <c r="E26" s="1040"/>
      <c r="F26" s="1284">
        <f t="shared" si="1"/>
        <v>0</v>
      </c>
      <c r="G26" s="1176"/>
      <c r="H26" s="1186"/>
    </row>
    <row r="27" spans="1:8" x14ac:dyDescent="0.25">
      <c r="A27" s="299"/>
      <c r="B27" s="1039"/>
      <c r="C27" s="1177"/>
      <c r="D27" s="1284">
        <f t="shared" si="0"/>
        <v>0</v>
      </c>
      <c r="E27" s="1040"/>
      <c r="F27" s="1284">
        <f t="shared" si="1"/>
        <v>0</v>
      </c>
      <c r="G27" s="1176"/>
      <c r="H27" s="1186"/>
    </row>
    <row r="28" spans="1:8" x14ac:dyDescent="0.25">
      <c r="A28" s="299"/>
      <c r="B28" s="1039"/>
      <c r="C28" s="1177"/>
      <c r="D28" s="1284">
        <f t="shared" si="0"/>
        <v>0</v>
      </c>
      <c r="E28" s="1287"/>
      <c r="F28" s="1284">
        <f t="shared" si="1"/>
        <v>0</v>
      </c>
      <c r="G28" s="1176"/>
      <c r="H28" s="1186"/>
    </row>
    <row r="29" spans="1:8" x14ac:dyDescent="0.25">
      <c r="A29" s="299"/>
      <c r="B29" s="1039"/>
      <c r="C29" s="1177"/>
      <c r="D29" s="1284">
        <f t="shared" si="0"/>
        <v>0</v>
      </c>
      <c r="E29" s="1287"/>
      <c r="F29" s="1284">
        <f t="shared" si="1"/>
        <v>0</v>
      </c>
      <c r="G29" s="1176"/>
      <c r="H29" s="1186"/>
    </row>
    <row r="30" spans="1:8" x14ac:dyDescent="0.25">
      <c r="A30" s="299"/>
      <c r="B30" s="1039"/>
      <c r="C30" s="1177"/>
      <c r="D30" s="1284">
        <f t="shared" si="0"/>
        <v>0</v>
      </c>
      <c r="E30" s="1040"/>
      <c r="F30" s="1284">
        <f t="shared" si="1"/>
        <v>0</v>
      </c>
      <c r="G30" s="1176"/>
      <c r="H30" s="1186"/>
    </row>
    <row r="31" spans="1:8" x14ac:dyDescent="0.25">
      <c r="A31" s="299"/>
      <c r="B31" s="1039"/>
      <c r="C31" s="1177"/>
      <c r="D31" s="1284">
        <f t="shared" si="0"/>
        <v>0</v>
      </c>
      <c r="E31" s="1040"/>
      <c r="F31" s="1284">
        <f t="shared" si="1"/>
        <v>0</v>
      </c>
      <c r="G31" s="1176"/>
      <c r="H31" s="1186"/>
    </row>
    <row r="32" spans="1:8" x14ac:dyDescent="0.25">
      <c r="A32" s="299"/>
      <c r="B32" s="1039"/>
      <c r="C32" s="1177"/>
      <c r="D32" s="1284">
        <f t="shared" si="0"/>
        <v>0</v>
      </c>
      <c r="E32" s="1040"/>
      <c r="F32" s="1284">
        <f t="shared" si="1"/>
        <v>0</v>
      </c>
      <c r="G32" s="1176"/>
      <c r="H32" s="1186"/>
    </row>
    <row r="33" spans="1:8" x14ac:dyDescent="0.25">
      <c r="A33" s="299"/>
      <c r="B33" s="1039"/>
      <c r="C33" s="1177"/>
      <c r="D33" s="1284">
        <f t="shared" si="0"/>
        <v>0</v>
      </c>
      <c r="E33" s="1040"/>
      <c r="F33" s="1284">
        <f t="shared" si="1"/>
        <v>0</v>
      </c>
      <c r="G33" s="1176"/>
      <c r="H33" s="1186"/>
    </row>
    <row r="34" spans="1:8" x14ac:dyDescent="0.25">
      <c r="A34" s="299"/>
      <c r="B34" s="1039"/>
      <c r="C34" s="1177"/>
      <c r="D34" s="1284">
        <f t="shared" si="0"/>
        <v>0</v>
      </c>
      <c r="E34" s="1040"/>
      <c r="F34" s="1284">
        <f t="shared" si="1"/>
        <v>0</v>
      </c>
      <c r="G34" s="1176"/>
      <c r="H34" s="1186"/>
    </row>
    <row r="35" spans="1:8" ht="13.8" thickBot="1" x14ac:dyDescent="0.3">
      <c r="A35" s="299"/>
      <c r="B35" s="1288"/>
      <c r="C35" s="1177"/>
      <c r="D35" s="1284">
        <f t="shared" si="0"/>
        <v>0</v>
      </c>
      <c r="E35" s="1289"/>
      <c r="F35" s="1284">
        <f t="shared" si="1"/>
        <v>0</v>
      </c>
      <c r="G35" s="1290"/>
      <c r="H35" s="1291"/>
    </row>
    <row r="36" spans="1:8" ht="13.8" thickBot="1" x14ac:dyDescent="0.3">
      <c r="A36" s="299"/>
      <c r="B36" s="1292"/>
      <c r="C36" s="1293">
        <f>SUM(C16:C35)</f>
        <v>332854000</v>
      </c>
      <c r="D36" s="1294">
        <f>SUM(D16:D35)</f>
        <v>319034962.36518931</v>
      </c>
      <c r="E36" s="1295"/>
      <c r="F36" s="1294">
        <f>SUM(F16:F35)</f>
        <v>378249572.31872451</v>
      </c>
      <c r="G36" s="1296"/>
      <c r="H36" s="1297"/>
    </row>
    <row r="37" spans="1:8" ht="13.8" thickTop="1" x14ac:dyDescent="0.25">
      <c r="A37" s="299"/>
      <c r="B37" s="299"/>
      <c r="C37" s="1298"/>
      <c r="D37" s="1298"/>
      <c r="E37" s="299"/>
      <c r="F37" s="299"/>
      <c r="G37" s="299"/>
      <c r="H37" s="299"/>
    </row>
    <row r="38" spans="1:8" x14ac:dyDescent="0.25">
      <c r="A38" s="299"/>
      <c r="B38" s="299"/>
      <c r="C38" s="1299"/>
      <c r="D38" s="299"/>
      <c r="E38" s="299"/>
      <c r="F38" s="299"/>
      <c r="G38" s="299"/>
      <c r="H38" s="299"/>
    </row>
    <row r="39" spans="1:8" x14ac:dyDescent="0.25">
      <c r="A39" s="299"/>
      <c r="B39" s="299"/>
      <c r="C39" s="299"/>
      <c r="D39" s="299"/>
      <c r="E39" s="299"/>
      <c r="F39" s="299"/>
      <c r="G39" s="299"/>
      <c r="H39" s="299"/>
    </row>
    <row r="40" spans="1:8" x14ac:dyDescent="0.25">
      <c r="A40" s="299"/>
      <c r="B40" s="299"/>
      <c r="C40" s="299"/>
      <c r="D40" s="299"/>
      <c r="E40" s="299"/>
      <c r="F40" s="299"/>
      <c r="G40" s="299"/>
      <c r="H40" s="299"/>
    </row>
    <row r="41" spans="1:8" x14ac:dyDescent="0.25">
      <c r="A41" s="299"/>
      <c r="B41" s="299"/>
      <c r="C41" s="299"/>
      <c r="D41" s="299"/>
      <c r="E41" s="299"/>
      <c r="F41" s="299"/>
      <c r="G41" s="299"/>
      <c r="H41" s="299"/>
    </row>
    <row r="42" spans="1:8" x14ac:dyDescent="0.25">
      <c r="A42" s="299"/>
      <c r="B42" s="299"/>
      <c r="C42" s="299"/>
      <c r="D42" s="299"/>
      <c r="E42" s="299"/>
      <c r="F42" s="299"/>
      <c r="G42" s="299"/>
      <c r="H42" s="299"/>
    </row>
    <row r="43" spans="1:8" x14ac:dyDescent="0.25">
      <c r="A43" s="299"/>
      <c r="B43" s="299"/>
      <c r="C43" s="299"/>
      <c r="D43" s="299"/>
      <c r="E43" s="299"/>
      <c r="F43" s="299"/>
      <c r="G43" s="299"/>
      <c r="H43" s="299"/>
    </row>
    <row r="44" spans="1:8" x14ac:dyDescent="0.25">
      <c r="A44" s="299"/>
      <c r="B44" s="299"/>
      <c r="C44" s="299"/>
      <c r="D44" s="299"/>
      <c r="E44" s="299"/>
      <c r="F44" s="299"/>
      <c r="G44" s="299"/>
      <c r="H44" s="299"/>
    </row>
    <row r="45" spans="1:8" x14ac:dyDescent="0.25">
      <c r="A45" s="299"/>
      <c r="B45" s="299"/>
      <c r="C45" s="299"/>
      <c r="D45" s="299"/>
      <c r="E45" s="299"/>
      <c r="F45" s="299"/>
      <c r="G45" s="299"/>
      <c r="H45" s="299"/>
    </row>
    <row r="46" spans="1:8" x14ac:dyDescent="0.25">
      <c r="A46" s="299"/>
      <c r="B46" s="299"/>
      <c r="C46" s="299"/>
      <c r="D46" s="299"/>
      <c r="E46" s="299"/>
      <c r="F46" s="299"/>
      <c r="G46" s="299"/>
      <c r="H46" s="299"/>
    </row>
    <row r="47" spans="1:8" x14ac:dyDescent="0.25">
      <c r="A47" s="299"/>
      <c r="B47" s="299"/>
      <c r="C47" s="299"/>
      <c r="D47" s="299"/>
      <c r="E47" s="299"/>
      <c r="F47" s="299"/>
      <c r="G47" s="299"/>
      <c r="H47" s="299"/>
    </row>
    <row r="48" spans="1:8" x14ac:dyDescent="0.25">
      <c r="A48" s="299"/>
      <c r="B48" s="299"/>
      <c r="C48" s="299"/>
      <c r="D48" s="299"/>
      <c r="E48" s="299"/>
      <c r="F48" s="299"/>
      <c r="G48" s="299"/>
      <c r="H48" s="299"/>
    </row>
  </sheetData>
  <mergeCells count="7">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workbookViewId="0"/>
  </sheetViews>
  <sheetFormatPr defaultColWidth="9.33203125" defaultRowHeight="13.2" x14ac:dyDescent="0.25"/>
  <cols>
    <col min="1" max="1" width="9.33203125" style="208"/>
    <col min="2" max="2" width="50.6640625" style="208" customWidth="1"/>
    <col min="3" max="3" width="19.6640625" style="208" customWidth="1"/>
    <col min="4" max="4" width="17" style="208" customWidth="1"/>
    <col min="5" max="7" width="18.6640625" style="208" customWidth="1"/>
    <col min="8" max="8" width="16.44140625" style="208" customWidth="1"/>
    <col min="9" max="9" width="38" style="208" customWidth="1"/>
    <col min="10" max="10" width="120.109375" style="208" customWidth="1"/>
    <col min="11" max="11" width="27.33203125" style="208" customWidth="1"/>
    <col min="12" max="16384" width="9.33203125" style="208"/>
  </cols>
  <sheetData>
    <row r="1" spans="2:11" ht="13.8" thickBot="1" x14ac:dyDescent="0.3">
      <c r="B1" s="208" t="s">
        <v>318</v>
      </c>
    </row>
    <row r="2" spans="2:11" ht="18.600000000000001" thickTop="1" thickBot="1" x14ac:dyDescent="0.35">
      <c r="B2" s="662" t="s">
        <v>828</v>
      </c>
      <c r="C2" s="663"/>
      <c r="D2" s="663"/>
      <c r="E2" s="663"/>
      <c r="F2" s="663"/>
      <c r="G2" s="663"/>
      <c r="H2" s="663"/>
      <c r="I2" s="663"/>
      <c r="J2" s="663"/>
      <c r="K2" s="664"/>
    </row>
    <row r="3" spans="2:11" ht="24" customHeight="1" thickBot="1" x14ac:dyDescent="0.3">
      <c r="B3" s="665" t="s">
        <v>658</v>
      </c>
      <c r="C3" s="666">
        <f>Baseline_Design_Capacity</f>
        <v>483000</v>
      </c>
      <c r="D3" s="1547" t="s">
        <v>810</v>
      </c>
      <c r="E3" s="1547"/>
      <c r="F3" s="1547"/>
      <c r="G3" s="667"/>
      <c r="H3" s="667"/>
      <c r="I3" s="667"/>
      <c r="J3" s="667"/>
      <c r="K3" s="668"/>
    </row>
    <row r="4" spans="2:11" ht="29.25" customHeight="1" thickBot="1" x14ac:dyDescent="0.3">
      <c r="B4" s="665" t="s">
        <v>656</v>
      </c>
      <c r="C4" s="669">
        <f ca="1">design_cap/Baseline_Design_Capacity</f>
        <v>1</v>
      </c>
      <c r="D4" s="1548" t="s">
        <v>662</v>
      </c>
      <c r="E4" s="1548"/>
      <c r="F4" s="1548"/>
      <c r="G4" s="667"/>
      <c r="H4" s="667"/>
      <c r="I4" s="667"/>
      <c r="J4" s="667"/>
      <c r="K4" s="668"/>
    </row>
    <row r="5" spans="2:11" ht="29.25" customHeight="1" thickBot="1" x14ac:dyDescent="0.3">
      <c r="B5" s="665" t="s">
        <v>825</v>
      </c>
      <c r="C5" s="669">
        <f ca="1">$G$27/Det_direct_cap</f>
        <v>1</v>
      </c>
      <c r="D5" s="1548" t="s">
        <v>827</v>
      </c>
      <c r="E5" s="1548"/>
      <c r="F5" s="1548"/>
      <c r="G5" s="667"/>
      <c r="H5" s="667"/>
      <c r="I5" s="667"/>
      <c r="J5" s="667"/>
      <c r="K5" s="668"/>
    </row>
    <row r="6" spans="2:11" ht="29.25" customHeight="1" thickBot="1" x14ac:dyDescent="0.3">
      <c r="B6" s="665" t="s">
        <v>1037</v>
      </c>
      <c r="C6" s="671">
        <v>0.6</v>
      </c>
      <c r="D6" s="1548" t="s">
        <v>824</v>
      </c>
      <c r="E6" s="1548"/>
      <c r="F6" s="1548"/>
      <c r="G6" s="667"/>
      <c r="H6" s="667"/>
      <c r="I6" s="667"/>
      <c r="J6" s="667"/>
      <c r="K6" s="668"/>
    </row>
    <row r="7" spans="2:11" ht="41.25" customHeight="1" thickBot="1" x14ac:dyDescent="0.3">
      <c r="B7" s="665" t="s">
        <v>925</v>
      </c>
      <c r="C7" s="672">
        <f>483000*0.5</f>
        <v>241500</v>
      </c>
      <c r="D7" s="1549" t="s">
        <v>901</v>
      </c>
      <c r="E7" s="1550"/>
      <c r="F7" s="1550"/>
      <c r="G7" s="667"/>
      <c r="H7" s="667"/>
      <c r="I7" s="667"/>
      <c r="J7" s="667"/>
      <c r="K7" s="668"/>
    </row>
    <row r="8" spans="2:11" ht="42.75" customHeight="1" thickBot="1" x14ac:dyDescent="0.3">
      <c r="B8" s="665" t="s">
        <v>926</v>
      </c>
      <c r="C8" s="672">
        <f>483000*2</f>
        <v>966000</v>
      </c>
      <c r="D8" s="1545" t="s">
        <v>900</v>
      </c>
      <c r="E8" s="1546"/>
      <c r="F8" s="1546"/>
      <c r="G8" s="667"/>
      <c r="H8" s="667"/>
      <c r="I8" s="667"/>
      <c r="J8" s="667"/>
      <c r="K8" s="668"/>
    </row>
    <row r="9" spans="2:11" ht="15" customHeight="1" x14ac:dyDescent="0.25">
      <c r="B9" s="665"/>
      <c r="C9" s="673"/>
      <c r="D9" s="670"/>
      <c r="E9" s="670"/>
      <c r="F9" s="670"/>
      <c r="G9" s="667"/>
      <c r="H9" s="667"/>
      <c r="I9" s="667"/>
      <c r="J9" s="667"/>
      <c r="K9" s="668"/>
    </row>
    <row r="10" spans="2:11" x14ac:dyDescent="0.25">
      <c r="B10" s="674"/>
      <c r="C10" s="667"/>
      <c r="D10" s="667"/>
      <c r="E10" s="667"/>
      <c r="F10" s="667"/>
      <c r="G10" s="667"/>
      <c r="H10" s="667"/>
      <c r="I10" s="667"/>
      <c r="J10" s="667"/>
      <c r="K10" s="668"/>
    </row>
    <row r="11" spans="2:11" ht="16.2" thickBot="1" x14ac:dyDescent="0.35">
      <c r="B11" s="442" t="str">
        <f xml:space="preserve"> "CAPITAL INVESTMENT (Inputs REQUIRED in Reference Year, (" &amp; ref_year &amp; ") $)"</f>
        <v>CAPITAL INVESTMENT (Inputs REQUIRED in Reference Year, (2016) $)</v>
      </c>
      <c r="C11" s="443"/>
      <c r="D11" s="443"/>
      <c r="E11" s="443"/>
      <c r="F11" s="443"/>
      <c r="G11" s="444"/>
      <c r="H11" s="444"/>
      <c r="I11" s="444"/>
      <c r="J11" s="445"/>
      <c r="K11" s="675"/>
    </row>
    <row r="12" spans="2:11" ht="28.2" thickTop="1" thickBot="1" x14ac:dyDescent="0.35">
      <c r="B12" s="447" t="s">
        <v>652</v>
      </c>
      <c r="C12" s="448" t="s">
        <v>660</v>
      </c>
      <c r="D12" s="448" t="s">
        <v>654</v>
      </c>
      <c r="E12" s="448" t="s">
        <v>661</v>
      </c>
      <c r="F12" s="448" t="s">
        <v>653</v>
      </c>
      <c r="G12" s="448" t="s">
        <v>826</v>
      </c>
      <c r="H12" s="448" t="s">
        <v>1036</v>
      </c>
      <c r="I12" s="448" t="s">
        <v>1003</v>
      </c>
      <c r="J12" s="452" t="s">
        <v>655</v>
      </c>
    </row>
    <row r="13" spans="2:11" x14ac:dyDescent="0.25">
      <c r="B13" s="658" t="str">
        <f>'Capital Costs'!B16</f>
        <v>Accessory Electric Plant</v>
      </c>
      <c r="C13" s="649">
        <f>'Capital Costs'!D16</f>
        <v>3134240.0179483169</v>
      </c>
      <c r="D13" s="1354">
        <v>0.33</v>
      </c>
      <c r="E13" s="649">
        <f ca="1">IF($D13="",$C13*Scale_Ratio^Scaling_Factor_Exponent,$C13*Scale_Ratio^$D13)</f>
        <v>3134240.0179483169</v>
      </c>
      <c r="F13" s="660">
        <f>'Capital Costs'!E16</f>
        <v>2.0993883792048931</v>
      </c>
      <c r="G13" s="650">
        <f ca="1">$E13*$F13</f>
        <v>6579987.0713196322</v>
      </c>
      <c r="H13" s="649">
        <f>C13*F13</f>
        <v>6579987.0713196322</v>
      </c>
      <c r="I13" s="1180" t="s">
        <v>1296</v>
      </c>
      <c r="J13" s="820" t="s">
        <v>1298</v>
      </c>
    </row>
    <row r="14" spans="2:11" x14ac:dyDescent="0.25">
      <c r="B14" s="659" t="str">
        <f>'Capital Costs'!B17</f>
        <v>Cooling Water System</v>
      </c>
      <c r="C14" s="651">
        <f>'Capital Costs'!D17</f>
        <v>18595532.289974097</v>
      </c>
      <c r="D14" s="1355">
        <v>0.69</v>
      </c>
      <c r="E14" s="651">
        <f t="shared" ref="E14:E26" ca="1" si="0">IF($D14="",$C14*Scale_Ratio^Scaling_Factor_Exponent,$C14*Scale_Ratio^$D14)</f>
        <v>18595532.289974097</v>
      </c>
      <c r="F14" s="661">
        <f>'Capital Costs'!E17</f>
        <v>1.3467862481315396</v>
      </c>
      <c r="G14" s="652">
        <f t="shared" ref="G14:G26" ca="1" si="1">$E14*$F14</f>
        <v>25044207.164823111</v>
      </c>
      <c r="H14" s="651">
        <f t="shared" ref="H14:H26" si="2">C14*F14</f>
        <v>25044207.164823111</v>
      </c>
      <c r="I14" s="653"/>
      <c r="J14" s="820" t="s">
        <v>1298</v>
      </c>
    </row>
    <row r="15" spans="2:11" x14ac:dyDescent="0.25">
      <c r="B15" s="659" t="str">
        <f>'Capital Costs'!B18</f>
        <v>Feedwater &amp; Miscellaneous BOP Systems</v>
      </c>
      <c r="C15" s="651">
        <f>'Capital Costs'!D18</f>
        <v>37826538.932211109</v>
      </c>
      <c r="D15" s="1355">
        <v>0.54</v>
      </c>
      <c r="E15" s="651">
        <f t="shared" ca="1" si="0"/>
        <v>37826538.932211109</v>
      </c>
      <c r="F15" s="661">
        <f>'Capital Costs'!E18</f>
        <v>1.5169390599265171</v>
      </c>
      <c r="G15" s="652">
        <f t="shared" ca="1" si="1"/>
        <v>57380554.408102117</v>
      </c>
      <c r="H15" s="651">
        <f t="shared" si="2"/>
        <v>57380554.408102117</v>
      </c>
      <c r="I15" s="653"/>
      <c r="J15" s="820" t="s">
        <v>1298</v>
      </c>
    </row>
    <row r="16" spans="2:11" x14ac:dyDescent="0.25">
      <c r="B16" s="659" t="str">
        <f>'Capital Costs'!B19</f>
        <v>Flue Gas Cleanup</v>
      </c>
      <c r="C16" s="651">
        <f>'Capital Costs'!D19</f>
        <v>172415789.41547862</v>
      </c>
      <c r="D16" s="1355">
        <v>0.7</v>
      </c>
      <c r="E16" s="651">
        <f t="shared" ca="1" si="0"/>
        <v>172415789.41547862</v>
      </c>
      <c r="F16" s="661">
        <f>'Capital Costs'!E19</f>
        <v>1.0063012712704626</v>
      </c>
      <c r="G16" s="652">
        <f t="shared" ca="1" si="1"/>
        <v>173502228.0758965</v>
      </c>
      <c r="H16" s="651">
        <f t="shared" si="2"/>
        <v>173502228.0758965</v>
      </c>
      <c r="I16" s="653"/>
      <c r="J16" s="820" t="s">
        <v>1298</v>
      </c>
    </row>
    <row r="17" spans="2:10" x14ac:dyDescent="0.25">
      <c r="B17" s="659" t="str">
        <f>'Capital Costs'!B20</f>
        <v>Hydrogen Production</v>
      </c>
      <c r="C17" s="651">
        <f>'Capital Costs'!D20</f>
        <v>15465126.204769447</v>
      </c>
      <c r="D17" s="1355">
        <v>0.63</v>
      </c>
      <c r="E17" s="651">
        <f t="shared" ca="1" si="0"/>
        <v>15465126.204769447</v>
      </c>
      <c r="F17" s="661">
        <f>'Capital Costs'!E20</f>
        <v>1.0805082119615743</v>
      </c>
      <c r="G17" s="652">
        <f t="shared" ca="1" si="1"/>
        <v>16710195.863275524</v>
      </c>
      <c r="H17" s="651">
        <f t="shared" si="2"/>
        <v>16710195.863275524</v>
      </c>
      <c r="I17" s="653"/>
      <c r="J17" s="820" t="s">
        <v>1298</v>
      </c>
    </row>
    <row r="18" spans="2:10" x14ac:dyDescent="0.25">
      <c r="B18" s="659" t="str">
        <f>'Capital Costs'!B21</f>
        <v>Instrumentation &amp; Control</v>
      </c>
      <c r="C18" s="651">
        <f>'Capital Costs'!D21</f>
        <v>9596333.6574001685</v>
      </c>
      <c r="D18" s="1355">
        <v>0.6</v>
      </c>
      <c r="E18" s="651">
        <f t="shared" ca="1" si="0"/>
        <v>9596333.6574001685</v>
      </c>
      <c r="F18" s="661">
        <f>'Capital Costs'!E21</f>
        <v>1.1457251298441871</v>
      </c>
      <c r="G18" s="652">
        <f t="shared" ca="1" si="1"/>
        <v>10994760.62565295</v>
      </c>
      <c r="H18" s="651">
        <f t="shared" si="2"/>
        <v>10994760.62565295</v>
      </c>
      <c r="I18" s="653"/>
      <c r="J18" s="820" t="s">
        <v>1298</v>
      </c>
    </row>
    <row r="19" spans="2:10" x14ac:dyDescent="0.25">
      <c r="B19" s="659" t="str">
        <f>'Capital Costs'!B22</f>
        <v>Reformer &amp; Accessories</v>
      </c>
      <c r="C19" s="651">
        <f>'Capital Costs'!D22</f>
        <v>40168113.355406135</v>
      </c>
      <c r="D19" s="1355">
        <v>0.16</v>
      </c>
      <c r="E19" s="651">
        <f t="shared" ca="1" si="0"/>
        <v>40168113.355406135</v>
      </c>
      <c r="F19" s="661">
        <f>'Capital Costs'!E22</f>
        <v>1.5076834971843085</v>
      </c>
      <c r="G19" s="652">
        <f t="shared" ca="1" si="1"/>
        <v>60560801.618974447</v>
      </c>
      <c r="H19" s="651">
        <f t="shared" si="2"/>
        <v>60560801.618974447</v>
      </c>
      <c r="I19" s="653"/>
      <c r="J19" s="820" t="s">
        <v>1298</v>
      </c>
    </row>
    <row r="20" spans="2:10" x14ac:dyDescent="0.25">
      <c r="B20" s="659" t="str">
        <f>'Capital Costs'!B23</f>
        <v>Syngas Cleanup</v>
      </c>
      <c r="C20" s="651">
        <f>'Capital Costs'!D23</f>
        <v>21833288.49200144</v>
      </c>
      <c r="D20" s="1355">
        <v>0.68</v>
      </c>
      <c r="E20" s="651">
        <f t="shared" ca="1" si="0"/>
        <v>21833288.49200144</v>
      </c>
      <c r="F20" s="661">
        <f>'Capital Costs'!E23</f>
        <v>1.2584836911190131</v>
      </c>
      <c r="G20" s="652">
        <f t="shared" ca="1" si="1"/>
        <v>27476837.490680244</v>
      </c>
      <c r="H20" s="651">
        <f t="shared" si="2"/>
        <v>27476837.490680244</v>
      </c>
      <c r="I20" s="653"/>
      <c r="J20" s="820" t="s">
        <v>1298</v>
      </c>
    </row>
    <row r="21" spans="2:10" x14ac:dyDescent="0.25">
      <c r="B21" s="659"/>
      <c r="C21" s="651">
        <f>'Capital Costs'!D24</f>
        <v>0</v>
      </c>
      <c r="D21" s="1355"/>
      <c r="E21" s="651">
        <f t="shared" ca="1" si="0"/>
        <v>0</v>
      </c>
      <c r="F21" s="661">
        <f>'Capital Costs'!E24</f>
        <v>0</v>
      </c>
      <c r="G21" s="652">
        <f t="shared" ca="1" si="1"/>
        <v>0</v>
      </c>
      <c r="H21" s="651">
        <f t="shared" si="2"/>
        <v>0</v>
      </c>
      <c r="I21" s="653"/>
      <c r="J21" s="820" t="s">
        <v>1298</v>
      </c>
    </row>
    <row r="22" spans="2:10" x14ac:dyDescent="0.25">
      <c r="B22" s="659"/>
      <c r="C22" s="651">
        <f>'Capital Costs'!D25</f>
        <v>0</v>
      </c>
      <c r="D22" s="1355"/>
      <c r="E22" s="651">
        <f t="shared" ca="1" si="0"/>
        <v>0</v>
      </c>
      <c r="F22" s="661">
        <f>'Capital Costs'!E25</f>
        <v>0</v>
      </c>
      <c r="G22" s="652">
        <f t="shared" ca="1" si="1"/>
        <v>0</v>
      </c>
      <c r="H22" s="651">
        <f t="shared" si="2"/>
        <v>0</v>
      </c>
      <c r="I22" s="653"/>
      <c r="J22" s="820" t="s">
        <v>1298</v>
      </c>
    </row>
    <row r="23" spans="2:10" x14ac:dyDescent="0.25">
      <c r="B23" s="659"/>
      <c r="C23" s="651">
        <f>'Capital Costs'!D26</f>
        <v>0</v>
      </c>
      <c r="D23" s="1355"/>
      <c r="E23" s="651">
        <f t="shared" ca="1" si="0"/>
        <v>0</v>
      </c>
      <c r="F23" s="661">
        <f>'Capital Costs'!E26</f>
        <v>0</v>
      </c>
      <c r="G23" s="652">
        <f t="shared" ca="1" si="1"/>
        <v>0</v>
      </c>
      <c r="H23" s="651">
        <f t="shared" si="2"/>
        <v>0</v>
      </c>
      <c r="I23" s="653"/>
      <c r="J23" s="455"/>
    </row>
    <row r="24" spans="2:10" x14ac:dyDescent="0.25">
      <c r="B24" s="659"/>
      <c r="C24" s="651">
        <f>'Capital Costs'!D27</f>
        <v>0</v>
      </c>
      <c r="D24" s="1300"/>
      <c r="E24" s="651">
        <f t="shared" ca="1" si="0"/>
        <v>0</v>
      </c>
      <c r="F24" s="661">
        <f>'Capital Costs'!E27</f>
        <v>0</v>
      </c>
      <c r="G24" s="652">
        <f t="shared" ca="1" si="1"/>
        <v>0</v>
      </c>
      <c r="H24" s="651">
        <f t="shared" si="2"/>
        <v>0</v>
      </c>
      <c r="I24" s="653"/>
      <c r="J24" s="455"/>
    </row>
    <row r="25" spans="2:10" x14ac:dyDescent="0.25">
      <c r="B25" s="659"/>
      <c r="C25" s="651">
        <f>'Capital Costs'!D28</f>
        <v>0</v>
      </c>
      <c r="D25" s="1300"/>
      <c r="E25" s="651">
        <f t="shared" ca="1" si="0"/>
        <v>0</v>
      </c>
      <c r="F25" s="661">
        <f>'Capital Costs'!E28</f>
        <v>0</v>
      </c>
      <c r="G25" s="652">
        <f t="shared" ca="1" si="1"/>
        <v>0</v>
      </c>
      <c r="H25" s="651">
        <f t="shared" si="2"/>
        <v>0</v>
      </c>
      <c r="I25" s="653"/>
      <c r="J25" s="455"/>
    </row>
    <row r="26" spans="2:10" ht="13.8" thickBot="1" x14ac:dyDescent="0.3">
      <c r="B26" s="659"/>
      <c r="C26" s="651">
        <f>'Capital Costs'!D29</f>
        <v>0</v>
      </c>
      <c r="D26" s="654"/>
      <c r="E26" s="655">
        <f t="shared" ca="1" si="0"/>
        <v>0</v>
      </c>
      <c r="F26" s="661">
        <f>'Capital Costs'!E29</f>
        <v>0</v>
      </c>
      <c r="G26" s="656">
        <f t="shared" ca="1" si="1"/>
        <v>0</v>
      </c>
      <c r="H26" s="655">
        <f t="shared" si="2"/>
        <v>0</v>
      </c>
      <c r="I26" s="657"/>
      <c r="J26" s="456"/>
    </row>
    <row r="27" spans="2:10" ht="13.8" thickBot="1" x14ac:dyDescent="0.3">
      <c r="B27" s="449" t="s">
        <v>657</v>
      </c>
      <c r="C27" s="450">
        <f>SUM(C13:C26)</f>
        <v>319034962.36518931</v>
      </c>
      <c r="D27" s="453"/>
      <c r="E27" s="450">
        <f ca="1">SUM(E13:E26)</f>
        <v>319034962.36518931</v>
      </c>
      <c r="F27" s="451"/>
      <c r="G27" s="648">
        <f ca="1">SUM(G13:G26)</f>
        <v>378249572.31872451</v>
      </c>
      <c r="H27" s="1392">
        <f>SUM(H13:H26)</f>
        <v>378249572.31872451</v>
      </c>
      <c r="I27" s="329"/>
      <c r="J27" s="454"/>
    </row>
    <row r="28" spans="2:10" ht="13.8" thickTop="1" x14ac:dyDescent="0.25"/>
    <row r="38" spans="3:3" x14ac:dyDescent="0.25">
      <c r="C38" s="1181"/>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74"/>
  <sheetViews>
    <sheetView zoomScale="115" zoomScaleNormal="115" workbookViewId="0"/>
  </sheetViews>
  <sheetFormatPr defaultColWidth="9.33203125" defaultRowHeight="13.2" x14ac:dyDescent="0.25"/>
  <cols>
    <col min="1" max="1" width="7.5546875" style="29" customWidth="1"/>
    <col min="2" max="2" width="72.33203125" style="29" customWidth="1"/>
    <col min="3" max="3" width="15.6640625" style="29" customWidth="1"/>
    <col min="4" max="4" width="19.44140625" style="29" customWidth="1"/>
    <col min="5" max="5" width="16.44140625" style="29" customWidth="1"/>
    <col min="6" max="6" width="25.6640625" style="29" customWidth="1"/>
    <col min="7" max="7" width="16.109375" style="29" customWidth="1"/>
    <col min="8" max="8" width="17" style="29" customWidth="1"/>
    <col min="9" max="9" width="17.33203125" style="29" customWidth="1"/>
    <col min="10" max="10" width="19.5546875" style="29" customWidth="1"/>
    <col min="11" max="11" width="16.33203125" style="29" customWidth="1"/>
    <col min="12" max="12" width="14.6640625" style="29" bestFit="1" customWidth="1"/>
    <col min="13" max="14" width="9" style="29" bestFit="1" customWidth="1"/>
    <col min="15" max="15" width="21.33203125" style="29" customWidth="1"/>
    <col min="16" max="25" width="9" style="29" bestFit="1" customWidth="1"/>
    <col min="26" max="26" width="0.88671875" style="29" customWidth="1"/>
    <col min="27" max="27" width="10.109375" style="29" bestFit="1" customWidth="1"/>
    <col min="28" max="28" width="11.5546875" style="29" bestFit="1" customWidth="1"/>
    <col min="29" max="16384" width="9.33203125" style="29"/>
  </cols>
  <sheetData>
    <row r="1" spans="1:57" x14ac:dyDescent="0.25">
      <c r="A1" s="1305"/>
      <c r="B1" s="1305"/>
      <c r="C1" s="1305"/>
      <c r="D1" s="1305"/>
      <c r="E1" s="1305"/>
      <c r="F1" s="1305"/>
      <c r="G1" s="1305"/>
      <c r="H1" s="1305"/>
      <c r="I1" s="1305"/>
      <c r="J1" s="1305"/>
      <c r="K1" s="1305"/>
      <c r="L1" s="1305"/>
      <c r="M1" s="1305"/>
      <c r="N1" s="1305"/>
      <c r="O1" s="1305"/>
      <c r="P1" s="1305"/>
      <c r="Q1" s="1305"/>
      <c r="R1" s="1305"/>
      <c r="S1" s="1305"/>
      <c r="T1" s="1305"/>
      <c r="U1" s="1305"/>
      <c r="V1" s="1305"/>
      <c r="W1" s="1305"/>
      <c r="X1" s="1305"/>
      <c r="Y1" s="1305"/>
      <c r="Z1" s="1305"/>
      <c r="AA1" s="1305"/>
      <c r="AB1" s="1305"/>
      <c r="AC1" s="1305"/>
      <c r="AD1" s="1042"/>
      <c r="AE1" s="1042"/>
      <c r="AF1" s="1042"/>
      <c r="AG1" s="1042"/>
      <c r="AH1" s="1042"/>
      <c r="AI1" s="1042"/>
      <c r="AJ1" s="1042"/>
      <c r="AK1" s="1042"/>
      <c r="AL1" s="1042"/>
      <c r="AM1" s="1042"/>
      <c r="AN1" s="1042"/>
      <c r="AO1" s="1042"/>
      <c r="AP1" s="1042"/>
      <c r="AQ1" s="1042"/>
      <c r="AR1" s="1042"/>
      <c r="AS1" s="1042"/>
      <c r="AT1" s="1042"/>
      <c r="AU1" s="1042"/>
      <c r="AV1" s="1042"/>
      <c r="AW1" s="1042"/>
      <c r="AX1" s="1042"/>
      <c r="AY1" s="1042"/>
      <c r="AZ1" s="1042"/>
      <c r="BA1" s="1042"/>
      <c r="BB1" s="1042"/>
      <c r="BC1" s="1042"/>
      <c r="BD1" s="1042"/>
      <c r="BE1" s="1042"/>
    </row>
    <row r="2" spans="1:57" ht="21" x14ac:dyDescent="0.25">
      <c r="A2" s="1305"/>
      <c r="B2" s="1356" t="s">
        <v>395</v>
      </c>
      <c r="C2" s="1305"/>
      <c r="D2" s="1305"/>
      <c r="E2" s="1305"/>
      <c r="F2" s="1305"/>
      <c r="G2" s="1305"/>
      <c r="H2" s="1305"/>
      <c r="I2" s="1305"/>
      <c r="J2" s="1305"/>
      <c r="K2" s="1305"/>
      <c r="L2" s="1305"/>
      <c r="M2" s="1305"/>
      <c r="N2" s="1305"/>
      <c r="O2" s="1305"/>
      <c r="P2" s="1305"/>
      <c r="Q2" s="1305"/>
      <c r="R2" s="1305"/>
      <c r="S2" s="1305"/>
      <c r="T2" s="1305"/>
      <c r="U2" s="1305"/>
      <c r="V2" s="1305"/>
      <c r="W2" s="1305"/>
      <c r="X2" s="1305"/>
      <c r="Y2" s="1305"/>
      <c r="Z2" s="1305"/>
      <c r="AA2" s="1305"/>
      <c r="AB2" s="1305"/>
      <c r="AC2" s="1305"/>
      <c r="AD2" s="1042"/>
      <c r="AE2" s="1042"/>
      <c r="AF2" s="1042"/>
      <c r="AG2" s="1042"/>
      <c r="AH2" s="1042"/>
      <c r="AI2" s="1042"/>
      <c r="AJ2" s="1042"/>
      <c r="AK2" s="1042"/>
      <c r="AL2" s="1042"/>
      <c r="AM2" s="1042"/>
      <c r="AN2" s="1042"/>
      <c r="AO2" s="1042"/>
      <c r="AP2" s="1042"/>
      <c r="AQ2" s="1042"/>
      <c r="AR2" s="1042"/>
      <c r="AS2" s="1042"/>
      <c r="AT2" s="1042"/>
      <c r="AU2" s="1042"/>
      <c r="AV2" s="1042"/>
      <c r="AW2" s="1042"/>
      <c r="AX2" s="1042"/>
      <c r="AY2" s="1042"/>
      <c r="AZ2" s="1042"/>
      <c r="BA2" s="1042"/>
      <c r="BB2" s="1042"/>
      <c r="BC2" s="1042"/>
      <c r="BD2" s="1042"/>
      <c r="BE2" s="1042"/>
    </row>
    <row r="3" spans="1:57" x14ac:dyDescent="0.25">
      <c r="A3" s="1305"/>
      <c r="B3" s="1305"/>
      <c r="C3" s="1305"/>
      <c r="D3" s="1305"/>
      <c r="E3" s="1305"/>
      <c r="F3" s="1305"/>
      <c r="G3" s="1305"/>
      <c r="H3" s="1305"/>
      <c r="I3" s="1305"/>
      <c r="J3" s="1305"/>
      <c r="K3" s="1305"/>
      <c r="L3" s="1305"/>
      <c r="M3" s="1305"/>
      <c r="N3" s="1305"/>
      <c r="O3" s="1305"/>
      <c r="P3" s="1305"/>
      <c r="Q3" s="1305"/>
      <c r="R3" s="1305"/>
      <c r="S3" s="1305"/>
      <c r="T3" s="1305"/>
      <c r="U3" s="1305"/>
      <c r="V3" s="1305"/>
      <c r="W3" s="1305"/>
      <c r="X3" s="1305"/>
      <c r="Y3" s="1305"/>
      <c r="Z3" s="1305"/>
      <c r="AA3" s="1305"/>
      <c r="AB3" s="1305"/>
      <c r="AC3" s="1305"/>
      <c r="AD3" s="1042"/>
      <c r="AE3" s="1042"/>
      <c r="AF3" s="1042"/>
      <c r="AG3" s="1042"/>
      <c r="AH3" s="1042"/>
      <c r="AI3" s="1042"/>
      <c r="AJ3" s="1042"/>
      <c r="AK3" s="1042"/>
      <c r="AL3" s="1042"/>
      <c r="AM3" s="1042"/>
      <c r="AN3" s="1042"/>
      <c r="AO3" s="1042"/>
      <c r="AP3" s="1042"/>
      <c r="AQ3" s="1042"/>
      <c r="AR3" s="1042"/>
      <c r="AS3" s="1042"/>
      <c r="AT3" s="1042"/>
      <c r="AU3" s="1042"/>
      <c r="AV3" s="1042"/>
      <c r="AW3" s="1042"/>
      <c r="AX3" s="1042"/>
      <c r="AY3" s="1042"/>
      <c r="AZ3" s="1042"/>
      <c r="BA3" s="1042"/>
      <c r="BB3" s="1042"/>
      <c r="BC3" s="1042"/>
      <c r="BD3" s="1042"/>
      <c r="BE3" s="1042"/>
    </row>
    <row r="4" spans="1:57" ht="13.8" x14ac:dyDescent="0.25">
      <c r="A4" s="1305"/>
      <c r="B4" s="1555" t="s">
        <v>385</v>
      </c>
      <c r="C4" s="1555"/>
      <c r="D4" s="1555"/>
      <c r="E4" s="1555"/>
      <c r="F4" s="1555"/>
      <c r="G4" s="1555"/>
      <c r="H4" s="1555"/>
      <c r="I4" s="1555"/>
      <c r="J4" s="1555"/>
      <c r="K4" s="1305"/>
      <c r="L4" s="1305"/>
      <c r="M4" s="1305"/>
      <c r="N4" s="1305"/>
      <c r="O4" s="1305"/>
      <c r="P4" s="1305"/>
      <c r="Q4" s="1305"/>
      <c r="R4" s="1305"/>
      <c r="S4" s="1305"/>
      <c r="T4" s="1305"/>
      <c r="U4" s="1305"/>
      <c r="V4" s="1305"/>
      <c r="W4" s="1305"/>
      <c r="X4" s="1305"/>
      <c r="Y4" s="1305"/>
      <c r="Z4" s="1305"/>
      <c r="AA4" s="1305"/>
      <c r="AB4" s="1305"/>
      <c r="AC4" s="1305"/>
      <c r="AD4" s="1042"/>
      <c r="AE4" s="1042"/>
      <c r="AF4" s="1042"/>
      <c r="AG4" s="1042"/>
      <c r="AH4" s="1042"/>
      <c r="AI4" s="1042"/>
      <c r="AJ4" s="1042"/>
      <c r="AK4" s="1042"/>
      <c r="AL4" s="1042"/>
      <c r="AM4" s="1042"/>
      <c r="AN4" s="1042"/>
      <c r="AO4" s="1042"/>
      <c r="AP4" s="1042"/>
      <c r="AQ4" s="1042"/>
      <c r="AR4" s="1042"/>
      <c r="AS4" s="1042"/>
      <c r="AT4" s="1042"/>
      <c r="AU4" s="1042"/>
      <c r="AV4" s="1042"/>
      <c r="AW4" s="1042"/>
      <c r="AX4" s="1042"/>
      <c r="AY4" s="1042"/>
      <c r="AZ4" s="1042"/>
      <c r="BA4" s="1042"/>
      <c r="BB4" s="1042"/>
      <c r="BC4" s="1042"/>
      <c r="BD4" s="1042"/>
      <c r="BE4" s="1042"/>
    </row>
    <row r="5" spans="1:57" ht="44.4" customHeight="1" x14ac:dyDescent="0.25">
      <c r="A5" s="1305"/>
      <c r="B5" s="1556" t="s">
        <v>1392</v>
      </c>
      <c r="C5" s="1557"/>
      <c r="D5" s="1557"/>
      <c r="E5" s="1557"/>
      <c r="F5" s="1557"/>
      <c r="G5" s="1557"/>
      <c r="H5" s="1557"/>
      <c r="I5" s="1557"/>
      <c r="J5" s="1558"/>
      <c r="K5" s="1305"/>
      <c r="L5" s="1305"/>
      <c r="M5" s="1305"/>
      <c r="N5" s="1305"/>
      <c r="O5" s="1305"/>
      <c r="P5" s="1305"/>
      <c r="Q5" s="1305"/>
      <c r="R5" s="1305"/>
      <c r="S5" s="1305"/>
      <c r="T5" s="1305"/>
      <c r="U5" s="1305"/>
      <c r="V5" s="1305"/>
      <c r="W5" s="1305"/>
      <c r="X5" s="1305"/>
      <c r="Y5" s="1305"/>
      <c r="Z5" s="1305"/>
      <c r="AA5" s="1305"/>
      <c r="AB5" s="1305"/>
      <c r="AC5" s="1305"/>
      <c r="AD5" s="1042"/>
      <c r="AE5" s="1042"/>
      <c r="AF5" s="1042"/>
      <c r="AG5" s="1042"/>
      <c r="AH5" s="1042"/>
      <c r="AI5" s="1042"/>
      <c r="AJ5" s="1042"/>
      <c r="AK5" s="1042"/>
      <c r="AL5" s="1042"/>
      <c r="AM5" s="1042"/>
      <c r="AN5" s="1042"/>
      <c r="AO5" s="1042"/>
      <c r="AP5" s="1042"/>
      <c r="AQ5" s="1042"/>
      <c r="AR5" s="1042"/>
      <c r="AS5" s="1042"/>
      <c r="AT5" s="1042"/>
      <c r="AU5" s="1042"/>
      <c r="AV5" s="1042"/>
      <c r="AW5" s="1042"/>
      <c r="AX5" s="1042"/>
      <c r="AY5" s="1042"/>
      <c r="AZ5" s="1042"/>
      <c r="BA5" s="1042"/>
      <c r="BB5" s="1042"/>
      <c r="BC5" s="1042"/>
      <c r="BD5" s="1042"/>
      <c r="BE5" s="1042"/>
    </row>
    <row r="6" spans="1:57" x14ac:dyDescent="0.25">
      <c r="A6" s="1305"/>
      <c r="B6" s="1357"/>
      <c r="C6" s="1357"/>
      <c r="D6" s="1357"/>
      <c r="E6" s="1357"/>
      <c r="F6" s="1357"/>
      <c r="G6" s="1357"/>
      <c r="H6" s="1357"/>
      <c r="I6" s="1357"/>
      <c r="J6" s="1357"/>
      <c r="K6" s="1305"/>
      <c r="L6" s="1305"/>
      <c r="M6" s="1305"/>
      <c r="N6" s="1305"/>
      <c r="O6" s="1305"/>
      <c r="P6" s="1305"/>
      <c r="Q6" s="1305"/>
      <c r="R6" s="1305"/>
      <c r="S6" s="1305"/>
      <c r="T6" s="1305"/>
      <c r="U6" s="1305"/>
      <c r="V6" s="1305"/>
      <c r="W6" s="1305"/>
      <c r="X6" s="1305"/>
      <c r="Y6" s="1305"/>
      <c r="Z6" s="1305"/>
      <c r="AA6" s="1305"/>
      <c r="AB6" s="1305"/>
      <c r="AC6" s="1305"/>
      <c r="AD6" s="1042"/>
      <c r="AE6" s="1042"/>
      <c r="AF6" s="1042"/>
      <c r="AG6" s="1042"/>
      <c r="AH6" s="1042"/>
      <c r="AI6" s="1042"/>
      <c r="AJ6" s="1042"/>
      <c r="AK6" s="1042"/>
      <c r="AL6" s="1042"/>
      <c r="AM6" s="1042"/>
      <c r="AN6" s="1042"/>
      <c r="AO6" s="1042"/>
      <c r="AP6" s="1042"/>
      <c r="AQ6" s="1042"/>
      <c r="AR6" s="1042"/>
      <c r="AS6" s="1042"/>
      <c r="AT6" s="1042"/>
      <c r="AU6" s="1042"/>
      <c r="AV6" s="1042"/>
      <c r="AW6" s="1042"/>
      <c r="AX6" s="1042"/>
      <c r="AY6" s="1042"/>
      <c r="AZ6" s="1042"/>
      <c r="BA6" s="1042"/>
      <c r="BB6" s="1042"/>
      <c r="BC6" s="1042"/>
      <c r="BD6" s="1042"/>
      <c r="BE6" s="1042"/>
    </row>
    <row r="7" spans="1:57" ht="21" x14ac:dyDescent="0.25">
      <c r="A7" s="1305"/>
      <c r="B7" s="1358" t="s">
        <v>1040</v>
      </c>
      <c r="C7" s="1357"/>
      <c r="D7" s="1357"/>
      <c r="E7" s="1357"/>
      <c r="F7" s="1357"/>
      <c r="G7" s="1357"/>
      <c r="H7" s="1357"/>
      <c r="I7" s="1357"/>
      <c r="J7" s="1357"/>
      <c r="K7" s="1305"/>
      <c r="L7" s="1305"/>
      <c r="M7" s="1305"/>
      <c r="N7" s="1305"/>
      <c r="O7" s="1305"/>
      <c r="P7" s="1305"/>
      <c r="Q7" s="1305"/>
      <c r="R7" s="1305"/>
      <c r="S7" s="1305"/>
      <c r="T7" s="1305"/>
      <c r="U7" s="1305"/>
      <c r="V7" s="1305"/>
      <c r="W7" s="1305"/>
      <c r="X7" s="1305"/>
      <c r="Y7" s="1305"/>
      <c r="Z7" s="1305"/>
      <c r="AA7" s="1305"/>
      <c r="AB7" s="1305"/>
      <c r="AC7" s="1305"/>
      <c r="AD7" s="1042"/>
      <c r="AE7" s="1042"/>
      <c r="AF7" s="1042"/>
      <c r="AG7" s="1042"/>
      <c r="AH7" s="1042"/>
      <c r="AI7" s="1042"/>
      <c r="AJ7" s="1042"/>
      <c r="AK7" s="1042"/>
      <c r="AL7" s="1042"/>
      <c r="AM7" s="1042"/>
      <c r="AN7" s="1042"/>
      <c r="AO7" s="1042"/>
      <c r="AP7" s="1042"/>
      <c r="AQ7" s="1042"/>
      <c r="AR7" s="1042"/>
      <c r="AS7" s="1042"/>
      <c r="AT7" s="1042"/>
      <c r="AU7" s="1042"/>
      <c r="AV7" s="1042"/>
      <c r="AW7" s="1042"/>
      <c r="AX7" s="1042"/>
      <c r="AY7" s="1042"/>
      <c r="AZ7" s="1042"/>
      <c r="BA7" s="1042"/>
      <c r="BB7" s="1042"/>
      <c r="BC7" s="1042"/>
      <c r="BD7" s="1042"/>
      <c r="BE7" s="1042"/>
    </row>
    <row r="8" spans="1:57" ht="15.6" x14ac:dyDescent="0.25">
      <c r="A8" s="1305"/>
      <c r="B8" s="1359" t="s">
        <v>230</v>
      </c>
      <c r="C8" s="1357"/>
      <c r="D8" s="1357"/>
      <c r="E8" s="1357"/>
      <c r="F8" s="1357"/>
      <c r="G8" s="1357"/>
      <c r="H8" s="1357"/>
      <c r="I8" s="1357"/>
      <c r="J8" s="1357"/>
      <c r="K8" s="1305"/>
      <c r="L8" s="1305"/>
      <c r="M8" s="1305"/>
      <c r="N8" s="1305"/>
      <c r="O8" s="1305"/>
      <c r="P8" s="1305"/>
      <c r="Q8" s="1305"/>
      <c r="R8" s="1305"/>
      <c r="S8" s="1305"/>
      <c r="T8" s="1305"/>
      <c r="U8" s="1305"/>
      <c r="V8" s="1305"/>
      <c r="W8" s="1305"/>
      <c r="X8" s="1305"/>
      <c r="Y8" s="1305"/>
      <c r="Z8" s="1305"/>
      <c r="AA8" s="1305"/>
      <c r="AB8" s="1305"/>
      <c r="AC8" s="1305"/>
      <c r="AD8" s="1042"/>
      <c r="AE8" s="1042"/>
      <c r="AF8" s="1042"/>
      <c r="AG8" s="1042"/>
      <c r="AH8" s="1042"/>
      <c r="AI8" s="1042"/>
      <c r="AJ8" s="1042"/>
      <c r="AK8" s="1042"/>
      <c r="AL8" s="1042"/>
      <c r="AM8" s="1042"/>
      <c r="AN8" s="1042"/>
      <c r="AO8" s="1042"/>
      <c r="AP8" s="1042"/>
      <c r="AQ8" s="1042"/>
      <c r="AR8" s="1042"/>
      <c r="AS8" s="1042"/>
      <c r="AT8" s="1042"/>
      <c r="AU8" s="1042"/>
      <c r="AV8" s="1042"/>
      <c r="AW8" s="1042"/>
      <c r="AX8" s="1042"/>
      <c r="AY8" s="1042"/>
      <c r="AZ8" s="1042"/>
      <c r="BA8" s="1042"/>
      <c r="BB8" s="1042"/>
      <c r="BC8" s="1042"/>
      <c r="BD8" s="1042"/>
      <c r="BE8" s="1042"/>
    </row>
    <row r="9" spans="1:57" x14ac:dyDescent="0.25">
      <c r="A9" s="1305"/>
      <c r="B9" s="1357"/>
      <c r="C9" s="1357"/>
      <c r="D9" s="1357"/>
      <c r="E9" s="1357"/>
      <c r="F9" s="1357"/>
      <c r="G9" s="1357"/>
      <c r="H9" s="1357"/>
      <c r="I9" s="1357"/>
      <c r="J9" s="1357"/>
      <c r="K9" s="1305"/>
      <c r="L9" s="1305"/>
      <c r="M9" s="1305"/>
      <c r="N9" s="1305"/>
      <c r="O9" s="1305"/>
      <c r="P9" s="1305"/>
      <c r="Q9" s="1305"/>
      <c r="R9" s="1305"/>
      <c r="S9" s="1305"/>
      <c r="T9" s="1305"/>
      <c r="U9" s="1305"/>
      <c r="V9" s="1305"/>
      <c r="W9" s="1305"/>
      <c r="X9" s="1305"/>
      <c r="Y9" s="1305"/>
      <c r="Z9" s="1305"/>
      <c r="AA9" s="1305"/>
      <c r="AB9" s="1305"/>
      <c r="AC9" s="1305"/>
      <c r="AD9" s="1042"/>
      <c r="AE9" s="1042"/>
      <c r="AF9" s="1042"/>
      <c r="AG9" s="1042"/>
      <c r="AH9" s="1042"/>
      <c r="AI9" s="1042"/>
      <c r="AJ9" s="1042"/>
      <c r="AK9" s="1042"/>
      <c r="AL9" s="1042"/>
      <c r="AM9" s="1042"/>
      <c r="AN9" s="1042"/>
      <c r="AO9" s="1042"/>
      <c r="AP9" s="1042"/>
      <c r="AQ9" s="1042"/>
      <c r="AR9" s="1042"/>
      <c r="AS9" s="1042"/>
      <c r="AT9" s="1042"/>
      <c r="AU9" s="1042"/>
      <c r="AV9" s="1042"/>
      <c r="AW9" s="1042"/>
      <c r="AX9" s="1042"/>
      <c r="AY9" s="1042"/>
      <c r="AZ9" s="1042"/>
      <c r="BA9" s="1042"/>
      <c r="BB9" s="1042"/>
      <c r="BC9" s="1042"/>
      <c r="BD9" s="1042"/>
      <c r="BE9" s="1042"/>
    </row>
    <row r="10" spans="1:57" x14ac:dyDescent="0.25">
      <c r="A10" s="1305"/>
      <c r="B10" s="1357"/>
      <c r="C10" s="1357"/>
      <c r="D10" s="1357"/>
      <c r="E10" s="1357"/>
      <c r="F10" s="1357"/>
      <c r="G10" s="1357"/>
      <c r="H10" s="1357"/>
      <c r="I10" s="1357"/>
      <c r="J10" s="1357"/>
      <c r="K10" s="1305"/>
      <c r="L10" s="1305"/>
      <c r="M10" s="1305"/>
      <c r="N10" s="1305"/>
      <c r="O10" s="1305"/>
      <c r="P10" s="1305"/>
      <c r="Q10" s="1305"/>
      <c r="R10" s="1305"/>
      <c r="S10" s="1305"/>
      <c r="T10" s="1305"/>
      <c r="U10" s="1305"/>
      <c r="V10" s="1305"/>
      <c r="W10" s="1305"/>
      <c r="X10" s="1305"/>
      <c r="Y10" s="1305"/>
      <c r="Z10" s="1305"/>
      <c r="AA10" s="1305"/>
      <c r="AB10" s="1305"/>
      <c r="AC10" s="1305"/>
      <c r="AD10" s="1042"/>
      <c r="AE10" s="1042"/>
      <c r="AF10" s="1042"/>
      <c r="AG10" s="1042"/>
      <c r="AH10" s="1042"/>
      <c r="AI10" s="1042"/>
      <c r="AJ10" s="1042"/>
      <c r="AK10" s="1042"/>
      <c r="AL10" s="1042"/>
      <c r="AM10" s="1042"/>
      <c r="AN10" s="1042"/>
      <c r="AO10" s="1042"/>
      <c r="AP10" s="1042"/>
      <c r="AQ10" s="1042"/>
      <c r="AR10" s="1042"/>
      <c r="AS10" s="1042"/>
      <c r="AT10" s="1042"/>
      <c r="AU10" s="1042"/>
      <c r="AV10" s="1042"/>
      <c r="AW10" s="1042"/>
      <c r="AX10" s="1042"/>
      <c r="AY10" s="1042"/>
      <c r="AZ10" s="1042"/>
      <c r="BA10" s="1042"/>
      <c r="BB10" s="1042"/>
      <c r="BC10" s="1042"/>
      <c r="BD10" s="1042"/>
      <c r="BE10" s="1042"/>
    </row>
    <row r="11" spans="1:57" ht="15.6" x14ac:dyDescent="0.25">
      <c r="A11" s="1305"/>
      <c r="B11" s="1359" t="s">
        <v>231</v>
      </c>
      <c r="C11" s="1357"/>
      <c r="D11" s="1357"/>
      <c r="E11" s="1357"/>
      <c r="F11" s="1357"/>
      <c r="G11" s="1357"/>
      <c r="H11" s="1357"/>
      <c r="I11" s="1357"/>
      <c r="J11" s="1357"/>
      <c r="K11" s="1305"/>
      <c r="L11" s="1305"/>
      <c r="M11" s="1305"/>
      <c r="N11" s="1305"/>
      <c r="O11" s="1305"/>
      <c r="P11" s="1305"/>
      <c r="Q11" s="1305"/>
      <c r="R11" s="1305"/>
      <c r="S11" s="1305"/>
      <c r="T11" s="1305"/>
      <c r="U11" s="1305"/>
      <c r="V11" s="1305"/>
      <c r="W11" s="1305"/>
      <c r="X11" s="1305"/>
      <c r="Y11" s="1305"/>
      <c r="Z11" s="1305"/>
      <c r="AA11" s="1305"/>
      <c r="AB11" s="1305"/>
      <c r="AC11" s="1305"/>
      <c r="AD11" s="1042"/>
      <c r="AE11" s="1042"/>
      <c r="AF11" s="1042"/>
      <c r="AG11" s="1042"/>
      <c r="AH11" s="1042"/>
      <c r="AI11" s="1042"/>
      <c r="AJ11" s="1042"/>
      <c r="AK11" s="1042"/>
      <c r="AL11" s="1042"/>
      <c r="AM11" s="1042"/>
      <c r="AN11" s="1042"/>
      <c r="AO11" s="1042"/>
      <c r="AP11" s="1042"/>
      <c r="AQ11" s="1042"/>
      <c r="AR11" s="1042"/>
      <c r="AS11" s="1042"/>
      <c r="AT11" s="1042"/>
      <c r="AU11" s="1042"/>
      <c r="AV11" s="1042"/>
      <c r="AW11" s="1042"/>
      <c r="AX11" s="1042"/>
      <c r="AY11" s="1042"/>
      <c r="AZ11" s="1042"/>
      <c r="BA11" s="1042"/>
      <c r="BB11" s="1042"/>
      <c r="BC11" s="1042"/>
      <c r="BD11" s="1042"/>
      <c r="BE11" s="1042"/>
    </row>
    <row r="12" spans="1:57" x14ac:dyDescent="0.25">
      <c r="A12" s="1305"/>
      <c r="B12" s="1357"/>
      <c r="C12" s="1357"/>
      <c r="D12" s="1357"/>
      <c r="E12" s="1357"/>
      <c r="F12" s="1357"/>
      <c r="G12" s="1357"/>
      <c r="H12" s="1357"/>
      <c r="I12" s="1357"/>
      <c r="J12" s="1357"/>
      <c r="K12" s="1305"/>
      <c r="L12" s="1305"/>
      <c r="M12" s="1305"/>
      <c r="N12" s="1305"/>
      <c r="O12" s="1305"/>
      <c r="P12" s="1305"/>
      <c r="Q12" s="1305"/>
      <c r="R12" s="1305"/>
      <c r="S12" s="1305"/>
      <c r="T12" s="1305"/>
      <c r="U12" s="1305"/>
      <c r="V12" s="1305"/>
      <c r="W12" s="1305"/>
      <c r="X12" s="1305"/>
      <c r="Y12" s="1305"/>
      <c r="Z12" s="1305"/>
      <c r="AA12" s="1305"/>
      <c r="AB12" s="1305"/>
      <c r="AC12" s="1305"/>
      <c r="AD12" s="1042"/>
      <c r="AE12" s="1042"/>
      <c r="AF12" s="1042"/>
      <c r="AG12" s="1042"/>
      <c r="AH12" s="1042"/>
      <c r="AI12" s="1042"/>
      <c r="AJ12" s="1042"/>
      <c r="AK12" s="1042"/>
      <c r="AL12" s="1042"/>
      <c r="AM12" s="1042"/>
      <c r="AN12" s="1042"/>
      <c r="AO12" s="1042"/>
      <c r="AP12" s="1042"/>
      <c r="AQ12" s="1042"/>
      <c r="AR12" s="1042"/>
      <c r="AS12" s="1042"/>
      <c r="AT12" s="1042"/>
      <c r="AU12" s="1042"/>
      <c r="AV12" s="1042"/>
      <c r="AW12" s="1042"/>
      <c r="AX12" s="1042"/>
      <c r="AY12" s="1042"/>
      <c r="AZ12" s="1042"/>
      <c r="BA12" s="1042"/>
      <c r="BB12" s="1042"/>
      <c r="BC12" s="1042"/>
      <c r="BD12" s="1042"/>
      <c r="BE12" s="1042"/>
    </row>
    <row r="13" spans="1:57" x14ac:dyDescent="0.25">
      <c r="A13" s="1305"/>
      <c r="B13" s="1357"/>
      <c r="C13" s="1357"/>
      <c r="D13" s="1357"/>
      <c r="E13" s="1357"/>
      <c r="F13" s="1357"/>
      <c r="G13" s="1357"/>
      <c r="H13" s="1357"/>
      <c r="I13" s="1357"/>
      <c r="J13" s="1357"/>
      <c r="K13" s="1305"/>
      <c r="L13" s="1305"/>
      <c r="M13" s="1305"/>
      <c r="N13" s="1305"/>
      <c r="O13" s="1305"/>
      <c r="P13" s="1305"/>
      <c r="Q13" s="1305"/>
      <c r="R13" s="1305"/>
      <c r="S13" s="1305"/>
      <c r="T13" s="1305"/>
      <c r="U13" s="1305"/>
      <c r="V13" s="1305"/>
      <c r="W13" s="1305"/>
      <c r="X13" s="1305"/>
      <c r="Y13" s="1305"/>
      <c r="Z13" s="1305"/>
      <c r="AA13" s="1305"/>
      <c r="AB13" s="1305"/>
      <c r="AC13" s="1305"/>
      <c r="AD13" s="1042"/>
      <c r="AE13" s="1042"/>
      <c r="AF13" s="1042"/>
      <c r="AG13" s="1042"/>
      <c r="AH13" s="1042"/>
      <c r="AI13" s="1042"/>
      <c r="AJ13" s="1042"/>
      <c r="AK13" s="1042"/>
      <c r="AL13" s="1042"/>
      <c r="AM13" s="1042"/>
      <c r="AN13" s="1042"/>
      <c r="AO13" s="1042"/>
      <c r="AP13" s="1042"/>
      <c r="AQ13" s="1042"/>
      <c r="AR13" s="1042"/>
      <c r="AS13" s="1042"/>
      <c r="AT13" s="1042"/>
      <c r="AU13" s="1042"/>
      <c r="AV13" s="1042"/>
      <c r="AW13" s="1042"/>
      <c r="AX13" s="1042"/>
      <c r="AY13" s="1042"/>
      <c r="AZ13" s="1042"/>
      <c r="BA13" s="1042"/>
      <c r="BB13" s="1042"/>
      <c r="BC13" s="1042"/>
      <c r="BD13" s="1042"/>
      <c r="BE13" s="1042"/>
    </row>
    <row r="14" spans="1:57" x14ac:dyDescent="0.25">
      <c r="A14" s="1305"/>
      <c r="B14" s="1357"/>
      <c r="C14" s="1357"/>
      <c r="D14" s="1357"/>
      <c r="E14" s="1357"/>
      <c r="F14" s="1357"/>
      <c r="G14" s="1357"/>
      <c r="H14" s="1357"/>
      <c r="I14" s="1357"/>
      <c r="J14" s="1357"/>
      <c r="K14" s="1305"/>
      <c r="L14" s="1305"/>
      <c r="M14" s="1305"/>
      <c r="N14" s="1305"/>
      <c r="O14" s="1305"/>
      <c r="P14" s="1305"/>
      <c r="Q14" s="1305"/>
      <c r="R14" s="1305"/>
      <c r="S14" s="1305"/>
      <c r="T14" s="1305"/>
      <c r="U14" s="1305"/>
      <c r="V14" s="1305"/>
      <c r="W14" s="1305"/>
      <c r="X14" s="1305"/>
      <c r="Y14" s="1305"/>
      <c r="Z14" s="1305"/>
      <c r="AA14" s="1305"/>
      <c r="AB14" s="1305"/>
      <c r="AC14" s="1305"/>
      <c r="AD14" s="1042"/>
      <c r="AE14" s="1042"/>
      <c r="AF14" s="1042"/>
      <c r="AG14" s="1042"/>
      <c r="AH14" s="1042"/>
      <c r="AI14" s="1042"/>
      <c r="AJ14" s="1042"/>
      <c r="AK14" s="1042"/>
      <c r="AL14" s="1042"/>
      <c r="AM14" s="1042"/>
      <c r="AN14" s="1042"/>
      <c r="AO14" s="1042"/>
      <c r="AP14" s="1042"/>
      <c r="AQ14" s="1042"/>
      <c r="AR14" s="1042"/>
      <c r="AS14" s="1042"/>
      <c r="AT14" s="1042"/>
      <c r="AU14" s="1042"/>
      <c r="AV14" s="1042"/>
      <c r="AW14" s="1042"/>
      <c r="AX14" s="1042"/>
      <c r="AY14" s="1042"/>
      <c r="AZ14" s="1042"/>
      <c r="BA14" s="1042"/>
      <c r="BB14" s="1042"/>
      <c r="BC14" s="1042"/>
      <c r="BD14" s="1042"/>
      <c r="BE14" s="1042"/>
    </row>
    <row r="15" spans="1:57" ht="13.8" x14ac:dyDescent="0.25">
      <c r="A15" s="1305"/>
      <c r="B15" s="1360" t="s">
        <v>406</v>
      </c>
      <c r="C15" s="1357"/>
      <c r="D15" s="1357"/>
      <c r="E15" s="1357"/>
      <c r="F15" s="1357"/>
      <c r="G15" s="1357"/>
      <c r="H15" s="1357"/>
      <c r="I15" s="1357"/>
      <c r="J15" s="1357"/>
      <c r="K15" s="1305"/>
      <c r="L15" s="1305"/>
      <c r="M15" s="1305"/>
      <c r="N15" s="1305"/>
      <c r="O15" s="1305"/>
      <c r="P15" s="1305"/>
      <c r="Q15" s="1305"/>
      <c r="R15" s="1305"/>
      <c r="S15" s="1305"/>
      <c r="T15" s="1305"/>
      <c r="U15" s="1305"/>
      <c r="V15" s="1305"/>
      <c r="W15" s="1305"/>
      <c r="X15" s="1305"/>
      <c r="Y15" s="1305"/>
      <c r="Z15" s="1305"/>
      <c r="AA15" s="1305"/>
      <c r="AB15" s="1305"/>
      <c r="AC15" s="1305"/>
      <c r="AD15" s="1042"/>
      <c r="AE15" s="1042"/>
      <c r="AF15" s="1042"/>
      <c r="AG15" s="1042"/>
      <c r="AH15" s="1042"/>
      <c r="AI15" s="1042"/>
      <c r="AJ15" s="1042"/>
      <c r="AK15" s="1042"/>
      <c r="AL15" s="1042"/>
      <c r="AM15" s="1042"/>
      <c r="AN15" s="1042"/>
      <c r="AO15" s="1042"/>
      <c r="AP15" s="1042"/>
      <c r="AQ15" s="1042"/>
      <c r="AR15" s="1042"/>
      <c r="AS15" s="1042"/>
      <c r="AT15" s="1042"/>
      <c r="AU15" s="1042"/>
      <c r="AV15" s="1042"/>
      <c r="AW15" s="1042"/>
      <c r="AX15" s="1042"/>
      <c r="AY15" s="1042"/>
      <c r="AZ15" s="1042"/>
      <c r="BA15" s="1042"/>
      <c r="BB15" s="1042"/>
      <c r="BC15" s="1042"/>
      <c r="BD15" s="1042"/>
      <c r="BE15" s="1042"/>
    </row>
    <row r="16" spans="1:57" ht="13.8" x14ac:dyDescent="0.25">
      <c r="A16" s="1305"/>
      <c r="B16" s="1360" t="s">
        <v>417</v>
      </c>
      <c r="C16" s="1357"/>
      <c r="D16" s="1357"/>
      <c r="E16" s="1357"/>
      <c r="F16" s="1357"/>
      <c r="G16" s="1357"/>
      <c r="H16" s="1357"/>
      <c r="I16" s="1357"/>
      <c r="J16" s="1357"/>
      <c r="K16" s="1305"/>
      <c r="L16" s="1305"/>
      <c r="M16" s="1305"/>
      <c r="N16" s="1305"/>
      <c r="O16" s="1305"/>
      <c r="P16" s="1305"/>
      <c r="Q16" s="1305"/>
      <c r="R16" s="1305"/>
      <c r="S16" s="1305"/>
      <c r="T16" s="1305"/>
      <c r="U16" s="1305"/>
      <c r="V16" s="1305"/>
      <c r="W16" s="1305"/>
      <c r="X16" s="1305"/>
      <c r="Y16" s="1305"/>
      <c r="Z16" s="1305"/>
      <c r="AA16" s="1305"/>
      <c r="AB16" s="1305"/>
      <c r="AC16" s="1305"/>
      <c r="AD16" s="1042"/>
      <c r="AE16" s="1042"/>
      <c r="AF16" s="1042"/>
      <c r="AG16" s="1042"/>
      <c r="AH16" s="1042"/>
      <c r="AI16" s="1042"/>
      <c r="AJ16" s="1042"/>
      <c r="AK16" s="1042"/>
      <c r="AL16" s="1042"/>
      <c r="AM16" s="1042"/>
      <c r="AN16" s="1042"/>
      <c r="AO16" s="1042"/>
      <c r="AP16" s="1042"/>
      <c r="AQ16" s="1042"/>
      <c r="AR16" s="1042"/>
      <c r="AS16" s="1042"/>
      <c r="AT16" s="1042"/>
      <c r="AU16" s="1042"/>
      <c r="AV16" s="1042"/>
      <c r="AW16" s="1042"/>
      <c r="AX16" s="1042"/>
      <c r="AY16" s="1042"/>
      <c r="AZ16" s="1042"/>
      <c r="BA16" s="1042"/>
      <c r="BB16" s="1042"/>
      <c r="BC16" s="1042"/>
      <c r="BD16" s="1042"/>
      <c r="BE16" s="1042"/>
    </row>
    <row r="17" spans="1:57" ht="13.8" x14ac:dyDescent="0.25">
      <c r="A17" s="1305"/>
      <c r="B17" s="1360" t="s">
        <v>419</v>
      </c>
      <c r="C17" s="1357"/>
      <c r="D17" s="1357"/>
      <c r="E17" s="1357"/>
      <c r="F17" s="1357"/>
      <c r="G17" s="1357"/>
      <c r="H17" s="1357"/>
      <c r="I17" s="1357"/>
      <c r="J17" s="1357"/>
      <c r="K17" s="1305"/>
      <c r="L17" s="1305"/>
      <c r="M17" s="1305"/>
      <c r="N17" s="1305"/>
      <c r="O17" s="1305"/>
      <c r="P17" s="1305"/>
      <c r="Q17" s="1305"/>
      <c r="R17" s="1305"/>
      <c r="S17" s="1305"/>
      <c r="T17" s="1305"/>
      <c r="U17" s="1305"/>
      <c r="V17" s="1305"/>
      <c r="W17" s="1305"/>
      <c r="X17" s="1305"/>
      <c r="Y17" s="1305"/>
      <c r="Z17" s="1305"/>
      <c r="AA17" s="1305"/>
      <c r="AB17" s="1305"/>
      <c r="AC17" s="1305"/>
      <c r="AD17" s="1042"/>
      <c r="AE17" s="1042"/>
      <c r="AF17" s="1042"/>
      <c r="AG17" s="1042"/>
      <c r="AH17" s="1042"/>
      <c r="AI17" s="1042"/>
      <c r="AJ17" s="1042"/>
      <c r="AK17" s="1042"/>
      <c r="AL17" s="1042"/>
      <c r="AM17" s="1042"/>
      <c r="AN17" s="1042"/>
      <c r="AO17" s="1042"/>
      <c r="AP17" s="1042"/>
      <c r="AQ17" s="1042"/>
      <c r="AR17" s="1042"/>
      <c r="AS17" s="1042"/>
      <c r="AT17" s="1042"/>
      <c r="AU17" s="1042"/>
      <c r="AV17" s="1042"/>
      <c r="AW17" s="1042"/>
      <c r="AX17" s="1042"/>
      <c r="AY17" s="1042"/>
      <c r="AZ17" s="1042"/>
      <c r="BA17" s="1042"/>
      <c r="BB17" s="1042"/>
      <c r="BC17" s="1042"/>
      <c r="BD17" s="1042"/>
      <c r="BE17" s="1042"/>
    </row>
    <row r="18" spans="1:57" ht="15.6" x14ac:dyDescent="0.25">
      <c r="A18" s="1305"/>
      <c r="B18" s="1309"/>
      <c r="C18" s="1305"/>
      <c r="D18" s="1357"/>
      <c r="E18" s="1305"/>
      <c r="F18" s="1305"/>
      <c r="G18" s="1305"/>
      <c r="H18" s="1305"/>
      <c r="I18" s="1305"/>
      <c r="J18" s="1305"/>
      <c r="K18" s="1305"/>
      <c r="L18" s="1305"/>
      <c r="M18" s="1305"/>
      <c r="N18" s="1305"/>
      <c r="O18" s="1305"/>
      <c r="P18" s="1305"/>
      <c r="Q18" s="1305"/>
      <c r="R18" s="1305"/>
      <c r="S18" s="1305"/>
      <c r="T18" s="1305"/>
      <c r="U18" s="1305"/>
      <c r="V18" s="1305"/>
      <c r="W18" s="1305"/>
      <c r="X18" s="1305"/>
      <c r="Y18" s="1305"/>
      <c r="Z18" s="1305"/>
      <c r="AA18" s="1305"/>
      <c r="AB18" s="1305"/>
      <c r="AC18" s="1305"/>
      <c r="AD18" s="1042"/>
      <c r="AE18" s="1042"/>
      <c r="AF18" s="1042"/>
      <c r="AG18" s="1042"/>
      <c r="AH18" s="1042"/>
      <c r="AI18" s="1042"/>
      <c r="AJ18" s="1042"/>
      <c r="AK18" s="1042"/>
      <c r="AL18" s="1042"/>
      <c r="AM18" s="1042"/>
      <c r="AN18" s="1042"/>
      <c r="AO18" s="1042"/>
      <c r="AP18" s="1042"/>
      <c r="AQ18" s="1042"/>
      <c r="AR18" s="1042"/>
      <c r="AS18" s="1042"/>
      <c r="AT18" s="1042"/>
      <c r="AU18" s="1042"/>
      <c r="AV18" s="1042"/>
      <c r="AW18" s="1042"/>
      <c r="AX18" s="1042"/>
      <c r="AY18" s="1042"/>
      <c r="AZ18" s="1042"/>
      <c r="BA18" s="1042"/>
      <c r="BB18" s="1042"/>
      <c r="BC18" s="1042"/>
      <c r="BD18" s="1042"/>
      <c r="BE18" s="1042"/>
    </row>
    <row r="19" spans="1:57" ht="13.8" thickBot="1" x14ac:dyDescent="0.3">
      <c r="A19" s="1305"/>
      <c r="B19" s="1305"/>
      <c r="C19" s="1305"/>
      <c r="D19" s="1305"/>
      <c r="E19" s="1305"/>
      <c r="F19" s="1305"/>
      <c r="G19" s="1305"/>
      <c r="H19" s="1305"/>
      <c r="I19" s="1305"/>
      <c r="J19" s="1305"/>
      <c r="K19" s="1305"/>
      <c r="L19" s="1305"/>
      <c r="M19" s="1305"/>
      <c r="N19" s="1305"/>
      <c r="O19" s="1305"/>
      <c r="P19" s="1305"/>
      <c r="Q19" s="1305"/>
      <c r="R19" s="1305"/>
      <c r="S19" s="1305"/>
      <c r="T19" s="1305"/>
      <c r="U19" s="1305"/>
      <c r="V19" s="1305"/>
      <c r="W19" s="1305"/>
      <c r="X19" s="1305"/>
      <c r="Y19" s="1305"/>
      <c r="Z19" s="1305"/>
      <c r="AA19" s="1305"/>
      <c r="AB19" s="1305"/>
      <c r="AC19" s="1305"/>
      <c r="AD19" s="1042"/>
      <c r="AE19" s="1042"/>
      <c r="AF19" s="1042"/>
      <c r="AG19" s="1042"/>
      <c r="AH19" s="1042"/>
      <c r="AI19" s="1042"/>
      <c r="AJ19" s="1042"/>
      <c r="AK19" s="1042"/>
      <c r="AL19" s="1042"/>
      <c r="AM19" s="1042"/>
      <c r="AN19" s="1042"/>
      <c r="AO19" s="1042"/>
      <c r="AP19" s="1042"/>
      <c r="AQ19" s="1042"/>
      <c r="AR19" s="1042"/>
      <c r="AS19" s="1042"/>
      <c r="AT19" s="1042"/>
      <c r="AU19" s="1042"/>
      <c r="AV19" s="1042"/>
      <c r="AW19" s="1042"/>
      <c r="AX19" s="1042"/>
      <c r="AY19" s="1042"/>
      <c r="AZ19" s="1042"/>
      <c r="BA19" s="1042"/>
      <c r="BB19" s="1042"/>
      <c r="BC19" s="1042"/>
      <c r="BD19" s="1042"/>
      <c r="BE19" s="1042"/>
    </row>
    <row r="20" spans="1:57" ht="44.25" customHeight="1" x14ac:dyDescent="0.25">
      <c r="A20" s="1305"/>
      <c r="B20" s="1361" t="s">
        <v>405</v>
      </c>
      <c r="C20" s="1362"/>
      <c r="D20" s="1362"/>
      <c r="E20" s="1362"/>
      <c r="F20" s="1363"/>
      <c r="G20" s="1305"/>
      <c r="H20" s="1305"/>
      <c r="I20" s="1305"/>
      <c r="J20" s="1305"/>
      <c r="K20" s="1305"/>
      <c r="L20" s="1305"/>
      <c r="M20" s="1305"/>
      <c r="N20" s="1305"/>
      <c r="O20" s="1305"/>
      <c r="P20" s="1305"/>
      <c r="Q20" s="1305"/>
      <c r="R20" s="1305"/>
      <c r="S20" s="1305"/>
      <c r="T20" s="1305"/>
      <c r="U20" s="1305"/>
      <c r="V20" s="1305"/>
      <c r="W20" s="1305"/>
      <c r="X20" s="1305"/>
      <c r="Y20" s="1305"/>
      <c r="Z20" s="1305"/>
      <c r="AA20" s="1305"/>
      <c r="AB20" s="1305"/>
      <c r="AC20" s="1305"/>
      <c r="AD20" s="1042"/>
      <c r="AE20" s="1042"/>
      <c r="AF20" s="1042"/>
      <c r="AG20" s="1042"/>
      <c r="AH20" s="1042"/>
      <c r="AI20" s="1042"/>
      <c r="AJ20" s="1042"/>
      <c r="AK20" s="1042"/>
      <c r="AL20" s="1042"/>
      <c r="AM20" s="1042"/>
      <c r="AN20" s="1042"/>
      <c r="AO20" s="1042"/>
      <c r="AP20" s="1042"/>
      <c r="AQ20" s="1042"/>
      <c r="AR20" s="1042"/>
      <c r="AS20" s="1042"/>
      <c r="AT20" s="1042"/>
      <c r="AU20" s="1042"/>
      <c r="AV20" s="1042"/>
      <c r="AW20" s="1042"/>
      <c r="AX20" s="1042"/>
      <c r="AY20" s="1042"/>
      <c r="AZ20" s="1042"/>
      <c r="BA20" s="1042"/>
      <c r="BB20" s="1042"/>
      <c r="BC20" s="1042"/>
      <c r="BD20" s="1042"/>
      <c r="BE20" s="1042"/>
    </row>
    <row r="21" spans="1:57" ht="13.8" x14ac:dyDescent="0.25">
      <c r="A21" s="1305"/>
      <c r="B21" s="1311" t="s">
        <v>1307</v>
      </c>
      <c r="C21" s="482">
        <f ca="1">Feed_CO2_MTpY</f>
        <v>1581600</v>
      </c>
      <c r="D21" s="1559" t="s">
        <v>407</v>
      </c>
      <c r="E21" s="1559"/>
      <c r="F21" s="1560"/>
      <c r="G21" s="1305"/>
      <c r="H21" s="1305"/>
      <c r="I21" s="1305"/>
      <c r="J21" s="1305"/>
      <c r="K21" s="1305"/>
      <c r="L21" s="1305"/>
      <c r="M21" s="1305"/>
      <c r="N21" s="1305"/>
      <c r="O21" s="1305"/>
      <c r="P21" s="1305"/>
      <c r="Q21" s="1305"/>
      <c r="R21" s="1305"/>
      <c r="S21" s="1305"/>
      <c r="T21" s="1305"/>
      <c r="U21" s="1305"/>
      <c r="V21" s="1305"/>
      <c r="W21" s="1305"/>
      <c r="X21" s="1305"/>
      <c r="Y21" s="1305"/>
      <c r="Z21" s="1305"/>
      <c r="AA21" s="1305"/>
      <c r="AB21" s="1305"/>
      <c r="AC21" s="1305"/>
      <c r="AD21" s="1042"/>
      <c r="AE21" s="1042"/>
      <c r="AF21" s="1042"/>
      <c r="AG21" s="1042"/>
      <c r="AH21" s="1042"/>
      <c r="AI21" s="1042"/>
      <c r="AJ21" s="1042"/>
      <c r="AK21" s="1042"/>
      <c r="AL21" s="1042"/>
      <c r="AM21" s="1042"/>
      <c r="AN21" s="1042"/>
      <c r="AO21" s="1042"/>
      <c r="AP21" s="1042"/>
      <c r="AQ21" s="1042"/>
      <c r="AR21" s="1042"/>
      <c r="AS21" s="1042"/>
      <c r="AT21" s="1042"/>
      <c r="AU21" s="1042"/>
      <c r="AV21" s="1042"/>
      <c r="AW21" s="1042"/>
      <c r="AX21" s="1042"/>
      <c r="AY21" s="1042"/>
      <c r="AZ21" s="1042"/>
      <c r="BA21" s="1042"/>
      <c r="BB21" s="1042"/>
      <c r="BC21" s="1042"/>
      <c r="BD21" s="1042"/>
      <c r="BE21" s="1042"/>
    </row>
    <row r="22" spans="1:57" ht="14.25" customHeight="1" x14ac:dyDescent="0.25">
      <c r="A22" s="1305"/>
      <c r="B22" s="1311" t="s">
        <v>1308</v>
      </c>
      <c r="C22" s="483">
        <f ca="1">Feed_CO2_kgpkgH2</f>
        <v>9.9682398293291374</v>
      </c>
      <c r="D22" s="1364"/>
      <c r="E22" s="1364"/>
      <c r="F22" s="1365"/>
      <c r="G22" s="1305"/>
      <c r="H22" s="1305"/>
      <c r="I22" s="1305"/>
      <c r="J22" s="1305"/>
      <c r="K22" s="1305"/>
      <c r="L22" s="1305"/>
      <c r="M22" s="1305"/>
      <c r="N22" s="1305"/>
      <c r="O22" s="1305"/>
      <c r="P22" s="1305"/>
      <c r="Q22" s="1305"/>
      <c r="R22" s="1305"/>
      <c r="S22" s="1305"/>
      <c r="T22" s="1305"/>
      <c r="U22" s="1305"/>
      <c r="V22" s="1305"/>
      <c r="W22" s="1305"/>
      <c r="X22" s="1305"/>
      <c r="Y22" s="1305"/>
      <c r="Z22" s="1305"/>
      <c r="AA22" s="1305"/>
      <c r="AB22" s="1305"/>
      <c r="AC22" s="1305"/>
      <c r="AD22" s="1042"/>
      <c r="AE22" s="1042"/>
      <c r="AF22" s="1042"/>
      <c r="AG22" s="1042"/>
      <c r="AH22" s="1042"/>
      <c r="AI22" s="1042"/>
      <c r="AJ22" s="1042"/>
      <c r="AK22" s="1042"/>
      <c r="AL22" s="1042"/>
      <c r="AM22" s="1042"/>
      <c r="AN22" s="1042"/>
      <c r="AO22" s="1042"/>
      <c r="AP22" s="1042"/>
      <c r="AQ22" s="1042"/>
      <c r="AR22" s="1042"/>
      <c r="AS22" s="1042"/>
      <c r="AT22" s="1042"/>
      <c r="AU22" s="1042"/>
      <c r="AV22" s="1042"/>
      <c r="AW22" s="1042"/>
      <c r="AX22" s="1042"/>
      <c r="AY22" s="1042"/>
      <c r="AZ22" s="1042"/>
      <c r="BA22" s="1042"/>
      <c r="BB22" s="1042"/>
      <c r="BC22" s="1042"/>
      <c r="BD22" s="1042"/>
      <c r="BE22" s="1042"/>
    </row>
    <row r="23" spans="1:57" ht="14.25" customHeight="1" x14ac:dyDescent="0.25">
      <c r="A23" s="1305"/>
      <c r="B23" s="1311" t="s">
        <v>1305</v>
      </c>
      <c r="C23" s="1376">
        <f ca="1">Feed_CO2_MTpY/365*CO2_Capture_Efficiency</f>
        <v>4172.6357783102521</v>
      </c>
      <c r="D23" s="1364"/>
      <c r="E23" s="1364"/>
      <c r="F23" s="1365"/>
      <c r="G23" s="1305"/>
      <c r="H23" s="1305"/>
      <c r="I23" s="1305"/>
      <c r="J23" s="1305"/>
      <c r="K23" s="1305"/>
      <c r="L23" s="1305"/>
      <c r="M23" s="1305"/>
      <c r="N23" s="1305"/>
      <c r="O23" s="1305"/>
      <c r="P23" s="1305"/>
      <c r="Q23" s="1305"/>
      <c r="R23" s="1305"/>
      <c r="S23" s="1305"/>
      <c r="T23" s="1305"/>
      <c r="U23" s="1305"/>
      <c r="V23" s="1305"/>
      <c r="W23" s="1305"/>
      <c r="X23" s="1305"/>
      <c r="Y23" s="1305"/>
      <c r="Z23" s="1305"/>
      <c r="AA23" s="1305"/>
      <c r="AB23" s="1305"/>
      <c r="AC23" s="1305"/>
      <c r="AD23" s="1042"/>
      <c r="AE23" s="1042"/>
      <c r="AF23" s="1042"/>
      <c r="AG23" s="1042"/>
      <c r="AH23" s="1042"/>
      <c r="AI23" s="1042"/>
      <c r="AJ23" s="1042"/>
      <c r="AK23" s="1042"/>
      <c r="AL23" s="1042"/>
      <c r="AM23" s="1042"/>
      <c r="AN23" s="1042"/>
      <c r="AO23" s="1042"/>
      <c r="AP23" s="1042"/>
      <c r="AQ23" s="1042"/>
      <c r="AR23" s="1042"/>
      <c r="AS23" s="1042"/>
      <c r="AT23" s="1042"/>
      <c r="AU23" s="1042"/>
      <c r="AV23" s="1042"/>
      <c r="AW23" s="1042"/>
      <c r="AX23" s="1042"/>
      <c r="AY23" s="1042"/>
      <c r="AZ23" s="1042"/>
      <c r="BA23" s="1042"/>
      <c r="BB23" s="1042"/>
      <c r="BC23" s="1042"/>
      <c r="BD23" s="1042"/>
      <c r="BE23" s="1042"/>
    </row>
    <row r="24" spans="1:57" ht="14.25" customHeight="1" thickBot="1" x14ac:dyDescent="0.3">
      <c r="A24" s="1305"/>
      <c r="B24" s="1312" t="s">
        <v>1306</v>
      </c>
      <c r="C24" s="1313">
        <f ca="1">CO2_flowrate*365/1000000</f>
        <v>1.5230120590832419</v>
      </c>
      <c r="D24" s="1449"/>
      <c r="E24" s="1449"/>
      <c r="F24" s="1450"/>
      <c r="G24" s="1305"/>
      <c r="H24" s="1305"/>
      <c r="I24" s="1305"/>
      <c r="J24" s="1305"/>
      <c r="K24" s="1305"/>
      <c r="L24" s="1305"/>
      <c r="M24" s="1305"/>
      <c r="N24" s="1305"/>
      <c r="O24" s="1305"/>
      <c r="P24" s="1305"/>
      <c r="Q24" s="1305"/>
      <c r="R24" s="1305"/>
      <c r="S24" s="1305"/>
      <c r="T24" s="1305"/>
      <c r="U24" s="1305"/>
      <c r="V24" s="1305"/>
      <c r="W24" s="1305"/>
      <c r="X24" s="1305"/>
      <c r="Y24" s="1305"/>
      <c r="Z24" s="1305"/>
      <c r="AA24" s="1305"/>
      <c r="AB24" s="1305"/>
      <c r="AC24" s="1305"/>
      <c r="AD24" s="1042"/>
      <c r="AE24" s="1042"/>
      <c r="AF24" s="1042"/>
      <c r="AG24" s="1042"/>
      <c r="AH24" s="1042"/>
      <c r="AI24" s="1042"/>
      <c r="AJ24" s="1042"/>
      <c r="AK24" s="1042"/>
      <c r="AL24" s="1042"/>
      <c r="AM24" s="1042"/>
      <c r="AN24" s="1042"/>
      <c r="AO24" s="1042"/>
      <c r="AP24" s="1042"/>
      <c r="AQ24" s="1042"/>
      <c r="AR24" s="1042"/>
      <c r="AS24" s="1042"/>
      <c r="AT24" s="1042"/>
      <c r="AU24" s="1042"/>
      <c r="AV24" s="1042"/>
      <c r="AW24" s="1042"/>
      <c r="AX24" s="1042"/>
      <c r="AY24" s="1042"/>
      <c r="AZ24" s="1042"/>
      <c r="BA24" s="1042"/>
      <c r="BB24" s="1042"/>
      <c r="BC24" s="1042"/>
      <c r="BD24" s="1042"/>
      <c r="BE24" s="1042"/>
    </row>
    <row r="25" spans="1:57" ht="18.75" customHeight="1" thickBot="1" x14ac:dyDescent="0.3">
      <c r="A25" s="1305"/>
      <c r="B25" s="1305"/>
      <c r="C25" s="1305"/>
      <c r="D25" s="1305"/>
      <c r="E25" s="1305"/>
      <c r="F25" s="1305"/>
      <c r="G25" s="1305"/>
      <c r="H25" s="1305"/>
      <c r="I25" s="1305"/>
      <c r="J25" s="1305"/>
      <c r="K25" s="1305"/>
      <c r="L25" s="1305"/>
      <c r="M25" s="1305"/>
      <c r="N25" s="1305"/>
      <c r="O25" s="1305"/>
      <c r="P25" s="1305"/>
      <c r="Q25" s="1305"/>
      <c r="R25" s="1305"/>
      <c r="S25" s="1305"/>
      <c r="T25" s="1305"/>
      <c r="U25" s="1305"/>
      <c r="V25" s="1305"/>
      <c r="W25" s="1305"/>
      <c r="X25" s="1305"/>
      <c r="Y25" s="1305"/>
      <c r="Z25" s="1305"/>
      <c r="AA25" s="1305"/>
      <c r="AB25" s="1305"/>
      <c r="AC25" s="1305"/>
      <c r="AD25" s="1042"/>
      <c r="AE25" s="1042"/>
      <c r="AF25" s="1042"/>
      <c r="AG25" s="1042"/>
      <c r="AH25" s="1042"/>
      <c r="AI25" s="1042"/>
      <c r="AJ25" s="1042"/>
      <c r="AK25" s="1042"/>
      <c r="AL25" s="1042"/>
      <c r="AM25" s="1042"/>
      <c r="AN25" s="1042"/>
      <c r="AO25" s="1042"/>
      <c r="AP25" s="1042"/>
      <c r="AQ25" s="1042"/>
      <c r="AR25" s="1042"/>
      <c r="AS25" s="1042"/>
      <c r="AT25" s="1042"/>
      <c r="AU25" s="1042"/>
      <c r="AV25" s="1042"/>
      <c r="AW25" s="1042"/>
      <c r="AX25" s="1042"/>
      <c r="AY25" s="1042"/>
      <c r="AZ25" s="1042"/>
      <c r="BA25" s="1042"/>
      <c r="BB25" s="1042"/>
      <c r="BC25" s="1042"/>
      <c r="BD25" s="1042"/>
      <c r="BE25" s="1042"/>
    </row>
    <row r="26" spans="1:57" ht="19.5" customHeight="1" thickTop="1" thickBot="1" x14ac:dyDescent="0.3">
      <c r="A26" s="1305"/>
      <c r="B26" s="1366" t="s">
        <v>406</v>
      </c>
      <c r="C26" s="1367"/>
      <c r="D26" s="1368"/>
      <c r="E26" s="1368"/>
      <c r="F26" s="1369"/>
      <c r="G26" s="1305"/>
      <c r="H26" s="1305"/>
      <c r="I26" s="1305"/>
      <c r="J26" s="1305"/>
      <c r="K26" s="1305"/>
      <c r="L26" s="1305"/>
      <c r="M26" s="1305"/>
      <c r="N26" s="1305"/>
      <c r="O26" s="1305"/>
      <c r="P26" s="1305"/>
      <c r="Q26" s="1305"/>
      <c r="R26" s="1305"/>
      <c r="S26" s="1305"/>
      <c r="T26" s="1305"/>
      <c r="U26" s="1305"/>
      <c r="V26" s="1305"/>
      <c r="W26" s="1305"/>
      <c r="X26" s="1305"/>
      <c r="Y26" s="1305"/>
      <c r="Z26" s="1305"/>
      <c r="AA26" s="1305"/>
      <c r="AB26" s="1305"/>
      <c r="AC26" s="1305"/>
      <c r="AD26" s="1042"/>
      <c r="AE26" s="1042"/>
      <c r="AF26" s="1042"/>
      <c r="AG26" s="1042"/>
      <c r="AH26" s="1042"/>
      <c r="AI26" s="1042"/>
      <c r="AJ26" s="1042"/>
      <c r="AK26" s="1042"/>
      <c r="AL26" s="1042"/>
      <c r="AM26" s="1042"/>
      <c r="AN26" s="1042"/>
      <c r="AO26" s="1042"/>
      <c r="AP26" s="1042"/>
      <c r="AQ26" s="1042"/>
      <c r="AR26" s="1042"/>
      <c r="AS26" s="1042"/>
      <c r="AT26" s="1042"/>
      <c r="AU26" s="1042"/>
      <c r="AV26" s="1042"/>
      <c r="AW26" s="1042"/>
      <c r="AX26" s="1042"/>
      <c r="AY26" s="1042"/>
      <c r="AZ26" s="1042"/>
      <c r="BA26" s="1042"/>
      <c r="BB26" s="1042"/>
      <c r="BC26" s="1042"/>
      <c r="BD26" s="1042"/>
      <c r="BE26" s="1042"/>
    </row>
    <row r="27" spans="1:57" ht="13.8" x14ac:dyDescent="0.25">
      <c r="A27" s="1305"/>
      <c r="B27" s="1308" t="s">
        <v>1178</v>
      </c>
      <c r="C27" s="1370"/>
      <c r="D27" s="1370"/>
      <c r="E27" s="1370"/>
      <c r="F27" s="1371"/>
      <c r="G27" s="1305"/>
      <c r="H27" s="1305"/>
      <c r="I27" s="1305"/>
      <c r="J27" s="1305"/>
      <c r="K27" s="1305"/>
      <c r="L27" s="1305"/>
      <c r="M27" s="1305"/>
      <c r="N27" s="1305"/>
      <c r="O27" s="1305"/>
      <c r="P27" s="1305"/>
      <c r="Q27" s="1305"/>
      <c r="R27" s="1305"/>
      <c r="S27" s="1305"/>
      <c r="T27" s="1305"/>
      <c r="U27" s="1305"/>
      <c r="V27" s="1305"/>
      <c r="W27" s="1305"/>
      <c r="X27" s="1305"/>
      <c r="Y27" s="1305"/>
      <c r="Z27" s="1305"/>
      <c r="AA27" s="1305"/>
      <c r="AB27" s="1305"/>
      <c r="AC27" s="1305"/>
      <c r="AD27" s="1042"/>
      <c r="AE27" s="1042"/>
      <c r="AF27" s="1042"/>
      <c r="AG27" s="1042"/>
      <c r="AH27" s="1042"/>
      <c r="AI27" s="1042"/>
      <c r="AJ27" s="1042"/>
      <c r="AK27" s="1042"/>
      <c r="AL27" s="1042"/>
      <c r="AM27" s="1042"/>
      <c r="AN27" s="1042"/>
      <c r="AO27" s="1042"/>
      <c r="AP27" s="1042"/>
      <c r="AQ27" s="1042"/>
      <c r="AR27" s="1042"/>
      <c r="AS27" s="1042"/>
      <c r="AT27" s="1042"/>
      <c r="AU27" s="1042"/>
      <c r="AV27" s="1042"/>
      <c r="AW27" s="1042"/>
      <c r="AX27" s="1042"/>
      <c r="AY27" s="1042"/>
      <c r="AZ27" s="1042"/>
      <c r="BA27" s="1042"/>
      <c r="BB27" s="1042"/>
      <c r="BC27" s="1042"/>
      <c r="BD27" s="1042"/>
      <c r="BE27" s="1042"/>
    </row>
    <row r="28" spans="1:57" ht="14.4" customHeight="1" x14ac:dyDescent="0.25">
      <c r="A28" s="1305"/>
      <c r="B28" s="1306" t="s">
        <v>973</v>
      </c>
      <c r="C28" s="1310">
        <f>+ProcessFlow!V15</f>
        <v>0.96295653710371909</v>
      </c>
      <c r="D28" s="1372"/>
      <c r="E28" s="1561" t="s">
        <v>1185</v>
      </c>
      <c r="F28" s="1562"/>
      <c r="G28" s="1305"/>
      <c r="H28" s="1305"/>
      <c r="I28" s="1305"/>
      <c r="J28" s="1305"/>
      <c r="K28" s="1305"/>
      <c r="L28" s="1305"/>
      <c r="M28" s="1305"/>
      <c r="N28" s="1305"/>
      <c r="O28" s="1305"/>
      <c r="P28" s="1305"/>
      <c r="Q28" s="1305"/>
      <c r="R28" s="1305"/>
      <c r="S28" s="1305"/>
      <c r="T28" s="1305"/>
      <c r="U28" s="1305"/>
      <c r="V28" s="1305"/>
      <c r="W28" s="1305"/>
      <c r="X28" s="1305"/>
      <c r="Y28" s="1305"/>
      <c r="Z28" s="1305"/>
      <c r="AA28" s="1305"/>
      <c r="AB28" s="1305"/>
      <c r="AC28" s="1305"/>
      <c r="AD28" s="1042"/>
      <c r="AE28" s="1042"/>
      <c r="AF28" s="1042"/>
      <c r="AG28" s="1042"/>
      <c r="AH28" s="1042"/>
      <c r="AI28" s="1042"/>
      <c r="AJ28" s="1042"/>
      <c r="AK28" s="1042"/>
      <c r="AL28" s="1042"/>
      <c r="AM28" s="1042"/>
      <c r="AN28" s="1042"/>
      <c r="AO28" s="1042"/>
      <c r="AP28" s="1042"/>
      <c r="AQ28" s="1042"/>
      <c r="AR28" s="1042"/>
      <c r="AS28" s="1042"/>
      <c r="AT28" s="1042"/>
      <c r="AU28" s="1042"/>
      <c r="AV28" s="1042"/>
      <c r="AW28" s="1042"/>
      <c r="AX28" s="1042"/>
      <c r="AY28" s="1042"/>
      <c r="AZ28" s="1042"/>
      <c r="BA28" s="1042"/>
      <c r="BB28" s="1042"/>
      <c r="BC28" s="1042"/>
      <c r="BD28" s="1042"/>
      <c r="BE28" s="1042"/>
    </row>
    <row r="29" spans="1:57" ht="14.4" customHeight="1" x14ac:dyDescent="0.25">
      <c r="A29" s="1305"/>
      <c r="B29" s="1306" t="s">
        <v>1387</v>
      </c>
      <c r="C29" s="1310">
        <f ca="1">+cap_factor</f>
        <v>0.9</v>
      </c>
      <c r="D29" s="1372"/>
      <c r="E29" s="1413"/>
      <c r="F29" s="1414"/>
      <c r="G29" s="1305"/>
      <c r="H29" s="1305"/>
      <c r="I29" s="1305"/>
      <c r="J29" s="1305"/>
      <c r="K29" s="1305"/>
      <c r="L29" s="1305"/>
      <c r="M29" s="1305"/>
      <c r="N29" s="1305"/>
      <c r="O29" s="1305"/>
      <c r="P29" s="1305"/>
      <c r="Q29" s="1305"/>
      <c r="R29" s="1305"/>
      <c r="S29" s="1305"/>
      <c r="T29" s="1305"/>
      <c r="U29" s="1305"/>
      <c r="V29" s="1305"/>
      <c r="W29" s="1305"/>
      <c r="X29" s="1305"/>
      <c r="Y29" s="1305"/>
      <c r="Z29" s="1305"/>
      <c r="AA29" s="1305"/>
      <c r="AB29" s="1305"/>
      <c r="AC29" s="1305"/>
      <c r="AD29" s="1042"/>
      <c r="AE29" s="1042"/>
      <c r="AF29" s="1042"/>
      <c r="AG29" s="1042"/>
      <c r="AH29" s="1042"/>
      <c r="AI29" s="1042"/>
      <c r="AJ29" s="1042"/>
      <c r="AK29" s="1042"/>
      <c r="AL29" s="1042"/>
      <c r="AM29" s="1042"/>
      <c r="AN29" s="1042"/>
      <c r="AO29" s="1042"/>
      <c r="AP29" s="1042"/>
      <c r="AQ29" s="1042"/>
      <c r="AR29" s="1042"/>
      <c r="AS29" s="1042"/>
      <c r="AT29" s="1042"/>
      <c r="AU29" s="1042"/>
      <c r="AV29" s="1042"/>
      <c r="AW29" s="1042"/>
      <c r="AX29" s="1042"/>
      <c r="AY29" s="1042"/>
      <c r="AZ29" s="1042"/>
      <c r="BA29" s="1042"/>
      <c r="BB29" s="1042"/>
      <c r="BC29" s="1042"/>
      <c r="BD29" s="1042"/>
      <c r="BE29" s="1042"/>
    </row>
    <row r="30" spans="1:57" ht="14.25" customHeight="1" x14ac:dyDescent="0.25">
      <c r="A30" s="1305"/>
      <c r="B30" s="1306" t="s">
        <v>1421</v>
      </c>
      <c r="C30" s="1326">
        <v>160</v>
      </c>
      <c r="D30" s="1372"/>
      <c r="E30" s="1322"/>
      <c r="F30" s="1323"/>
      <c r="G30" s="1305"/>
      <c r="H30" s="1305"/>
      <c r="I30" s="1305"/>
      <c r="J30" s="1305"/>
      <c r="K30" s="1305"/>
      <c r="L30" s="1305"/>
      <c r="M30" s="1305"/>
      <c r="N30" s="1305"/>
      <c r="O30" s="1305"/>
      <c r="P30" s="1305"/>
      <c r="Q30" s="1305"/>
      <c r="R30" s="1305"/>
      <c r="S30" s="1305"/>
      <c r="T30" s="1305"/>
      <c r="U30" s="1305"/>
      <c r="V30" s="1305"/>
      <c r="W30" s="1305"/>
      <c r="X30" s="1305"/>
      <c r="Y30" s="1305"/>
      <c r="Z30" s="1305"/>
      <c r="AA30" s="1305"/>
      <c r="AB30" s="1305"/>
      <c r="AC30" s="1305"/>
      <c r="AD30" s="1042"/>
      <c r="AE30" s="1042"/>
      <c r="AF30" s="1042"/>
      <c r="AG30" s="1042"/>
      <c r="AH30" s="1042"/>
      <c r="AI30" s="1042"/>
      <c r="AJ30" s="1042"/>
      <c r="AK30" s="1042"/>
      <c r="AL30" s="1042"/>
      <c r="AM30" s="1042"/>
      <c r="AN30" s="1042"/>
      <c r="AO30" s="1042"/>
      <c r="AP30" s="1042"/>
      <c r="AQ30" s="1042"/>
      <c r="AR30" s="1042"/>
      <c r="AS30" s="1042"/>
      <c r="AT30" s="1042"/>
      <c r="AU30" s="1042"/>
      <c r="AV30" s="1042"/>
      <c r="AW30" s="1042"/>
      <c r="AX30" s="1042"/>
      <c r="AY30" s="1042"/>
      <c r="AZ30" s="1042"/>
      <c r="BA30" s="1042"/>
      <c r="BB30" s="1042"/>
      <c r="BC30" s="1042"/>
      <c r="BD30" s="1042"/>
      <c r="BE30" s="1042"/>
    </row>
    <row r="31" spans="1:57" ht="13.8" x14ac:dyDescent="0.25">
      <c r="A31" s="1305"/>
      <c r="B31" s="1306" t="s">
        <v>1309</v>
      </c>
      <c r="C31" s="1047">
        <v>0</v>
      </c>
      <c r="D31" s="1372"/>
      <c r="E31" s="1324"/>
      <c r="F31" s="1325"/>
      <c r="G31" s="1305"/>
      <c r="H31" s="1305"/>
      <c r="I31" s="1305"/>
      <c r="J31" s="1305"/>
      <c r="K31" s="1305"/>
      <c r="L31" s="1305"/>
      <c r="M31" s="1305"/>
      <c r="N31" s="1305"/>
      <c r="O31" s="1305"/>
      <c r="P31" s="1305"/>
      <c r="Q31" s="1305"/>
      <c r="R31" s="1305"/>
      <c r="S31" s="1305"/>
      <c r="T31" s="1305"/>
      <c r="U31" s="1305"/>
      <c r="V31" s="1305"/>
      <c r="W31" s="1305"/>
      <c r="X31" s="1305"/>
      <c r="Y31" s="1305"/>
      <c r="Z31" s="1305"/>
      <c r="AA31" s="1305"/>
      <c r="AB31" s="1305"/>
      <c r="AC31" s="1305"/>
      <c r="AD31" s="1042"/>
      <c r="AE31" s="1042"/>
      <c r="AF31" s="1042"/>
      <c r="AG31" s="1042"/>
      <c r="AH31" s="1042"/>
      <c r="AI31" s="1042"/>
      <c r="AJ31" s="1042"/>
      <c r="AK31" s="1042"/>
      <c r="AL31" s="1042"/>
      <c r="AM31" s="1042"/>
      <c r="AN31" s="1042"/>
      <c r="AO31" s="1042"/>
      <c r="AP31" s="1042"/>
      <c r="AQ31" s="1042"/>
      <c r="AR31" s="1042"/>
      <c r="AS31" s="1042"/>
      <c r="AT31" s="1042"/>
      <c r="AU31" s="1042"/>
      <c r="AV31" s="1042"/>
      <c r="AW31" s="1042"/>
      <c r="AX31" s="1042"/>
      <c r="AY31" s="1042"/>
      <c r="AZ31" s="1042"/>
      <c r="BA31" s="1042"/>
      <c r="BB31" s="1042"/>
      <c r="BC31" s="1042"/>
      <c r="BD31" s="1042"/>
      <c r="BE31" s="1042"/>
    </row>
    <row r="32" spans="1:57" ht="13.95" customHeight="1" thickBot="1" x14ac:dyDescent="0.3">
      <c r="A32" s="1305"/>
      <c r="B32" s="1307" t="s">
        <v>0</v>
      </c>
      <c r="C32" s="1052">
        <f ca="1">+'Cash Flow Analysis'!E22</f>
        <v>8.3860161500585326E-2</v>
      </c>
      <c r="D32" s="1373"/>
      <c r="E32" s="1551"/>
      <c r="F32" s="1552"/>
      <c r="G32" s="1305"/>
      <c r="H32" s="1305"/>
      <c r="I32" s="1305"/>
      <c r="J32" s="1305"/>
      <c r="K32" s="1305"/>
      <c r="L32" s="1305"/>
      <c r="M32" s="1305"/>
      <c r="N32" s="1305"/>
      <c r="O32" s="1305"/>
      <c r="P32" s="1305"/>
      <c r="Q32" s="1305"/>
      <c r="R32" s="1305"/>
      <c r="S32" s="1305"/>
      <c r="T32" s="1305"/>
      <c r="U32" s="1305"/>
      <c r="V32" s="1305"/>
      <c r="W32" s="1305"/>
      <c r="X32" s="1305"/>
      <c r="Y32" s="1305"/>
      <c r="Z32" s="1305"/>
      <c r="AA32" s="1305"/>
      <c r="AB32" s="1305"/>
      <c r="AC32" s="1305"/>
      <c r="AD32" s="1042"/>
      <c r="AE32" s="1042"/>
      <c r="AF32" s="1042"/>
      <c r="AG32" s="1042"/>
      <c r="AH32" s="1042"/>
      <c r="AI32" s="1042"/>
      <c r="AJ32" s="1042"/>
      <c r="AK32" s="1042"/>
      <c r="AL32" s="1042"/>
      <c r="AM32" s="1042"/>
      <c r="AN32" s="1042"/>
      <c r="AO32" s="1042"/>
      <c r="AP32" s="1042"/>
      <c r="AQ32" s="1042"/>
      <c r="AR32" s="1042"/>
      <c r="AS32" s="1042"/>
      <c r="AT32" s="1042"/>
      <c r="AU32" s="1042"/>
      <c r="AV32" s="1042"/>
      <c r="AW32" s="1042"/>
      <c r="AX32" s="1042"/>
      <c r="AY32" s="1042"/>
      <c r="AZ32" s="1042"/>
      <c r="BA32" s="1042"/>
      <c r="BB32" s="1042"/>
      <c r="BC32" s="1042"/>
      <c r="BD32" s="1042"/>
      <c r="BE32" s="1042"/>
    </row>
    <row r="33" spans="1:57" ht="13.95" customHeight="1" thickTop="1" x14ac:dyDescent="0.25">
      <c r="A33" s="1305"/>
      <c r="B33" s="1305"/>
      <c r="C33" s="1305"/>
      <c r="D33" s="1305"/>
      <c r="E33" s="1305"/>
      <c r="F33" s="1305"/>
      <c r="G33" s="1305"/>
      <c r="H33" s="1305"/>
      <c r="I33" s="1305"/>
      <c r="J33" s="1305"/>
      <c r="K33" s="1305"/>
      <c r="L33" s="1305"/>
      <c r="M33" s="1305"/>
      <c r="N33" s="1305"/>
      <c r="O33" s="1305"/>
      <c r="P33" s="1305"/>
      <c r="Q33" s="1305"/>
      <c r="R33" s="1305"/>
      <c r="S33" s="1305"/>
      <c r="T33" s="1305"/>
      <c r="U33" s="1305"/>
      <c r="V33" s="1305"/>
      <c r="W33" s="1305"/>
      <c r="X33" s="1305"/>
      <c r="Y33" s="1305"/>
      <c r="Z33" s="1305"/>
      <c r="AA33" s="1305"/>
      <c r="AB33" s="1305"/>
      <c r="AC33" s="1305"/>
      <c r="AD33" s="1042"/>
      <c r="AE33" s="1042"/>
      <c r="AF33" s="1042"/>
      <c r="AG33" s="1042"/>
      <c r="AH33" s="1042"/>
      <c r="AI33" s="1042"/>
      <c r="AJ33" s="1042"/>
      <c r="AK33" s="1042"/>
      <c r="AL33" s="1042"/>
      <c r="AM33" s="1042"/>
      <c r="AN33" s="1042"/>
      <c r="AO33" s="1042"/>
      <c r="AP33" s="1042"/>
      <c r="AQ33" s="1042"/>
      <c r="AR33" s="1042"/>
      <c r="AS33" s="1042"/>
      <c r="AT33" s="1042"/>
      <c r="AU33" s="1042"/>
      <c r="AV33" s="1042"/>
      <c r="AW33" s="1042"/>
      <c r="AX33" s="1042"/>
      <c r="AY33" s="1042"/>
      <c r="AZ33" s="1042"/>
      <c r="BA33" s="1042"/>
      <c r="BB33" s="1042"/>
      <c r="BC33" s="1042"/>
      <c r="BD33" s="1042"/>
      <c r="BE33" s="1042"/>
    </row>
    <row r="34" spans="1:57" ht="13.8" thickBot="1" x14ac:dyDescent="0.3">
      <c r="A34" s="1305"/>
      <c r="B34" s="1305"/>
      <c r="C34" s="1305"/>
      <c r="D34" s="1305"/>
      <c r="E34" s="1305"/>
      <c r="F34" s="1305"/>
      <c r="G34" s="1305"/>
      <c r="H34" s="1305"/>
      <c r="I34" s="1305"/>
      <c r="J34" s="1305"/>
      <c r="K34" s="1305"/>
      <c r="L34" s="1374"/>
      <c r="M34" s="1305"/>
      <c r="N34" s="1305"/>
      <c r="O34" s="1305"/>
      <c r="P34" s="1305"/>
      <c r="Q34" s="1305"/>
      <c r="R34" s="1305"/>
      <c r="S34" s="1305"/>
      <c r="T34" s="1305"/>
      <c r="U34" s="1305"/>
      <c r="V34" s="1305"/>
      <c r="W34" s="1305"/>
      <c r="X34" s="1305"/>
      <c r="Y34" s="1305"/>
      <c r="Z34" s="1305"/>
      <c r="AA34" s="1305"/>
      <c r="AB34" s="1305"/>
      <c r="AC34" s="1305"/>
      <c r="AD34" s="1042"/>
      <c r="AE34" s="1042"/>
      <c r="AF34" s="1042"/>
      <c r="AG34" s="1042"/>
      <c r="AH34" s="1042"/>
      <c r="AI34" s="1042"/>
      <c r="AJ34" s="1042"/>
      <c r="AK34" s="1042"/>
      <c r="AL34" s="1042"/>
      <c r="AM34" s="1042"/>
      <c r="AN34" s="1042"/>
      <c r="AO34" s="1042"/>
      <c r="AP34" s="1042"/>
      <c r="AQ34" s="1042"/>
      <c r="AR34" s="1042"/>
      <c r="AS34" s="1042"/>
      <c r="AT34" s="1042"/>
      <c r="AU34" s="1042"/>
      <c r="AV34" s="1042"/>
      <c r="AW34" s="1042"/>
      <c r="AX34" s="1042"/>
      <c r="AY34" s="1042"/>
      <c r="AZ34" s="1042"/>
      <c r="BA34" s="1042"/>
      <c r="BB34" s="1042"/>
      <c r="BC34" s="1042"/>
      <c r="BD34" s="1042"/>
      <c r="BE34" s="1042"/>
    </row>
    <row r="35" spans="1:57" ht="66.599999999999994" thickBot="1" x14ac:dyDescent="0.3">
      <c r="A35" s="1415"/>
      <c r="B35" s="1305"/>
      <c r="C35" s="1463" t="s">
        <v>1376</v>
      </c>
      <c r="D35" s="1464" t="s">
        <v>1377</v>
      </c>
      <c r="E35" s="1464" t="str">
        <f>"First year cost in basis year dollars ("&amp;BasisYear&amp;"$/tonne CO₂)"</f>
        <v>First year cost in basis year dollars (2018$/tonne CO₂)</v>
      </c>
      <c r="F35" s="1464" t="str">
        <f>"First year cost ("&amp;BasisYear&amp;"$/year)"</f>
        <v>First year cost (2018$/year)</v>
      </c>
      <c r="G35" s="1464" t="str">
        <f>"First year cost in reference year dollars ("&amp;ref_year&amp;"$/tonne CO₂)"</f>
        <v>First year cost in reference year dollars (2016$/tonne CO₂)</v>
      </c>
      <c r="H35" s="1465" t="str">
        <f>"First year cost in reference year dollars ("&amp;ref_year&amp;"$/kg H₂)"</f>
        <v>First year cost in reference year dollars (2016$/kg H₂)</v>
      </c>
      <c r="I35" s="1415"/>
      <c r="J35" s="1415"/>
      <c r="K35" s="1415"/>
      <c r="L35" s="1415"/>
      <c r="M35" s="1415"/>
      <c r="N35" s="1415"/>
      <c r="O35" s="1415"/>
      <c r="P35" s="1415"/>
      <c r="Q35" s="1415"/>
      <c r="R35" s="1415"/>
      <c r="S35" s="1415"/>
      <c r="T35" s="1415"/>
      <c r="U35" s="1415"/>
      <c r="V35" s="1415"/>
      <c r="W35" s="1415"/>
      <c r="X35" s="1415"/>
      <c r="Y35" s="1415"/>
      <c r="Z35" s="1415"/>
      <c r="AA35" s="1415"/>
      <c r="AB35" s="1415"/>
      <c r="AC35" s="1415"/>
    </row>
    <row r="36" spans="1:57" x14ac:dyDescent="0.25">
      <c r="A36" s="1415"/>
      <c r="B36" s="1468" t="s">
        <v>1373</v>
      </c>
      <c r="C36" s="1451">
        <v>2015</v>
      </c>
      <c r="D36" s="1467">
        <f ca="1">IF(CO2_Capture_Efficiency&gt;0,(D43
+E43*CO2_flowrate_GTpY^E44*(1/C29)^E45+
+F43*CO2_flowrate_GTpY^F44*(1/C29)^F45+
+G43*CO2_flowrate_GTpY^G44*(1/C29)^G45)*CO2_PipeLength/1.609,0)</f>
        <v>6.3506413049295869</v>
      </c>
      <c r="E36" s="1467" cm="1">
        <f t="array" aca="1" ref="E36" ca="1">+D36
*INDEX('HyARC Physical Property Data'!$B$94:$B$123,MATCH(BasisYear,'HyARC Physical Property Data'!A94:A123,0),0)
/INDEX('HyARC Physical Property Data'!$B$94:$B$123,MATCH(C36,'HyARC Physical Property Data'!A94:A123,0),0)</f>
        <v>6.6919997628758479</v>
      </c>
      <c r="F36" s="1452">
        <f ca="1">+E36*CO2_flowrate_GTpY*1000000</f>
        <v>10191996.338242112</v>
      </c>
      <c r="G36" s="1453" cm="1">
        <f t="array" aca="1" ref="G36" ca="1">IF(CO2_Capture_Efficiency&gt;0,
E36
*INDEX('HyARC Physical Property Data'!$B$94:$B$123,MATCH(ref_year,'HyARC Physical Property Data'!$A$94:$A$123,0),0)
/INDEX('HyARC Physical Property Data'!$B$94:$B$123,MATCH(BasisYear,'HyARC Physical Property Data'!$A$94:$A$123,0),0),0)</f>
        <v>6.4141692528764924</v>
      </c>
      <c r="H36" s="1454" cm="1">
        <f t="array" aca="1" ref="H36" ca="1">+F36/output_kgyear
*INDEX('HyARC Physical Property Data'!$B$94:$B$123,MATCH(ref_year,'HyARC Physical Property Data'!A94:A123,0),0)
/INDEX('HyARC Physical Property Data'!$B$94:$B$123,MATCH(BasisYear,'HyARC Physical Property Data'!A94:A123,0),0)</f>
        <v>6.1568879946376776E-2</v>
      </c>
      <c r="I36" s="1415"/>
      <c r="J36" s="1415"/>
      <c r="K36" s="1415"/>
      <c r="L36" s="1415"/>
      <c r="M36" s="1415"/>
      <c r="N36" s="1415"/>
      <c r="O36" s="1415"/>
      <c r="P36" s="1415"/>
      <c r="Q36" s="1415"/>
      <c r="R36" s="1415"/>
      <c r="S36" s="1415"/>
      <c r="T36" s="1415"/>
      <c r="U36" s="1415"/>
      <c r="V36" s="1415"/>
      <c r="W36" s="1415"/>
      <c r="X36" s="1415"/>
      <c r="Y36" s="1415"/>
      <c r="Z36" s="1415"/>
      <c r="AA36" s="1415"/>
      <c r="AB36" s="1415"/>
      <c r="AC36" s="1415"/>
    </row>
    <row r="37" spans="1:57" x14ac:dyDescent="0.25">
      <c r="A37" s="1415"/>
      <c r="B37" s="1455" t="s">
        <v>1374</v>
      </c>
      <c r="C37" s="1448">
        <v>2015</v>
      </c>
      <c r="D37" s="1429">
        <f ca="1">IF(CO2_Capture_Efficiency&gt;0,(D50
+E50*CO2_flowrate_GTpY^E51*(1/C29)^E52+
+F50*CO2_flowrate_GTpY^F51*(1/C29)^F52+
+G50*CO2_flowrate_GTpY^G51*(1/C29)^G52+
+H50*CO2_flowrate_GTpY^H51*(1/C29)^H52+
+I50*CO2_flowrate_GTpY^I51*(1/C29)^I52+
+J50*CO2_flowrate_GTpY^J51*(1/C29)^J52),0)</f>
        <v>16.384081106164828</v>
      </c>
      <c r="E37" s="1429" cm="1">
        <f t="array" aca="1" ref="E37" ca="1">+D37
*INDEX('HyARC Physical Property Data'!$B$94:$B$123,MATCH(BasisYear,'HyARC Physical Property Data'!A95:A124,0),0)
/INDEX('HyARC Physical Property Data'!$B$94:$B$123,MATCH(C37,'HyARC Physical Property Data'!A95:A124,0),0)</f>
        <v>17.031115457726205</v>
      </c>
      <c r="F37" s="1433">
        <f ca="1">+E37*CO2_flowrate_GTpY*1000000</f>
        <v>25938594.221756015</v>
      </c>
      <c r="G37" s="1431" cm="1">
        <f t="array" aca="1" ref="G37" ca="1">+E37
*INDEX('HyARC Physical Property Data'!$B$94:$B$123,MATCH(ref_year,'HyARC Physical Property Data'!$A$94:$A$123,0),0)
/INDEX('HyARC Physical Property Data'!$B$94:$B$123,MATCH(BasisYear,'HyARC Physical Property Data'!$A$94:$A$123,0),0)</f>
        <v>16.324037803640259</v>
      </c>
      <c r="H37" s="1456" cm="1">
        <f t="array" aca="1" ref="H37" ca="1">+F37/output_kgyear
*INDEX('HyARC Physical Property Data'!$B$94:$B$123,MATCH(ref_year,'HyARC Physical Property Data'!A95:A124,0),0)
/INDEX('HyARC Physical Property Data'!$B$94:$B$123,MATCH(BasisYear,'HyARC Physical Property Data'!A95:A124,0),0)</f>
        <v>0.15884846806160041</v>
      </c>
      <c r="I37" s="1415"/>
      <c r="J37" s="1415"/>
      <c r="K37" s="1415"/>
      <c r="L37" s="1415"/>
      <c r="M37" s="1415"/>
      <c r="N37" s="1415"/>
      <c r="O37" s="1415"/>
      <c r="P37" s="1415"/>
      <c r="Q37" s="1415"/>
      <c r="R37" s="1415"/>
      <c r="S37" s="1415"/>
      <c r="T37" s="1415"/>
      <c r="U37" s="1415"/>
      <c r="V37" s="1415"/>
      <c r="W37" s="1415"/>
      <c r="X37" s="1415"/>
      <c r="Y37" s="1415"/>
      <c r="Z37" s="1415"/>
      <c r="AA37" s="1415"/>
      <c r="AB37" s="1415"/>
      <c r="AC37" s="1415"/>
    </row>
    <row r="38" spans="1:57" ht="13.8" thickBot="1" x14ac:dyDescent="0.3">
      <c r="A38" s="1415"/>
      <c r="B38" s="1457" t="s">
        <v>1386</v>
      </c>
      <c r="C38" s="1417"/>
      <c r="D38" s="1430"/>
      <c r="E38" s="1430" cm="1">
        <f t="array" ref="E38">+G38/INDEX('HyARC Physical Property Data'!$B$94:$B$123,MATCH(ref_year,'HyARC Physical Property Data'!$A$94:$A$123,0),0)
*INDEX('HyARC Physical Property Data'!$B$94:$B$123,MATCH(BasisYear,'HyARC Physical Property Data'!$A$94:$A$123,0),0)</f>
        <v>0</v>
      </c>
      <c r="F38" s="1434">
        <f ca="1">+E38*CO2_flowrate_GTpY*1000000</f>
        <v>0</v>
      </c>
      <c r="G38" s="1432">
        <f>-CO2_credit</f>
        <v>0</v>
      </c>
      <c r="H38" s="1458" cm="1">
        <f t="array" aca="1" ref="H38" ca="1">+F38/output_kgyear
*INDEX('HyARC Physical Property Data'!$B$94:$B$123,MATCH(ref_year,'HyARC Physical Property Data'!A96:A125,0),0)
/INDEX('HyARC Physical Property Data'!$B$94:$B$123,MATCH(BasisYear,'HyARC Physical Property Data'!A96:A125,0),0)</f>
        <v>0</v>
      </c>
      <c r="I38" s="1415"/>
      <c r="J38" s="1415"/>
      <c r="K38" s="1415"/>
      <c r="L38" s="1415"/>
      <c r="M38" s="1415"/>
      <c r="N38" s="1415"/>
      <c r="O38" s="1415"/>
      <c r="P38" s="1415"/>
      <c r="Q38" s="1415"/>
      <c r="R38" s="1415"/>
      <c r="S38" s="1415"/>
      <c r="T38" s="1415"/>
      <c r="U38" s="1415"/>
      <c r="V38" s="1415"/>
      <c r="W38" s="1415"/>
      <c r="X38" s="1415"/>
      <c r="Y38" s="1415"/>
      <c r="Z38" s="1415"/>
      <c r="AA38" s="1415"/>
      <c r="AB38" s="1415"/>
      <c r="AC38" s="1415"/>
    </row>
    <row r="39" spans="1:57" ht="14.4" thickTop="1" thickBot="1" x14ac:dyDescent="0.3">
      <c r="A39" s="1415"/>
      <c r="B39" s="1375" t="str">
        <f>"Total ("&amp;startup_year&amp;"$/metric tonne)"</f>
        <v>Total (2015$/metric tonne)</v>
      </c>
      <c r="C39" s="1459"/>
      <c r="D39" s="1459">
        <f ca="1">+SUM(D36:D38)</f>
        <v>22.734722411094417</v>
      </c>
      <c r="E39" s="1459">
        <f ca="1">+SUM(E36:E38)</f>
        <v>23.723115220602054</v>
      </c>
      <c r="F39" s="1460">
        <f ca="1">IF(CO2_Capture_Efficiency&gt;0,SUM(F36:F38),0)</f>
        <v>36130590.559998125</v>
      </c>
      <c r="G39" s="1461">
        <f ca="1">+SUM(G36:G38)</f>
        <v>22.73820705651675</v>
      </c>
      <c r="H39" s="1462" cm="1">
        <f t="array" aca="1" ref="H39" ca="1">+F39/output_kgyear
*INDEX('HyARC Physical Property Data'!$B$94:$B$123,MATCH(ref_year,'HyARC Physical Property Data'!A96:A125,0),0)
/INDEX('HyARC Physical Property Data'!$B$94:$B$123,MATCH(BasisYear,'HyARC Physical Property Data'!A96:A125,0),0)</f>
        <v>0.22321820912066129</v>
      </c>
      <c r="I39" s="1415"/>
      <c r="J39" s="1415"/>
      <c r="K39" s="1415"/>
      <c r="L39" s="1415"/>
      <c r="M39" s="1415"/>
      <c r="N39" s="1415"/>
      <c r="O39" s="1415"/>
      <c r="P39" s="1415"/>
      <c r="Q39" s="1415"/>
      <c r="R39" s="1415"/>
      <c r="S39" s="1415"/>
      <c r="T39" s="1415"/>
      <c r="U39" s="1415"/>
      <c r="V39" s="1415"/>
      <c r="W39" s="1415"/>
      <c r="X39" s="1415"/>
      <c r="Y39" s="1415"/>
      <c r="Z39" s="1415"/>
      <c r="AA39" s="1415"/>
      <c r="AB39" s="1415"/>
      <c r="AC39" s="1415"/>
    </row>
    <row r="40" spans="1:57" x14ac:dyDescent="0.25">
      <c r="A40" s="1305"/>
      <c r="B40" s="1305"/>
      <c r="C40" s="1305"/>
      <c r="D40" s="1305"/>
      <c r="E40" s="1305"/>
      <c r="F40" s="1305"/>
      <c r="G40" s="1305"/>
      <c r="H40" s="1305"/>
      <c r="I40" s="1415"/>
      <c r="J40" s="1305"/>
      <c r="K40" s="1305"/>
      <c r="L40" s="1374"/>
      <c r="M40" s="1305"/>
      <c r="N40" s="1305"/>
      <c r="O40" s="1305"/>
      <c r="P40" s="1305"/>
      <c r="Q40" s="1305"/>
      <c r="R40" s="1305"/>
      <c r="S40" s="1305"/>
      <c r="T40" s="1305"/>
      <c r="U40" s="1305"/>
      <c r="V40" s="1305"/>
      <c r="W40" s="1305"/>
      <c r="X40" s="1305"/>
      <c r="Y40" s="1305"/>
      <c r="Z40" s="1305"/>
      <c r="AA40" s="1305"/>
      <c r="AB40" s="1305"/>
      <c r="AC40" s="1305"/>
      <c r="AD40" s="1042"/>
      <c r="AE40" s="1042"/>
      <c r="AF40" s="1042"/>
      <c r="AG40" s="1042"/>
      <c r="AH40" s="1042"/>
      <c r="AI40" s="1042"/>
      <c r="AJ40" s="1042"/>
      <c r="AK40" s="1042"/>
      <c r="AL40" s="1042"/>
      <c r="AM40" s="1042"/>
      <c r="AN40" s="1042"/>
      <c r="AO40" s="1042"/>
      <c r="AP40" s="1042"/>
      <c r="AQ40" s="1042"/>
      <c r="AR40" s="1042"/>
      <c r="AS40" s="1042"/>
      <c r="AT40" s="1042"/>
      <c r="AU40" s="1042"/>
      <c r="AV40" s="1042"/>
      <c r="AW40" s="1042"/>
      <c r="AX40" s="1042"/>
      <c r="AY40" s="1042"/>
      <c r="AZ40" s="1042"/>
      <c r="BA40" s="1042"/>
      <c r="BB40" s="1042"/>
      <c r="BC40" s="1042"/>
      <c r="BD40" s="1042"/>
      <c r="BE40" s="1042"/>
    </row>
    <row r="41" spans="1:57" x14ac:dyDescent="0.25">
      <c r="A41" s="1415"/>
      <c r="B41" s="1415"/>
      <c r="C41" s="1415"/>
      <c r="D41" s="1415"/>
      <c r="E41" s="1415"/>
      <c r="F41" s="1305"/>
      <c r="G41" s="1305"/>
      <c r="H41" s="1415"/>
      <c r="I41" s="1415"/>
      <c r="J41" s="1415"/>
      <c r="K41" s="1415"/>
      <c r="L41" s="1415"/>
      <c r="M41" s="1415"/>
      <c r="N41" s="1415"/>
      <c r="O41" s="1415"/>
      <c r="P41" s="1415"/>
      <c r="Q41" s="1415"/>
      <c r="R41" s="1415"/>
      <c r="S41" s="1415"/>
      <c r="T41" s="1415"/>
      <c r="U41" s="1415"/>
      <c r="V41" s="1415"/>
      <c r="W41" s="1415"/>
      <c r="X41" s="1415"/>
      <c r="Y41" s="1415"/>
      <c r="Z41" s="1415"/>
      <c r="AA41" s="1415"/>
      <c r="AB41" s="1415"/>
      <c r="AC41" s="1415"/>
    </row>
    <row r="42" spans="1:57" ht="13.8" thickBot="1" x14ac:dyDescent="0.3">
      <c r="A42" s="1415"/>
      <c r="B42" s="1415"/>
      <c r="C42" s="1415"/>
      <c r="D42" s="1305"/>
      <c r="E42" s="1416"/>
      <c r="F42" s="1415"/>
      <c r="G42" s="1415"/>
      <c r="H42" s="1415"/>
      <c r="I42" s="1415"/>
      <c r="J42" s="1415"/>
      <c r="K42" s="1415"/>
      <c r="L42" s="1415"/>
      <c r="M42" s="1415"/>
      <c r="N42" s="1415"/>
      <c r="O42" s="1415"/>
      <c r="P42" s="1415"/>
      <c r="Q42" s="1415"/>
      <c r="R42" s="1415"/>
      <c r="S42" s="1415"/>
      <c r="T42" s="1415"/>
      <c r="U42" s="1415"/>
      <c r="V42" s="1415"/>
      <c r="W42" s="1415"/>
      <c r="X42" s="1415"/>
      <c r="Y42" s="1415"/>
      <c r="Z42" s="1415"/>
      <c r="AA42" s="1415"/>
      <c r="AB42" s="1415"/>
      <c r="AC42" s="1415"/>
    </row>
    <row r="43" spans="1:57" ht="13.8" thickBot="1" x14ac:dyDescent="0.3">
      <c r="A43" s="1415"/>
      <c r="B43" s="1466" t="s">
        <v>1378</v>
      </c>
      <c r="C43" s="1419" t="s">
        <v>1372</v>
      </c>
      <c r="D43" s="1427">
        <v>1.2937079771601738E-3</v>
      </c>
      <c r="E43" s="1427">
        <v>6.8781569819663199E-2</v>
      </c>
      <c r="F43" s="1427">
        <v>1.7317271715020049E-2</v>
      </c>
      <c r="G43" s="1428">
        <v>-1.3739442182759818E-4</v>
      </c>
      <c r="H43" s="1415"/>
      <c r="I43" s="1415"/>
      <c r="J43" s="1415"/>
      <c r="K43" s="1415"/>
      <c r="L43" s="1415"/>
      <c r="M43" s="1415"/>
      <c r="N43" s="1415"/>
      <c r="O43" s="1415"/>
      <c r="P43" s="1415"/>
      <c r="Q43" s="1415"/>
      <c r="R43" s="1415"/>
      <c r="S43" s="1415"/>
      <c r="T43" s="1415"/>
      <c r="U43" s="1415"/>
      <c r="V43" s="1415"/>
      <c r="W43" s="1415"/>
      <c r="X43" s="1415"/>
      <c r="Y43" s="1415"/>
      <c r="Z43" s="1415"/>
      <c r="AA43" s="1415"/>
      <c r="AB43" s="1415"/>
      <c r="AC43" s="1415"/>
    </row>
    <row r="44" spans="1:57" ht="60.75" customHeight="1" x14ac:dyDescent="0.25">
      <c r="A44" s="1415"/>
      <c r="B44" s="1553" t="s">
        <v>1391</v>
      </c>
      <c r="C44" s="1420" t="s">
        <v>1381</v>
      </c>
      <c r="D44" s="1421" t="s">
        <v>1379</v>
      </c>
      <c r="E44" s="1423">
        <v>-1</v>
      </c>
      <c r="F44" s="1423">
        <v>-0.15611832446240115</v>
      </c>
      <c r="G44" s="1424">
        <v>0.4706623423496083</v>
      </c>
      <c r="H44" s="1415"/>
      <c r="I44" s="1415"/>
      <c r="J44" s="1415"/>
      <c r="K44" s="1415"/>
      <c r="L44" s="1415"/>
      <c r="M44" s="1415"/>
      <c r="N44" s="1415"/>
      <c r="O44" s="1415"/>
      <c r="P44" s="1415"/>
      <c r="Q44" s="1415"/>
      <c r="R44" s="1415"/>
      <c r="S44" s="1415"/>
      <c r="T44" s="1415"/>
      <c r="U44" s="1415"/>
      <c r="V44" s="1415"/>
      <c r="W44" s="1415"/>
      <c r="X44" s="1415"/>
      <c r="Y44" s="1415"/>
      <c r="Z44" s="1415"/>
      <c r="AA44" s="1415"/>
      <c r="AB44" s="1415"/>
      <c r="AC44" s="1415"/>
    </row>
    <row r="45" spans="1:57" ht="60.75" customHeight="1" thickBot="1" x14ac:dyDescent="0.3">
      <c r="A45" s="1415"/>
      <c r="B45" s="1554"/>
      <c r="C45" s="1418"/>
      <c r="D45" s="1422" t="s">
        <v>1380</v>
      </c>
      <c r="E45" s="1425">
        <v>-1.6651496418832124E-2</v>
      </c>
      <c r="F45" s="1425">
        <v>0.8249349119646654</v>
      </c>
      <c r="G45" s="1426">
        <v>1.7524248714267425</v>
      </c>
      <c r="H45" s="1415"/>
      <c r="I45" s="1415"/>
      <c r="J45" s="1415"/>
      <c r="K45" s="1415"/>
      <c r="L45" s="1415"/>
      <c r="M45" s="1415"/>
      <c r="N45" s="1415"/>
      <c r="O45" s="1415"/>
      <c r="P45" s="1415"/>
      <c r="Q45" s="1415"/>
      <c r="R45" s="1415"/>
      <c r="S45" s="1415"/>
      <c r="T45" s="1415"/>
      <c r="U45" s="1415"/>
      <c r="V45" s="1415"/>
      <c r="W45" s="1415"/>
      <c r="X45" s="1415"/>
      <c r="Y45" s="1415"/>
      <c r="Z45" s="1415"/>
      <c r="AA45" s="1415"/>
      <c r="AB45" s="1415"/>
      <c r="AC45" s="1415"/>
    </row>
    <row r="46" spans="1:57" x14ac:dyDescent="0.25">
      <c r="A46" s="1415"/>
      <c r="B46" s="1436" t="s">
        <v>1382</v>
      </c>
      <c r="C46" s="1435" t="s">
        <v>1383</v>
      </c>
      <c r="D46" s="1415"/>
      <c r="E46" s="1415"/>
      <c r="F46" s="1415"/>
      <c r="G46" s="1415"/>
      <c r="H46" s="1415"/>
      <c r="I46" s="1415"/>
      <c r="J46" s="1415"/>
      <c r="K46" s="1415"/>
      <c r="L46" s="1415"/>
      <c r="M46" s="1415"/>
      <c r="N46" s="1415"/>
      <c r="O46" s="1415"/>
      <c r="P46" s="1415"/>
      <c r="Q46" s="1415"/>
      <c r="R46" s="1415"/>
      <c r="S46" s="1415"/>
      <c r="T46" s="1415"/>
      <c r="U46" s="1415"/>
      <c r="V46" s="1415"/>
      <c r="W46" s="1415"/>
      <c r="X46" s="1415"/>
      <c r="Y46" s="1415"/>
      <c r="Z46" s="1415"/>
      <c r="AA46" s="1415"/>
      <c r="AB46" s="1415"/>
      <c r="AC46" s="1415"/>
    </row>
    <row r="47" spans="1:57" x14ac:dyDescent="0.25">
      <c r="A47" s="1415"/>
      <c r="B47" s="1415"/>
      <c r="C47" s="1415"/>
      <c r="D47" s="1415"/>
      <c r="E47" s="1415"/>
      <c r="F47" s="1415"/>
      <c r="G47" s="1415"/>
      <c r="H47" s="1415"/>
      <c r="I47" s="1415"/>
      <c r="J47" s="1415"/>
      <c r="K47" s="1415"/>
      <c r="L47" s="1415"/>
      <c r="M47" s="1415"/>
      <c r="N47" s="1415"/>
      <c r="O47" s="1415"/>
      <c r="P47" s="1415"/>
      <c r="Q47" s="1415"/>
      <c r="R47" s="1415"/>
      <c r="S47" s="1415"/>
      <c r="T47" s="1415"/>
      <c r="U47" s="1415"/>
      <c r="V47" s="1415"/>
      <c r="W47" s="1415"/>
      <c r="X47" s="1415"/>
      <c r="Y47" s="1415"/>
      <c r="Z47" s="1415"/>
      <c r="AA47" s="1415"/>
      <c r="AB47" s="1415"/>
      <c r="AC47" s="1415"/>
    </row>
    <row r="48" spans="1:57" x14ac:dyDescent="0.25">
      <c r="A48" s="1415"/>
      <c r="B48" s="1415"/>
      <c r="C48" s="1415"/>
      <c r="D48" s="1415"/>
      <c r="E48" s="1415"/>
      <c r="F48" s="1415"/>
      <c r="G48" s="1415"/>
      <c r="H48" s="1415"/>
      <c r="I48" s="1415"/>
      <c r="J48" s="1415"/>
      <c r="K48" s="1415"/>
      <c r="L48" s="1415"/>
      <c r="M48" s="1415"/>
      <c r="N48" s="1415"/>
      <c r="O48" s="1415"/>
      <c r="P48" s="1415"/>
      <c r="Q48" s="1415"/>
      <c r="R48" s="1415"/>
      <c r="S48" s="1415"/>
      <c r="T48" s="1415"/>
      <c r="U48" s="1415"/>
      <c r="V48" s="1415"/>
      <c r="W48" s="1415"/>
      <c r="X48" s="1415"/>
      <c r="Y48" s="1415"/>
      <c r="Z48" s="1415"/>
      <c r="AA48" s="1415"/>
      <c r="AB48" s="1415"/>
      <c r="AC48" s="1415"/>
    </row>
    <row r="49" spans="1:29" ht="13.8" thickBot="1" x14ac:dyDescent="0.3">
      <c r="A49" s="1415"/>
      <c r="B49" s="1415"/>
      <c r="C49" s="1415"/>
      <c r="D49" s="1415"/>
      <c r="E49" s="1305"/>
      <c r="F49" s="1416"/>
      <c r="G49" s="1415"/>
      <c r="H49" s="1415"/>
      <c r="I49" s="1415"/>
      <c r="J49" s="1415"/>
      <c r="K49" s="1415"/>
      <c r="L49" s="1415"/>
      <c r="M49" s="1415"/>
      <c r="N49" s="1415"/>
      <c r="O49" s="1415"/>
      <c r="P49" s="1415"/>
      <c r="Q49" s="1415"/>
      <c r="R49" s="1415"/>
      <c r="S49" s="1415"/>
      <c r="T49" s="1415"/>
      <c r="U49" s="1415"/>
      <c r="V49" s="1415"/>
      <c r="W49" s="1415"/>
      <c r="X49" s="1415"/>
      <c r="Y49" s="1415"/>
      <c r="Z49" s="1415"/>
      <c r="AA49" s="1415"/>
      <c r="AB49" s="1415"/>
      <c r="AC49" s="1415"/>
    </row>
    <row r="50" spans="1:29" ht="13.8" thickBot="1" x14ac:dyDescent="0.3">
      <c r="A50" s="1415"/>
      <c r="B50" s="1466" t="s">
        <v>1390</v>
      </c>
      <c r="C50" s="1419"/>
      <c r="D50" s="1427">
        <v>64.309155485196328</v>
      </c>
      <c r="E50" s="1427">
        <v>-60.150237064919168</v>
      </c>
      <c r="F50" s="1427">
        <v>-0.1168006208337047</v>
      </c>
      <c r="G50" s="1427">
        <v>0.41082925232341688</v>
      </c>
      <c r="H50" s="1427">
        <v>6.217192063493445</v>
      </c>
      <c r="I50" s="1427">
        <v>8.5683523844359541</v>
      </c>
      <c r="J50" s="1428">
        <v>1.0484140030841291</v>
      </c>
      <c r="K50" s="1415"/>
      <c r="L50" s="1415"/>
      <c r="M50" s="1415"/>
      <c r="N50" s="1415"/>
      <c r="O50" s="1415"/>
      <c r="P50" s="1415"/>
      <c r="Q50" s="1415"/>
      <c r="R50" s="1415"/>
      <c r="S50" s="1415"/>
      <c r="T50" s="1415"/>
      <c r="U50" s="1415"/>
      <c r="V50" s="1415"/>
      <c r="W50" s="1415"/>
      <c r="X50" s="1415"/>
      <c r="Y50" s="1415"/>
      <c r="Z50" s="1415"/>
      <c r="AA50" s="1415"/>
      <c r="AB50" s="1415"/>
      <c r="AC50" s="1415"/>
    </row>
    <row r="51" spans="1:29" ht="54" customHeight="1" x14ac:dyDescent="0.25">
      <c r="A51" s="1415"/>
      <c r="B51" s="1553" t="s">
        <v>1389</v>
      </c>
      <c r="C51" s="1420"/>
      <c r="D51" s="1421" t="s">
        <v>1379</v>
      </c>
      <c r="E51" s="1423">
        <v>7.1230336282255891E-2</v>
      </c>
      <c r="F51" s="1423">
        <v>0</v>
      </c>
      <c r="G51" s="1423">
        <v>4.474941387113196E-2</v>
      </c>
      <c r="H51" s="1423">
        <v>0.40708811955841417</v>
      </c>
      <c r="I51" s="1423">
        <v>-0.93540765100864542</v>
      </c>
      <c r="J51" s="1424">
        <v>-1.456581128486234</v>
      </c>
      <c r="K51" s="1415"/>
      <c r="L51" s="1415"/>
      <c r="M51" s="1415"/>
      <c r="N51" s="1415"/>
      <c r="O51" s="1415"/>
      <c r="P51" s="1415"/>
      <c r="Q51" s="1415"/>
      <c r="R51" s="1415"/>
      <c r="S51" s="1415"/>
      <c r="T51" s="1415"/>
      <c r="U51" s="1415"/>
      <c r="V51" s="1415"/>
      <c r="W51" s="1415"/>
      <c r="X51" s="1415"/>
      <c r="Y51" s="1415"/>
      <c r="Z51" s="1415"/>
      <c r="AA51" s="1415"/>
      <c r="AB51" s="1415"/>
      <c r="AC51" s="1415"/>
    </row>
    <row r="52" spans="1:29" ht="54" customHeight="1" thickBot="1" x14ac:dyDescent="0.3">
      <c r="A52" s="1415"/>
      <c r="B52" s="1554"/>
      <c r="C52" s="1418"/>
      <c r="D52" s="1422" t="s">
        <v>1380</v>
      </c>
      <c r="E52" s="1425">
        <v>-2.2685149531258275E-4</v>
      </c>
      <c r="F52" s="1425">
        <v>1.924411181276618</v>
      </c>
      <c r="G52" s="1425">
        <v>1.542903409438094</v>
      </c>
      <c r="H52" s="1425">
        <v>0</v>
      </c>
      <c r="I52" s="1425">
        <v>-4.3939129350702155E-2</v>
      </c>
      <c r="J52" s="1426">
        <v>5.187420905507123E-2</v>
      </c>
      <c r="K52" s="1415"/>
      <c r="L52" s="1415"/>
      <c r="M52" s="1415"/>
      <c r="N52" s="1415"/>
      <c r="O52" s="1415"/>
      <c r="P52" s="1415"/>
      <c r="Q52" s="1415"/>
      <c r="R52" s="1415"/>
      <c r="S52" s="1415"/>
      <c r="T52" s="1415"/>
      <c r="U52" s="1415"/>
      <c r="V52" s="1415"/>
      <c r="W52" s="1415"/>
      <c r="X52" s="1415"/>
      <c r="Y52" s="1415"/>
      <c r="Z52" s="1415"/>
      <c r="AA52" s="1415"/>
      <c r="AB52" s="1415"/>
      <c r="AC52" s="1415"/>
    </row>
    <row r="53" spans="1:29" x14ac:dyDescent="0.25">
      <c r="A53" s="1415"/>
      <c r="B53" s="1436" t="s">
        <v>1382</v>
      </c>
      <c r="C53" s="1435" t="s">
        <v>1304</v>
      </c>
      <c r="D53" s="1415"/>
      <c r="E53" s="1415"/>
      <c r="F53" s="1415"/>
      <c r="G53" s="1415"/>
      <c r="H53" s="1415"/>
      <c r="I53" s="1415"/>
      <c r="J53" s="1415"/>
      <c r="K53" s="1415"/>
      <c r="L53" s="1415"/>
      <c r="M53" s="1415"/>
      <c r="N53" s="1415"/>
      <c r="O53" s="1415"/>
      <c r="P53" s="1415"/>
      <c r="Q53" s="1415"/>
      <c r="R53" s="1415"/>
      <c r="S53" s="1415"/>
      <c r="T53" s="1415"/>
      <c r="U53" s="1415"/>
      <c r="V53" s="1415"/>
      <c r="W53" s="1415"/>
      <c r="X53" s="1415"/>
      <c r="Y53" s="1415"/>
      <c r="Z53" s="1415"/>
      <c r="AA53" s="1415"/>
      <c r="AB53" s="1415"/>
      <c r="AC53" s="1415"/>
    </row>
    <row r="54" spans="1:29" x14ac:dyDescent="0.25">
      <c r="A54" s="1415"/>
      <c r="B54" s="1415"/>
      <c r="C54" s="1415"/>
      <c r="D54" s="1415"/>
      <c r="E54" s="1415"/>
      <c r="F54" s="1415"/>
      <c r="G54" s="1415"/>
      <c r="H54" s="1415"/>
      <c r="I54" s="1415"/>
      <c r="J54" s="1415"/>
      <c r="K54" s="1415"/>
      <c r="L54" s="1415"/>
      <c r="M54" s="1415"/>
      <c r="N54" s="1415"/>
      <c r="O54" s="1415"/>
      <c r="P54" s="1415"/>
      <c r="Q54" s="1415"/>
      <c r="R54" s="1415"/>
      <c r="S54" s="1415"/>
      <c r="T54" s="1415"/>
      <c r="U54" s="1415"/>
      <c r="V54" s="1415"/>
      <c r="W54" s="1415"/>
      <c r="X54" s="1415"/>
      <c r="Y54" s="1415"/>
      <c r="Z54" s="1415"/>
      <c r="AA54" s="1415"/>
      <c r="AB54" s="1415"/>
      <c r="AC54" s="1415"/>
    </row>
    <row r="55" spans="1:29" x14ac:dyDescent="0.25">
      <c r="A55" s="1415"/>
      <c r="B55" s="1415"/>
      <c r="C55" s="1415"/>
      <c r="D55" s="1415"/>
      <c r="E55" s="1415"/>
      <c r="F55" s="1415"/>
      <c r="G55" s="1415"/>
      <c r="H55" s="1415"/>
      <c r="I55" s="1415"/>
      <c r="J55" s="1415"/>
      <c r="K55" s="1415"/>
      <c r="L55" s="1415"/>
      <c r="M55" s="1415"/>
      <c r="N55" s="1415"/>
      <c r="O55" s="1415"/>
      <c r="P55" s="1415"/>
      <c r="Q55" s="1415"/>
      <c r="R55" s="1415"/>
      <c r="S55" s="1415"/>
      <c r="T55" s="1415"/>
      <c r="U55" s="1415"/>
      <c r="V55" s="1415"/>
      <c r="W55" s="1415"/>
      <c r="X55" s="1415"/>
      <c r="Y55" s="1415"/>
      <c r="Z55" s="1415"/>
      <c r="AA55" s="1415"/>
      <c r="AB55" s="1415"/>
      <c r="AC55" s="1415"/>
    </row>
    <row r="56" spans="1:29" x14ac:dyDescent="0.25">
      <c r="A56" s="1415"/>
      <c r="B56" s="1415"/>
      <c r="C56" s="1415"/>
      <c r="D56" s="1415"/>
      <c r="E56" s="1415"/>
      <c r="F56" s="1415"/>
      <c r="G56" s="1415"/>
      <c r="H56" s="1415"/>
      <c r="I56" s="1415"/>
      <c r="J56" s="1415"/>
      <c r="K56" s="1415"/>
      <c r="L56" s="1415"/>
      <c r="M56" s="1415"/>
      <c r="N56" s="1415"/>
      <c r="O56" s="1415"/>
      <c r="P56" s="1415"/>
      <c r="Q56" s="1415"/>
      <c r="R56" s="1415"/>
      <c r="S56" s="1415"/>
      <c r="T56" s="1415"/>
      <c r="U56" s="1415"/>
      <c r="V56" s="1415"/>
      <c r="W56" s="1415"/>
      <c r="X56" s="1415"/>
      <c r="Y56" s="1415"/>
      <c r="Z56" s="1415"/>
      <c r="AA56" s="1415"/>
      <c r="AB56" s="1415"/>
      <c r="AC56" s="1415"/>
    </row>
    <row r="57" spans="1:29" x14ac:dyDescent="0.25">
      <c r="A57" s="1415"/>
      <c r="B57" s="1415"/>
      <c r="C57" s="1415"/>
      <c r="D57" s="1415"/>
      <c r="E57" s="1415"/>
      <c r="F57" s="1415"/>
      <c r="G57" s="1415"/>
      <c r="H57" s="1415"/>
      <c r="I57" s="1415"/>
      <c r="J57" s="1415"/>
      <c r="K57" s="1415"/>
      <c r="L57" s="1415"/>
      <c r="M57" s="1415"/>
      <c r="N57" s="1415"/>
      <c r="O57" s="1415"/>
      <c r="P57" s="1415"/>
      <c r="Q57" s="1415"/>
      <c r="R57" s="1415"/>
      <c r="S57" s="1415"/>
      <c r="T57" s="1415"/>
      <c r="U57" s="1415"/>
      <c r="V57" s="1415"/>
      <c r="W57" s="1415"/>
      <c r="X57" s="1415"/>
      <c r="Y57" s="1415"/>
      <c r="Z57" s="1415"/>
      <c r="AA57" s="1415"/>
      <c r="AB57" s="1415"/>
      <c r="AC57" s="1415"/>
    </row>
    <row r="58" spans="1:29" x14ac:dyDescent="0.25">
      <c r="A58" s="1415"/>
      <c r="B58" s="1415"/>
      <c r="C58" s="1415"/>
      <c r="D58" s="1415"/>
      <c r="E58" s="1415"/>
      <c r="F58" s="1415"/>
      <c r="G58" s="1415"/>
      <c r="H58" s="1415"/>
      <c r="I58" s="1415"/>
      <c r="J58" s="1415"/>
      <c r="K58" s="1415"/>
      <c r="L58" s="1415"/>
      <c r="M58" s="1415"/>
      <c r="N58" s="1415"/>
      <c r="O58" s="1415"/>
      <c r="P58" s="1415"/>
      <c r="Q58" s="1415"/>
      <c r="R58" s="1415"/>
      <c r="S58" s="1415"/>
      <c r="T58" s="1415"/>
      <c r="U58" s="1415"/>
      <c r="V58" s="1415"/>
      <c r="W58" s="1415"/>
      <c r="X58" s="1415"/>
      <c r="Y58" s="1415"/>
      <c r="Z58" s="1415"/>
      <c r="AA58" s="1415"/>
      <c r="AB58" s="1415"/>
      <c r="AC58" s="1415"/>
    </row>
    <row r="59" spans="1:29" x14ac:dyDescent="0.25">
      <c r="A59" s="1415"/>
      <c r="B59" s="1415"/>
      <c r="C59" s="1415"/>
      <c r="D59" s="1415"/>
      <c r="E59" s="1415"/>
      <c r="F59" s="1415"/>
      <c r="G59" s="1415"/>
      <c r="H59" s="1415"/>
      <c r="I59" s="1415"/>
      <c r="J59" s="1415"/>
      <c r="K59" s="1415"/>
      <c r="L59" s="1415"/>
      <c r="M59" s="1415"/>
      <c r="N59" s="1415"/>
      <c r="O59" s="1415"/>
      <c r="P59" s="1415"/>
      <c r="Q59" s="1415"/>
      <c r="R59" s="1415"/>
      <c r="S59" s="1415"/>
      <c r="T59" s="1415"/>
      <c r="U59" s="1415"/>
      <c r="V59" s="1415"/>
      <c r="W59" s="1415"/>
      <c r="X59" s="1415"/>
      <c r="Y59" s="1415"/>
      <c r="Z59" s="1415"/>
      <c r="AA59" s="1415"/>
      <c r="AB59" s="1415"/>
      <c r="AC59" s="1415"/>
    </row>
    <row r="60" spans="1:29" x14ac:dyDescent="0.25">
      <c r="A60" s="1415"/>
      <c r="B60" s="1415"/>
      <c r="C60" s="1415"/>
      <c r="D60" s="1415"/>
      <c r="E60" s="1415"/>
      <c r="F60" s="1415"/>
      <c r="G60" s="1415"/>
      <c r="H60" s="1415"/>
      <c r="I60" s="1415"/>
      <c r="J60" s="1415"/>
      <c r="K60" s="1415"/>
      <c r="L60" s="1415"/>
      <c r="M60" s="1415"/>
      <c r="N60" s="1415"/>
      <c r="O60" s="1415"/>
      <c r="P60" s="1415"/>
      <c r="Q60" s="1415"/>
      <c r="R60" s="1415"/>
      <c r="S60" s="1415"/>
      <c r="T60" s="1415"/>
      <c r="U60" s="1415"/>
      <c r="V60" s="1415"/>
      <c r="W60" s="1415"/>
      <c r="X60" s="1415"/>
      <c r="Y60" s="1415"/>
      <c r="Z60" s="1415"/>
      <c r="AA60" s="1415"/>
      <c r="AB60" s="1415"/>
      <c r="AC60" s="1415"/>
    </row>
    <row r="61" spans="1:29" x14ac:dyDescent="0.25">
      <c r="A61" s="1415"/>
      <c r="B61" s="1415"/>
      <c r="C61" s="1415"/>
      <c r="D61" s="1415"/>
      <c r="E61" s="1415"/>
      <c r="F61" s="1415"/>
      <c r="G61" s="1415"/>
      <c r="H61" s="1415"/>
      <c r="I61" s="1415"/>
      <c r="J61" s="1415"/>
      <c r="K61" s="1415"/>
      <c r="L61" s="1415"/>
      <c r="M61" s="1415"/>
      <c r="N61" s="1415"/>
      <c r="O61" s="1415"/>
      <c r="P61" s="1415"/>
      <c r="Q61" s="1415"/>
      <c r="R61" s="1415"/>
      <c r="S61" s="1415"/>
      <c r="T61" s="1415"/>
      <c r="U61" s="1415"/>
      <c r="V61" s="1415"/>
      <c r="W61" s="1415"/>
      <c r="X61" s="1415"/>
      <c r="Y61" s="1415"/>
      <c r="Z61" s="1415"/>
      <c r="AA61" s="1415"/>
      <c r="AB61" s="1415"/>
      <c r="AC61" s="1415"/>
    </row>
    <row r="62" spans="1:29" x14ac:dyDescent="0.25">
      <c r="A62" s="1415"/>
      <c r="B62" s="1415"/>
      <c r="C62" s="1415"/>
      <c r="D62" s="1415"/>
      <c r="E62" s="1415"/>
      <c r="F62" s="1415"/>
      <c r="G62" s="1415"/>
      <c r="H62" s="1415"/>
      <c r="I62" s="1415"/>
      <c r="J62" s="1415"/>
      <c r="K62" s="1415"/>
      <c r="L62" s="1415"/>
      <c r="M62" s="1415"/>
      <c r="N62" s="1415"/>
      <c r="O62" s="1415"/>
      <c r="P62" s="1415"/>
      <c r="Q62" s="1415"/>
      <c r="R62" s="1415"/>
      <c r="S62" s="1415"/>
      <c r="T62" s="1415"/>
      <c r="U62" s="1415"/>
      <c r="V62" s="1415"/>
      <c r="W62" s="1415"/>
      <c r="X62" s="1415"/>
      <c r="Y62" s="1415"/>
      <c r="Z62" s="1415"/>
      <c r="AA62" s="1415"/>
      <c r="AB62" s="1415"/>
      <c r="AC62" s="1415"/>
    </row>
    <row r="63" spans="1:29" x14ac:dyDescent="0.25">
      <c r="A63" s="1415"/>
      <c r="B63" s="1415"/>
      <c r="C63" s="1415"/>
      <c r="D63" s="1415"/>
      <c r="E63" s="1415"/>
      <c r="F63" s="1415"/>
      <c r="G63" s="1415"/>
      <c r="H63" s="1415"/>
      <c r="I63" s="1415"/>
      <c r="J63" s="1415"/>
      <c r="K63" s="1415"/>
      <c r="L63" s="1415"/>
      <c r="M63" s="1415"/>
      <c r="N63" s="1415"/>
      <c r="O63" s="1415"/>
      <c r="P63" s="1415"/>
      <c r="Q63" s="1415"/>
      <c r="R63" s="1415"/>
      <c r="S63" s="1415"/>
      <c r="T63" s="1415"/>
      <c r="U63" s="1415"/>
      <c r="V63" s="1415"/>
      <c r="W63" s="1415"/>
      <c r="X63" s="1415"/>
      <c r="Y63" s="1415"/>
      <c r="Z63" s="1415"/>
      <c r="AA63" s="1415"/>
      <c r="AB63" s="1415"/>
      <c r="AC63" s="1415"/>
    </row>
    <row r="64" spans="1:29" x14ac:dyDescent="0.25">
      <c r="A64" s="1415"/>
      <c r="B64" s="1415"/>
      <c r="C64" s="1415"/>
      <c r="D64" s="1415"/>
      <c r="E64" s="1415"/>
      <c r="F64" s="1415"/>
      <c r="G64" s="1415"/>
      <c r="H64" s="1415"/>
      <c r="I64" s="1415"/>
      <c r="J64" s="1415"/>
      <c r="K64" s="1415"/>
      <c r="L64" s="1415"/>
      <c r="M64" s="1415"/>
      <c r="N64" s="1415"/>
      <c r="O64" s="1415"/>
      <c r="P64" s="1415"/>
      <c r="Q64" s="1415"/>
      <c r="R64" s="1415"/>
      <c r="S64" s="1415"/>
      <c r="T64" s="1415"/>
      <c r="U64" s="1415"/>
      <c r="V64" s="1415"/>
      <c r="W64" s="1415"/>
      <c r="X64" s="1415"/>
      <c r="Y64" s="1415"/>
      <c r="Z64" s="1415"/>
      <c r="AA64" s="1415"/>
      <c r="AB64" s="1415"/>
      <c r="AC64" s="1415"/>
    </row>
    <row r="65" spans="1:29" x14ac:dyDescent="0.25">
      <c r="A65" s="1415"/>
      <c r="B65" s="1415"/>
      <c r="C65" s="1415"/>
      <c r="D65" s="1415"/>
      <c r="E65" s="1415"/>
      <c r="F65" s="1415"/>
      <c r="G65" s="1415"/>
      <c r="H65" s="1415"/>
      <c r="I65" s="1415"/>
      <c r="J65" s="1415"/>
      <c r="K65" s="1415"/>
      <c r="L65" s="1415"/>
      <c r="M65" s="1415"/>
      <c r="N65" s="1415"/>
      <c r="O65" s="1415"/>
      <c r="P65" s="1415"/>
      <c r="Q65" s="1415"/>
      <c r="R65" s="1415"/>
      <c r="S65" s="1415"/>
      <c r="T65" s="1415"/>
      <c r="U65" s="1415"/>
      <c r="V65" s="1415"/>
      <c r="W65" s="1415"/>
      <c r="X65" s="1415"/>
      <c r="Y65" s="1415"/>
      <c r="Z65" s="1415"/>
      <c r="AA65" s="1415"/>
      <c r="AB65" s="1415"/>
      <c r="AC65" s="1415"/>
    </row>
    <row r="66" spans="1:29" x14ac:dyDescent="0.25">
      <c r="A66" s="1415"/>
      <c r="B66" s="1415"/>
      <c r="C66" s="1415"/>
      <c r="D66" s="1415"/>
      <c r="E66" s="1415"/>
      <c r="F66" s="1415"/>
      <c r="G66" s="1415"/>
      <c r="H66" s="1415"/>
      <c r="I66" s="1415"/>
      <c r="J66" s="1415"/>
      <c r="K66" s="1415"/>
      <c r="L66" s="1415"/>
      <c r="M66" s="1415"/>
      <c r="N66" s="1415"/>
      <c r="O66" s="1415"/>
      <c r="P66" s="1415"/>
      <c r="Q66" s="1415"/>
      <c r="R66" s="1415"/>
      <c r="S66" s="1415"/>
      <c r="T66" s="1415"/>
      <c r="U66" s="1415"/>
      <c r="V66" s="1415"/>
      <c r="W66" s="1415"/>
      <c r="X66" s="1415"/>
      <c r="Y66" s="1415"/>
      <c r="Z66" s="1415"/>
      <c r="AA66" s="1415"/>
      <c r="AB66" s="1415"/>
      <c r="AC66" s="1415"/>
    </row>
    <row r="67" spans="1:29" x14ac:dyDescent="0.25">
      <c r="A67" s="1415"/>
      <c r="B67" s="1415"/>
      <c r="C67" s="1415"/>
      <c r="D67" s="1415"/>
      <c r="E67" s="1415"/>
      <c r="F67" s="1415"/>
      <c r="G67" s="1415"/>
      <c r="H67" s="1415"/>
      <c r="I67" s="1415"/>
      <c r="J67" s="1415"/>
      <c r="K67" s="1415"/>
      <c r="L67" s="1415"/>
      <c r="M67" s="1415"/>
      <c r="N67" s="1415"/>
      <c r="O67" s="1415"/>
      <c r="P67" s="1415"/>
      <c r="Q67" s="1415"/>
      <c r="R67" s="1415"/>
      <c r="S67" s="1415"/>
      <c r="T67" s="1415"/>
      <c r="U67" s="1415"/>
      <c r="V67" s="1415"/>
      <c r="W67" s="1415"/>
      <c r="X67" s="1415"/>
      <c r="Y67" s="1415"/>
      <c r="Z67" s="1415"/>
      <c r="AA67" s="1415"/>
      <c r="AB67" s="1415"/>
      <c r="AC67" s="1415"/>
    </row>
    <row r="68" spans="1:29" x14ac:dyDescent="0.25">
      <c r="A68" s="1415"/>
      <c r="B68" s="1415"/>
      <c r="C68" s="1415"/>
      <c r="D68" s="1415"/>
      <c r="E68" s="1415"/>
      <c r="F68" s="1415"/>
      <c r="G68" s="1415"/>
      <c r="H68" s="1415"/>
      <c r="I68" s="1415"/>
      <c r="J68" s="1415"/>
      <c r="K68" s="1415"/>
      <c r="L68" s="1415"/>
      <c r="M68" s="1415"/>
      <c r="N68" s="1415"/>
      <c r="O68" s="1415"/>
      <c r="P68" s="1415"/>
      <c r="Q68" s="1415"/>
      <c r="R68" s="1415"/>
      <c r="S68" s="1415"/>
      <c r="T68" s="1415"/>
      <c r="U68" s="1415"/>
      <c r="V68" s="1415"/>
      <c r="W68" s="1415"/>
      <c r="X68" s="1415"/>
      <c r="Y68" s="1415"/>
      <c r="Z68" s="1415"/>
      <c r="AA68" s="1415"/>
      <c r="AB68" s="1415"/>
      <c r="AC68" s="1415"/>
    </row>
    <row r="69" spans="1:29" x14ac:dyDescent="0.25">
      <c r="A69" s="1415"/>
      <c r="B69" s="1415"/>
      <c r="C69" s="1415"/>
      <c r="D69" s="1415"/>
      <c r="E69" s="1415"/>
      <c r="F69" s="1415"/>
      <c r="G69" s="1415"/>
      <c r="H69" s="1415"/>
      <c r="I69" s="1415"/>
      <c r="J69" s="1415"/>
      <c r="K69" s="1415"/>
      <c r="L69" s="1415"/>
      <c r="M69" s="1415"/>
      <c r="N69" s="1415"/>
      <c r="O69" s="1415"/>
      <c r="P69" s="1415"/>
      <c r="Q69" s="1415"/>
      <c r="R69" s="1415"/>
      <c r="S69" s="1415"/>
      <c r="T69" s="1415"/>
      <c r="U69" s="1415"/>
      <c r="V69" s="1415"/>
      <c r="W69" s="1415"/>
      <c r="X69" s="1415"/>
      <c r="Y69" s="1415"/>
      <c r="Z69" s="1415"/>
      <c r="AA69" s="1415"/>
      <c r="AB69" s="1415"/>
      <c r="AC69" s="1415"/>
    </row>
    <row r="70" spans="1:29" x14ac:dyDescent="0.25">
      <c r="A70" s="1415"/>
      <c r="B70" s="1415"/>
      <c r="C70" s="1415"/>
      <c r="D70" s="1415"/>
      <c r="E70" s="1415"/>
      <c r="F70" s="1415"/>
      <c r="G70" s="1415"/>
      <c r="H70" s="1415"/>
      <c r="I70" s="1415"/>
      <c r="J70" s="1415"/>
      <c r="K70" s="1415"/>
      <c r="L70" s="1415"/>
      <c r="M70" s="1415"/>
      <c r="N70" s="1415"/>
      <c r="O70" s="1415"/>
      <c r="P70" s="1415"/>
      <c r="Q70" s="1415"/>
      <c r="R70" s="1415"/>
      <c r="S70" s="1415"/>
      <c r="T70" s="1415"/>
      <c r="U70" s="1415"/>
      <c r="V70" s="1415"/>
      <c r="W70" s="1415"/>
      <c r="X70" s="1415"/>
      <c r="Y70" s="1415"/>
      <c r="Z70" s="1415"/>
      <c r="AA70" s="1415"/>
      <c r="AB70" s="1415"/>
      <c r="AC70" s="1415"/>
    </row>
    <row r="71" spans="1:29" x14ac:dyDescent="0.25">
      <c r="A71" s="1415"/>
      <c r="B71" s="1415"/>
      <c r="C71" s="1415"/>
      <c r="D71" s="1415"/>
      <c r="E71" s="1415"/>
      <c r="F71" s="1415"/>
      <c r="G71" s="1415"/>
      <c r="H71" s="1415"/>
      <c r="I71" s="1415"/>
      <c r="J71" s="1415"/>
      <c r="K71" s="1415"/>
      <c r="L71" s="1415"/>
      <c r="M71" s="1415"/>
      <c r="N71" s="1415"/>
      <c r="O71" s="1415"/>
      <c r="P71" s="1415"/>
      <c r="Q71" s="1415"/>
      <c r="R71" s="1415"/>
      <c r="S71" s="1415"/>
      <c r="T71" s="1415"/>
      <c r="U71" s="1415"/>
      <c r="V71" s="1415"/>
      <c r="W71" s="1415"/>
      <c r="X71" s="1415"/>
      <c r="Y71" s="1415"/>
      <c r="Z71" s="1415"/>
      <c r="AA71" s="1415"/>
      <c r="AB71" s="1415"/>
      <c r="AC71" s="1415"/>
    </row>
    <row r="72" spans="1:29" x14ac:dyDescent="0.25">
      <c r="A72" s="1415"/>
      <c r="B72" s="1415"/>
      <c r="C72" s="1415"/>
      <c r="D72" s="1415"/>
      <c r="E72" s="1415"/>
      <c r="F72" s="1415"/>
      <c r="G72" s="1415"/>
      <c r="H72" s="1415"/>
      <c r="I72" s="1415"/>
      <c r="J72" s="1415"/>
      <c r="K72" s="1415"/>
      <c r="L72" s="1415"/>
      <c r="M72" s="1415"/>
      <c r="N72" s="1415"/>
      <c r="O72" s="1415"/>
      <c r="P72" s="1415"/>
      <c r="Q72" s="1415"/>
      <c r="R72" s="1415"/>
      <c r="S72" s="1415"/>
      <c r="T72" s="1415"/>
      <c r="U72" s="1415"/>
      <c r="V72" s="1415"/>
      <c r="W72" s="1415"/>
      <c r="X72" s="1415"/>
      <c r="Y72" s="1415"/>
      <c r="Z72" s="1415"/>
      <c r="AA72" s="1415"/>
      <c r="AB72" s="1415"/>
      <c r="AC72" s="1415"/>
    </row>
    <row r="73" spans="1:29" x14ac:dyDescent="0.25">
      <c r="A73" s="1415"/>
      <c r="B73" s="1415"/>
      <c r="C73" s="1415"/>
      <c r="D73" s="1415"/>
      <c r="E73" s="1415"/>
      <c r="F73" s="1415"/>
      <c r="G73" s="1415"/>
      <c r="H73" s="1415"/>
      <c r="I73" s="1415"/>
      <c r="J73" s="1415"/>
      <c r="K73" s="1415"/>
      <c r="L73" s="1415"/>
      <c r="M73" s="1415"/>
      <c r="N73" s="1415"/>
      <c r="O73" s="1415"/>
      <c r="P73" s="1415"/>
      <c r="Q73" s="1415"/>
      <c r="R73" s="1415"/>
      <c r="S73" s="1415"/>
      <c r="T73" s="1415"/>
      <c r="U73" s="1415"/>
      <c r="V73" s="1415"/>
      <c r="W73" s="1415"/>
      <c r="X73" s="1415"/>
      <c r="Y73" s="1415"/>
      <c r="Z73" s="1415"/>
      <c r="AA73" s="1415"/>
      <c r="AB73" s="1415"/>
      <c r="AC73" s="1415"/>
    </row>
    <row r="74" spans="1:29" x14ac:dyDescent="0.25">
      <c r="A74" s="1415"/>
      <c r="B74" s="1415"/>
      <c r="C74" s="1415"/>
      <c r="D74" s="1415"/>
      <c r="E74" s="1415"/>
      <c r="F74" s="1415"/>
      <c r="G74" s="1415"/>
      <c r="H74" s="1415"/>
      <c r="I74" s="1415"/>
      <c r="J74" s="1415"/>
      <c r="K74" s="1415"/>
      <c r="L74" s="1415"/>
      <c r="M74" s="1415"/>
      <c r="N74" s="1415"/>
      <c r="O74" s="1415"/>
      <c r="P74" s="1415"/>
      <c r="Q74" s="1415"/>
      <c r="R74" s="1415"/>
      <c r="S74" s="1415"/>
      <c r="T74" s="1415"/>
      <c r="U74" s="1415"/>
      <c r="V74" s="1415"/>
      <c r="W74" s="1415"/>
      <c r="X74" s="1415"/>
      <c r="Y74" s="1415"/>
      <c r="Z74" s="1415"/>
      <c r="AA74" s="1415"/>
      <c r="AB74" s="1415"/>
      <c r="AC74" s="1415"/>
    </row>
  </sheetData>
  <mergeCells count="7">
    <mergeCell ref="E32:F32"/>
    <mergeCell ref="B44:B45"/>
    <mergeCell ref="B51:B52"/>
    <mergeCell ref="B4:J4"/>
    <mergeCell ref="B5:J5"/>
    <mergeCell ref="D21:F21"/>
    <mergeCell ref="E28:F28"/>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 ref="C53" r:id="rId1" xr:uid="{CB3E2DD2-1EAB-41A9-BAC2-C0A3D2079C92}"/>
    <hyperlink ref="C46" r:id="rId2" xr:uid="{55EB6A84-7F0D-42F2-AA7B-4F6A02185388}"/>
  </hyperlinks>
  <pageMargins left="0.75" right="0.75" top="1" bottom="1" header="0.5" footer="0.5"/>
  <pageSetup orientation="portrait" r:id="rId3"/>
  <headerFooter alignWithMargins="0"/>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heetViews>
  <sheetFormatPr defaultRowHeight="13.2" x14ac:dyDescent="0.25"/>
  <cols>
    <col min="2" max="2" width="28.6640625" customWidth="1"/>
    <col min="3" max="3" width="25.33203125" customWidth="1"/>
    <col min="4" max="4" width="22.6640625" customWidth="1"/>
    <col min="5" max="5" width="22.33203125" customWidth="1"/>
    <col min="6" max="6" width="20.33203125" customWidth="1"/>
    <col min="7" max="7" width="18.5546875" customWidth="1"/>
    <col min="8" max="8" width="15.6640625" customWidth="1"/>
    <col min="9" max="9" width="16.33203125" customWidth="1"/>
  </cols>
  <sheetData>
    <row r="1" spans="2:9" ht="13.8" thickBot="1" x14ac:dyDescent="0.3"/>
    <row r="2" spans="2:9" ht="16.2" thickTop="1" x14ac:dyDescent="0.3">
      <c r="B2" s="643" t="s">
        <v>1040</v>
      </c>
      <c r="C2" s="644"/>
    </row>
    <row r="3" spans="2:9" x14ac:dyDescent="0.25">
      <c r="B3" s="645" t="s">
        <v>76</v>
      </c>
      <c r="C3" s="603"/>
    </row>
    <row r="4" spans="2:9" x14ac:dyDescent="0.25">
      <c r="B4" s="645" t="s">
        <v>898</v>
      </c>
      <c r="C4" s="603"/>
    </row>
    <row r="5" spans="2:9" x14ac:dyDescent="0.25">
      <c r="B5" s="645" t="s">
        <v>389</v>
      </c>
      <c r="C5" s="603"/>
    </row>
    <row r="6" spans="2:9" x14ac:dyDescent="0.25">
      <c r="B6" s="645" t="s">
        <v>1041</v>
      </c>
      <c r="C6" s="603"/>
    </row>
    <row r="7" spans="2:9" x14ac:dyDescent="0.25">
      <c r="B7" s="645" t="s">
        <v>397</v>
      </c>
      <c r="C7" s="603"/>
    </row>
    <row r="8" spans="2:9" x14ac:dyDescent="0.25">
      <c r="B8" s="645" t="s">
        <v>521</v>
      </c>
      <c r="C8" s="603"/>
    </row>
    <row r="9" spans="2:9" x14ac:dyDescent="0.25">
      <c r="B9" s="645" t="s">
        <v>1042</v>
      </c>
      <c r="C9" s="603"/>
    </row>
    <row r="10" spans="2:9" ht="13.8" thickBot="1" x14ac:dyDescent="0.3">
      <c r="B10" s="646" t="s">
        <v>1043</v>
      </c>
      <c r="C10" s="647"/>
    </row>
    <row r="11" spans="2:9" ht="13.8" thickTop="1" x14ac:dyDescent="0.25"/>
    <row r="12" spans="2:9" ht="24.6" x14ac:dyDescent="0.4">
      <c r="B12" s="412" t="s">
        <v>386</v>
      </c>
      <c r="C12" s="133"/>
      <c r="D12" s="133"/>
      <c r="E12" s="51"/>
      <c r="F12" s="51"/>
      <c r="G12" s="38"/>
      <c r="H12" s="39"/>
      <c r="I12" s="132"/>
    </row>
    <row r="13" spans="2:9" x14ac:dyDescent="0.25">
      <c r="D13" s="133"/>
      <c r="E13" s="134"/>
      <c r="F13" s="51"/>
      <c r="G13" s="38"/>
      <c r="H13" s="39"/>
      <c r="I13" s="132"/>
    </row>
    <row r="14" spans="2:9" ht="21.6" thickBot="1" x14ac:dyDescent="0.55000000000000004">
      <c r="B14" s="310" t="s">
        <v>387</v>
      </c>
      <c r="D14" s="133"/>
      <c r="E14" s="51"/>
      <c r="F14" s="51"/>
      <c r="G14" s="38"/>
      <c r="H14" s="39"/>
      <c r="I14" s="132"/>
    </row>
    <row r="15" spans="2:9" ht="15.6" thickBot="1" x14ac:dyDescent="0.3">
      <c r="B15" s="828" t="s">
        <v>1068</v>
      </c>
      <c r="C15" s="829">
        <f ca="1">total_cap/(ProcEqpCap)</f>
        <v>2.5164769230946282</v>
      </c>
      <c r="D15" s="133"/>
      <c r="E15" s="51"/>
      <c r="F15" s="51"/>
      <c r="G15" s="38"/>
      <c r="H15" s="39"/>
      <c r="I15" s="132"/>
    </row>
    <row r="16" spans="2:9" ht="13.8" thickBot="1" x14ac:dyDescent="0.3">
      <c r="B16" s="51"/>
      <c r="C16" s="51"/>
      <c r="D16" s="51"/>
      <c r="E16" s="51"/>
      <c r="F16" s="51"/>
      <c r="G16" s="38"/>
      <c r="H16" s="39"/>
      <c r="I16" s="132"/>
    </row>
    <row r="17" spans="2:9" ht="16.8" thickTop="1" thickBot="1" x14ac:dyDescent="0.35">
      <c r="B17" s="47" t="s">
        <v>76</v>
      </c>
      <c r="C17" s="147"/>
      <c r="D17" s="148"/>
      <c r="E17" s="51"/>
      <c r="F17" s="1571" t="str">
        <f>IF(('Carbon Sequestration'!C28&gt;0),"CO₂ Transport &amp; Sequestration costs*","Carbon Sequestration is not included in this case")</f>
        <v>CO₂ Transport &amp; Sequestration costs*</v>
      </c>
      <c r="G17" s="1572"/>
      <c r="H17" s="1573"/>
      <c r="I17" s="132"/>
    </row>
    <row r="18" spans="2:9" ht="55.8" thickTop="1" x14ac:dyDescent="0.25">
      <c r="B18" s="150" t="s">
        <v>77</v>
      </c>
      <c r="C18" s="54" t="s">
        <v>78</v>
      </c>
      <c r="D18" s="411" t="s">
        <v>79</v>
      </c>
      <c r="E18" s="51"/>
      <c r="F18" s="1437" t="s">
        <v>77</v>
      </c>
      <c r="G18" s="1041" t="s">
        <v>1</v>
      </c>
      <c r="H18" s="1438" t="s">
        <v>2</v>
      </c>
      <c r="I18" s="132"/>
    </row>
    <row r="19" spans="2:9" ht="14.4" x14ac:dyDescent="0.3">
      <c r="B19" s="541" t="s">
        <v>80</v>
      </c>
      <c r="C19" s="700">
        <f ca="1">'Cash Flow Analysis'!D119</f>
        <v>0.38615775105083039</v>
      </c>
      <c r="D19" s="151">
        <f ca="1">'Cash Flow Analysis'!C119</f>
        <v>0.20810154233740397</v>
      </c>
      <c r="E19" s="51"/>
      <c r="F19" s="1439" t="s">
        <v>1384</v>
      </c>
      <c r="G19" s="1440">
        <f ca="1">+'Carbon Sequestration'!H36</f>
        <v>6.1568879946376776E-2</v>
      </c>
      <c r="H19" s="1441">
        <f ca="1">+'Carbon Sequestration'!G36</f>
        <v>6.4141692528764924</v>
      </c>
      <c r="I19" s="132"/>
    </row>
    <row r="20" spans="2:9" ht="15" thickBot="1" x14ac:dyDescent="0.35">
      <c r="B20" s="541" t="s">
        <v>81</v>
      </c>
      <c r="C20" s="232">
        <f ca="1">'Cash Flow Analysis'!D120</f>
        <v>1.9415742333874332E-3</v>
      </c>
      <c r="D20" s="152">
        <f ca="1">'Cash Flow Analysis'!C120</f>
        <v>1.0463200374224851E-3</v>
      </c>
      <c r="E20" s="51"/>
      <c r="F20" s="1445" t="s">
        <v>1385</v>
      </c>
      <c r="G20" s="1446">
        <f ca="1">+'Carbon Sequestration'!H37</f>
        <v>0.15884846806160041</v>
      </c>
      <c r="H20" s="1447">
        <f ca="1">+'Carbon Sequestration'!G37</f>
        <v>16.324037803640259</v>
      </c>
      <c r="I20" s="132"/>
    </row>
    <row r="21" spans="2:9" ht="13.8" thickTop="1" x14ac:dyDescent="0.25">
      <c r="B21" s="541" t="s">
        <v>82</v>
      </c>
      <c r="C21" s="232">
        <f ca="1">'Cash Flow Analysis'!D121</f>
        <v>0.20583602739814114</v>
      </c>
      <c r="D21" s="152">
        <f ca="1">'Cash Flow Analysis'!C121</f>
        <v>0.11092563765350631</v>
      </c>
      <c r="E21" s="51"/>
      <c r="I21" s="51"/>
    </row>
    <row r="22" spans="2:9" ht="12.75" customHeight="1" thickBot="1" x14ac:dyDescent="0.3">
      <c r="B22" s="541" t="s">
        <v>977</v>
      </c>
      <c r="C22" s="232">
        <f ca="1">'Cash Flow Analysis'!D122</f>
        <v>0.97692148024886427</v>
      </c>
      <c r="D22" s="152">
        <f ca="1">'Cash Flow Analysis'!C122</f>
        <v>0.52646584518659034</v>
      </c>
      <c r="E22" s="51"/>
      <c r="F22" s="1442" t="s">
        <v>55</v>
      </c>
      <c r="G22" s="1443">
        <f ca="1">SUM(G19:G20)</f>
        <v>0.22041734800797719</v>
      </c>
      <c r="H22" s="1444">
        <f ca="1">SUM(H19:H20)</f>
        <v>22.73820705651675</v>
      </c>
      <c r="I22" s="132"/>
    </row>
    <row r="23" spans="2:9" ht="27" customHeight="1" x14ac:dyDescent="0.25">
      <c r="B23" s="541" t="s">
        <v>83</v>
      </c>
      <c r="C23" s="232">
        <f ca="1">'Cash Flow Analysis'!D123</f>
        <v>3.7320310600916909E-2</v>
      </c>
      <c r="D23" s="152">
        <f ca="1">'Cash Flow Analysis'!C123</f>
        <v>2.0112024620579153E-2</v>
      </c>
      <c r="E23" s="51"/>
      <c r="F23" s="1576" t="s">
        <v>3</v>
      </c>
      <c r="G23" s="1576"/>
      <c r="H23" s="1576"/>
      <c r="I23" s="132"/>
    </row>
    <row r="24" spans="2:9" x14ac:dyDescent="0.25">
      <c r="B24" s="541" t="s">
        <v>84</v>
      </c>
      <c r="C24" s="232">
        <f ca="1">'Cash Flow Analysis'!D124</f>
        <v>0</v>
      </c>
      <c r="D24" s="152">
        <f ca="1">'Cash Flow Analysis'!C124</f>
        <v>0</v>
      </c>
      <c r="E24" s="51"/>
      <c r="F24" s="1577"/>
      <c r="G24" s="1577"/>
      <c r="H24" s="1577"/>
      <c r="I24" s="132"/>
    </row>
    <row r="25" spans="2:9" ht="26.4" x14ac:dyDescent="0.25">
      <c r="B25" s="542" t="s">
        <v>85</v>
      </c>
      <c r="C25" s="232">
        <f ca="1">'Cash Flow Analysis'!D125</f>
        <v>0.24744462031205222</v>
      </c>
      <c r="D25" s="152">
        <f ca="1">'Cash Flow Analysis'!C125</f>
        <v>0.13334863016449777</v>
      </c>
      <c r="E25" s="51"/>
      <c r="F25" s="51"/>
      <c r="I25" s="132"/>
    </row>
    <row r="26" spans="2:9" ht="13.8" thickBot="1" x14ac:dyDescent="0.3">
      <c r="B26" s="543" t="s">
        <v>55</v>
      </c>
      <c r="C26" s="701">
        <f ca="1">SUM(C19:C25)</f>
        <v>1.8556217638441923</v>
      </c>
      <c r="D26" s="485"/>
      <c r="E26" s="51"/>
      <c r="F26" s="51"/>
      <c r="I26" s="132"/>
    </row>
    <row r="27" spans="2:9" ht="13.8" thickTop="1" x14ac:dyDescent="0.25">
      <c r="B27" s="51"/>
      <c r="C27" s="51"/>
      <c r="D27" s="141"/>
      <c r="E27" s="51"/>
      <c r="F27" s="51"/>
      <c r="I27" s="132"/>
    </row>
    <row r="28" spans="2:9" ht="21" x14ac:dyDescent="0.5">
      <c r="B28" s="310" t="s">
        <v>388</v>
      </c>
      <c r="C28" s="51"/>
      <c r="D28" s="39"/>
      <c r="E28" s="51"/>
      <c r="F28" s="51"/>
      <c r="G28" s="51"/>
      <c r="H28" s="51"/>
      <c r="I28" s="132"/>
    </row>
    <row r="29" spans="2:9" ht="13.8" thickBot="1" x14ac:dyDescent="0.3">
      <c r="I29" s="132"/>
    </row>
    <row r="30" spans="2:9" ht="16.8" thickTop="1" thickBot="1" x14ac:dyDescent="0.35">
      <c r="B30" s="1563" t="s">
        <v>898</v>
      </c>
      <c r="C30" s="1564"/>
      <c r="D30" s="525"/>
      <c r="E30" s="525"/>
      <c r="F30" s="525"/>
      <c r="G30" s="526"/>
      <c r="H30" s="526"/>
      <c r="I30" s="530"/>
    </row>
    <row r="31" spans="2:9" ht="42" thickBot="1" x14ac:dyDescent="0.3">
      <c r="B31" s="531" t="s">
        <v>245</v>
      </c>
      <c r="C31" s="532" t="s">
        <v>902</v>
      </c>
      <c r="D31" s="532" t="s">
        <v>897</v>
      </c>
      <c r="E31" s="533" t="s">
        <v>693</v>
      </c>
      <c r="F31" s="533" t="s">
        <v>261</v>
      </c>
      <c r="G31" s="533" t="s">
        <v>896</v>
      </c>
      <c r="H31" s="533" t="s">
        <v>913</v>
      </c>
      <c r="I31" s="534" t="s">
        <v>1164</v>
      </c>
    </row>
    <row r="32" spans="2:9" x14ac:dyDescent="0.25">
      <c r="B32" s="620" t="str">
        <f>IF('Cash Flow Analysis'!$B$131=0,"",'Cash Flow Analysis'!$B$131)</f>
        <v>Industrial Electricity</v>
      </c>
      <c r="C32" s="621">
        <f ca="1">IF($B$32="","",$E$32*$F$32*$H$32)</f>
        <v>5.4093913043478251E-3</v>
      </c>
      <c r="D32" s="621">
        <f ca="1">IF($B32="","",$C32*1000*MJ_to_kWh)</f>
        <v>1.5026086956521738</v>
      </c>
      <c r="E32" s="622">
        <f ca="1">IF($B$32&lt;&gt;"",VLOOKUP($B$32,MASTER_PROPERTY_TABLE,MATCH("H2A LHV (GJ/ H2A usage input unit)",key_MPTable,0),FALSE),"")</f>
        <v>3.5999999999999995E-3</v>
      </c>
      <c r="F32" s="622">
        <f>IF('Cash Flow Analysis'!$B$133="","",'Cash Flow Analysis'!$B$133)</f>
        <v>1.5026086956521738</v>
      </c>
      <c r="G32" s="623" t="str">
        <f ca="1">IF($B$32&lt;&gt;"",VLOOKUP($B$32,MASTER_PROPERTY_TABLE,MATCH("H2A Usage Input Unit/ kg H2",key_MPTable,0),FALSE),"")</f>
        <v>kWh</v>
      </c>
      <c r="H32" s="623">
        <f ca="1">IF($B32="","",IF(VLOOKUP($B32,MASTER_PROPERTY_TABLE,MATCH("Unit System",key_MPTable,0),FALSE)="English",mmBTU_to_GJ,1))</f>
        <v>1</v>
      </c>
      <c r="I32" s="1006">
        <f ca="1">+'Cash Flow Analysis'!$B$233</f>
        <v>7.7853020431673095E-2</v>
      </c>
    </row>
    <row r="33" spans="2:9" x14ac:dyDescent="0.25">
      <c r="B33" s="574" t="str">
        <f>IF('Cash Flow Analysis'!$C$131=0,"",'Cash Flow Analysis'!$C$131)</f>
        <v>Industrial Natural Gas</v>
      </c>
      <c r="C33" s="624">
        <f ca="1">IF($B$33="","",$E$33*$F$33*$H$33)</f>
        <v>0.17700754483704886</v>
      </c>
      <c r="D33" s="624">
        <f ca="1">IF($B33="","",$C33*1000*MJ_to_kWh)</f>
        <v>49.168762454735798</v>
      </c>
      <c r="E33" s="578">
        <f ca="1">IF($B$33&lt;&gt;"",VLOOKUP($B$33,MASTER_PROPERTY_TABLE,MATCH("H2A LHV (GJ/ H2A usage input unit)",key_MPTable,0),FALSE),"")</f>
        <v>1.0549999999999999</v>
      </c>
      <c r="F33" s="578">
        <f>IF('Cash Flow Analysis'!$C$133="","",'Cash Flow Analysis'!$C$133)</f>
        <v>0.16777966335265296</v>
      </c>
      <c r="G33" s="625" t="str">
        <f ca="1">IF($B$33&lt;&gt;"",VLOOKUP($B$33,MASTER_PROPERTY_TABLE,MATCH("H2A Usage Input Unit/ kg H2",key_MPTable,0),FALSE),"")</f>
        <v>mmBtu</v>
      </c>
      <c r="H33" s="625">
        <f ca="1">IF($B$33="","",IF(VLOOKUP($B$33,MASTER_PROPERTY_TABLE,MATCH("Unit System",key_MPTable,0),FALSE)="English",mmBTU_to_GJ,1))</f>
        <v>1</v>
      </c>
      <c r="I33" s="1007">
        <f ca="1">+'Cash Flow Analysis'!$C$233</f>
        <v>5.4636424194057636</v>
      </c>
    </row>
    <row r="34" spans="2:9" x14ac:dyDescent="0.25">
      <c r="B34" s="574" t="str">
        <f>IF('Cash Flow Analysis'!$D$131=0,"",'Cash Flow Analysis'!$D$131)</f>
        <v/>
      </c>
      <c r="C34" s="624" t="str">
        <f>IF($B$34="","",$E$34*$F$34*$H$34)</f>
        <v/>
      </c>
      <c r="D34" s="624" t="str">
        <f>IF($B34="","",$C34*1000*MJ_to_kWh)</f>
        <v/>
      </c>
      <c r="E34" s="578" t="str">
        <f>IF($B$34&lt;&gt;"",VLOOKUP($B$34,MASTER_PROPERTY_TABLE,MATCH("H2A LHV (GJ/ H2A usage input unit)",key_MPTable,0),FALSE),"")</f>
        <v/>
      </c>
      <c r="F34" s="578" t="str">
        <f>IF('Cash Flow Analysis'!$D$133="","",'Cash Flow Analysis'!$D$133)</f>
        <v/>
      </c>
      <c r="G34" s="625" t="str">
        <f>IF($B$34&lt;&gt;"",VLOOKUP($B$34,MASTER_PROPERTY_TABLE,MATCH("H2A Usage Input Unit/ kg H2",key_MPTable,0),FALSE),"")</f>
        <v/>
      </c>
      <c r="H34" s="625" t="str">
        <f>IF($B$34="","",IF(VLOOKUP($B$34,MASTER_PROPERTY_TABLE,MATCH("Unit System",key_MPTable,0),FALSE)="English",mmBTU_to_GJ,1))</f>
        <v/>
      </c>
      <c r="I34" s="1007" t="str">
        <f>+'Cash Flow Analysis'!$D$233</f>
        <v/>
      </c>
    </row>
    <row r="35" spans="2:9" ht="13.8" thickBot="1" x14ac:dyDescent="0.3">
      <c r="B35" s="627" t="str">
        <f>IF('Cash Flow Analysis'!$E$131=0,"",'Cash Flow Analysis'!$E$131)</f>
        <v/>
      </c>
      <c r="C35" s="628" t="str">
        <f>IF($B$35="","",$E$35*$F$35*$H$35)</f>
        <v/>
      </c>
      <c r="D35" s="628" t="str">
        <f>IF($B35="","",$C35*1000*MJ_to_kWh)</f>
        <v/>
      </c>
      <c r="E35" s="629" t="str">
        <f>IF($B$35&lt;&gt;"",VLOOKUP($B$35,MASTER_PROPERTY_TABLE,MATCH("H2A LHV (GJ/ H2A usage input unit)",key_MPTable,0),FALSE),"")</f>
        <v/>
      </c>
      <c r="F35" s="629" t="str">
        <f>IF('Cash Flow Analysis'!$E$133="","",'Cash Flow Analysis'!$E$133)</f>
        <v/>
      </c>
      <c r="G35" s="630" t="str">
        <f>IF($B$35&lt;&gt;"",VLOOKUP($B$35,MASTER_PROPERTY_TABLE,MATCH("H2A Usage Input Unit/ kg H2",key_MPTable,0),FALSE),"")</f>
        <v/>
      </c>
      <c r="H35" s="630" t="str">
        <f>IF($B$35="","",IF(VLOOKUP($B$35,MASTER_PROPERTY_TABLE,MATCH("Unit System",key_MPTable,0),FALSE)="English",mmBTU_to_GJ,1))</f>
        <v/>
      </c>
      <c r="I35" s="1008" t="str">
        <f>+'Cash Flow Analysis'!$E$233</f>
        <v/>
      </c>
    </row>
    <row r="36" spans="2:9" ht="13.8" x14ac:dyDescent="0.25">
      <c r="B36" s="631" t="s">
        <v>268</v>
      </c>
      <c r="C36" s="632"/>
      <c r="D36" s="632"/>
      <c r="E36" s="538"/>
      <c r="F36" s="538"/>
      <c r="G36" s="539"/>
      <c r="H36" s="539"/>
      <c r="I36" s="1009"/>
    </row>
    <row r="37" spans="2:9" x14ac:dyDescent="0.25">
      <c r="B37" s="574" t="str">
        <f>IF('Cash Flow Analysis'!$F$131=0,"",'Cash Flow Analysis'!$F$131)</f>
        <v/>
      </c>
      <c r="C37" s="624" t="str">
        <f>IF($B$37="","",$E$37*$F$37*$H$37)</f>
        <v/>
      </c>
      <c r="D37" s="624" t="str">
        <f>IF($B37="","",$C37*1000*MJ_to_kWh)</f>
        <v/>
      </c>
      <c r="E37" s="578" t="str">
        <f>IF($B37&lt;&gt;"",VLOOKUP($B37,MASTER_PROPERTY_TABLE,MATCH("H2A LHV (GJ/ H2A usage input unit)",key_MPTable,0),FALSE),"")</f>
        <v/>
      </c>
      <c r="F37" s="578" t="str">
        <f>IF('Cash Flow Analysis'!$F$133="","",'Cash Flow Analysis'!$F$133)</f>
        <v/>
      </c>
      <c r="G37" s="625" t="str">
        <f>IF($B$37&lt;&gt;"",VLOOKUP($B$37,MASTER_PROPERTY_TABLE,MATCH("H2A Usage Input Unit/ kg H2",key_MPTable,0),FALSE),"")</f>
        <v/>
      </c>
      <c r="H37" s="625" t="str">
        <f>IF($B$37="","",IF(VLOOKUP($B$37,MASTER_PROPERTY_TABLE,MATCH("Unit System",key_MPTable,0),FALSE)="English",mmBTU_to_GJ,1))</f>
        <v/>
      </c>
      <c r="I37" s="1007" t="str">
        <f>+'Cash Flow Analysis'!$F$233</f>
        <v/>
      </c>
    </row>
    <row r="38" spans="2:9" x14ac:dyDescent="0.25">
      <c r="B38" s="574" t="str">
        <f>IF('Cash Flow Analysis'!$G$131=0,"",'Cash Flow Analysis'!$G$131)</f>
        <v/>
      </c>
      <c r="C38" s="624" t="str">
        <f>IF($B$38="","",$E$38*$F$38*$H$38)</f>
        <v/>
      </c>
      <c r="D38" s="624" t="str">
        <f>IF($B38="","",$C38*1000*MJ_to_kWh)</f>
        <v/>
      </c>
      <c r="E38" s="578" t="str">
        <f>IF($B38&lt;&gt;"",VLOOKUP($B38,MASTER_PROPERTY_TABLE,MATCH("H2A LHV (GJ/ H2A usage input unit)",key_MPTable,0),FALSE),"")</f>
        <v/>
      </c>
      <c r="F38" s="578" t="str">
        <f>IF('Cash Flow Analysis'!$G$133="","",'Cash Flow Analysis'!$G$133)</f>
        <v/>
      </c>
      <c r="G38" s="625" t="str">
        <f>IF($B$38&lt;&gt;"",VLOOKUP($B$38,MASTER_PROPERTY_TABLE,MATCH("H2A Usage Input Unit/ kg H2",key_MPTable,0),FALSE),"")</f>
        <v/>
      </c>
      <c r="H38" s="625" t="str">
        <f>IF($B$38="","",IF(VLOOKUP($B$38,MASTER_PROPERTY_TABLE,MATCH("Unit System",key_MPTable,0),FALSE)="English",mmBTU_to_GJ,1))</f>
        <v/>
      </c>
      <c r="I38" s="1007" t="str">
        <f>+'Cash Flow Analysis'!$G$233</f>
        <v/>
      </c>
    </row>
    <row r="39" spans="2:9" x14ac:dyDescent="0.25">
      <c r="B39" s="574" t="str">
        <f>IF('Cash Flow Analysis'!$H$131=0,"",'Cash Flow Analysis'!$H$131)</f>
        <v/>
      </c>
      <c r="C39" s="624" t="str">
        <f>IF($B$39="","",$E$39*$F$39*$H$39)</f>
        <v/>
      </c>
      <c r="D39" s="624" t="str">
        <f>IF($B39="","",$C39*1000*MJ_to_kWh)</f>
        <v/>
      </c>
      <c r="E39" s="578" t="str">
        <f>IF($B39&lt;&gt;"",VLOOKUP($B39,MASTER_PROPERTY_TABLE,MATCH("H2A LHV (GJ/ H2A usage input unit)",key_MPTable,0),FALSE),"")</f>
        <v/>
      </c>
      <c r="F39" s="578" t="str">
        <f>IF('Cash Flow Analysis'!$H$133="","",'Cash Flow Analysis'!$H$133)</f>
        <v/>
      </c>
      <c r="G39" s="625" t="str">
        <f>IF($B$39&lt;&gt;"",VLOOKUP($B$39,MASTER_PROPERTY_TABLE,MATCH("H2A Usage Input Unit/ kg H2",key_MPTable,0),FALSE),"")</f>
        <v/>
      </c>
      <c r="H39" s="625" t="str">
        <f>IF($B$39="","",IF(VLOOKUP($B$39,MASTER_PROPERTY_TABLE,MATCH("Unit System",key_MPTable,0),FALSE)="English",mmBTU_to_GJ,1))</f>
        <v/>
      </c>
      <c r="I39" s="1007" t="str">
        <f>+'Cash Flow Analysis'!$H$233</f>
        <v/>
      </c>
    </row>
    <row r="40" spans="2:9" ht="13.8" thickBot="1" x14ac:dyDescent="0.3">
      <c r="B40" s="627" t="str">
        <f>IF('Cash Flow Analysis'!$I$131=0,"",'Cash Flow Analysis'!$I$131)</f>
        <v/>
      </c>
      <c r="C40" s="628" t="str">
        <f>IF($B$40="","",$E$40*$F$40*$H$40)</f>
        <v/>
      </c>
      <c r="D40" s="628" t="str">
        <f>IF($B40="","",$C40*1000*MJ_to_kWh)</f>
        <v/>
      </c>
      <c r="E40" s="629" t="str">
        <f>IF($B40&lt;&gt;"",VLOOKUP($B40,MASTER_PROPERTY_TABLE,MATCH("H2A LHV (GJ/ H2A usage input unit)",key_MPTable,0),FALSE),"")</f>
        <v/>
      </c>
      <c r="F40" s="629" t="str">
        <f>IF('Cash Flow Analysis'!$I$133="","",'Cash Flow Analysis'!$I$133)</f>
        <v/>
      </c>
      <c r="G40" s="630" t="str">
        <f>IF($B$40&lt;&gt;"",VLOOKUP($B$40,MASTER_PROPERTY_TABLE,MATCH("H2A Usage Input Unit/ kg H2",key_MPTable,0),FALSE),"")</f>
        <v/>
      </c>
      <c r="H40" s="630" t="str">
        <f>IF($B$40="","",IF(VLOOKUP($B$40,MASTER_PROPERTY_TABLE,MATCH("Unit System",key_MPTable,0),FALSE)="English",mmBTU_to_GJ,1))</f>
        <v/>
      </c>
      <c r="I40" s="1008" t="str">
        <f>+'Cash Flow Analysis'!$I$233</f>
        <v/>
      </c>
    </row>
    <row r="41" spans="2:9" ht="13.8" x14ac:dyDescent="0.25">
      <c r="B41" s="631" t="s">
        <v>395</v>
      </c>
      <c r="C41" s="632"/>
      <c r="D41" s="632"/>
      <c r="E41" s="538"/>
      <c r="F41" s="538"/>
      <c r="G41" s="539"/>
      <c r="H41" s="539"/>
      <c r="I41" s="540"/>
    </row>
    <row r="42" spans="2:9" ht="13.8" thickBot="1" x14ac:dyDescent="0.3">
      <c r="B42" s="527" t="str">
        <f>IF('Cash Flow Analysis'!$J$131=0,"",'Cash Flow Analysis'!$J$131)</f>
        <v/>
      </c>
      <c r="C42" s="596" t="str">
        <f>IF($B$42="","",$E$42*$F$42*$H$42)</f>
        <v/>
      </c>
      <c r="D42" s="596" t="str">
        <f>IF($B42="","",$C42*1000*MJ_to_kWh)</f>
        <v/>
      </c>
      <c r="E42" s="537" t="str">
        <f>IF($B42&lt;&gt;"",VLOOKUP($B42,MASTER_PROPERTY_TABLE,MATCH("H2A LHV (GJ/ H2A usage input unit)",key_MPTable,0),FALSE),"")</f>
        <v/>
      </c>
      <c r="F42" s="537">
        <f>CO2_CashFlow_eUse</f>
        <v>0</v>
      </c>
      <c r="G42" s="535" t="str">
        <f>IF($B$42&lt;&gt;"",VLOOKUP($B$42,MASTER_PROPERTY_TABLE,MATCH("H2A Usage Input Unit/ kg H2",key_MPTable,0),FALSE),"")</f>
        <v/>
      </c>
      <c r="H42" s="535" t="str">
        <f>IF($B42="","",IF(VLOOKUP($B42,MASTER_PROPERTY_TABLE,MATCH("Unit System",key_MPTable,0),FALSE)="English",mmBTU_to_GJ,1))</f>
        <v/>
      </c>
      <c r="I42" s="536"/>
    </row>
    <row r="43" spans="2:9" ht="42.6" thickTop="1" thickBot="1" x14ac:dyDescent="0.3">
      <c r="B43" s="615"/>
      <c r="C43" s="616" t="s">
        <v>903</v>
      </c>
      <c r="D43" s="617" t="s">
        <v>975</v>
      </c>
      <c r="E43" s="618" t="s">
        <v>693</v>
      </c>
      <c r="F43" s="616" t="s">
        <v>895</v>
      </c>
      <c r="G43" s="618" t="s">
        <v>896</v>
      </c>
      <c r="H43" s="618" t="s">
        <v>913</v>
      </c>
      <c r="I43" s="619"/>
    </row>
    <row r="44" spans="2:9" x14ac:dyDescent="0.25">
      <c r="B44" s="528" t="s">
        <v>904</v>
      </c>
      <c r="C44" s="596">
        <f>kgH2_to_GJ</f>
        <v>0.12021163829516093</v>
      </c>
      <c r="D44" s="596">
        <f>IF($B44="","",$C44*1000*MJ_to_kWh)</f>
        <v>33.392121748655818</v>
      </c>
      <c r="E44" s="537">
        <f>kgH2_to_GJ</f>
        <v>0.12021163829516093</v>
      </c>
      <c r="F44" s="537">
        <v>1</v>
      </c>
      <c r="G44" s="535" t="s">
        <v>265</v>
      </c>
      <c r="H44" s="535">
        <v>1</v>
      </c>
      <c r="I44" s="536"/>
    </row>
    <row r="45" spans="2:9" ht="13.8" thickBot="1" x14ac:dyDescent="0.3">
      <c r="B45" s="528"/>
      <c r="C45" s="597"/>
      <c r="D45" s="597"/>
      <c r="E45" s="537"/>
      <c r="F45" s="537"/>
      <c r="G45" s="535"/>
      <c r="H45" s="535"/>
      <c r="I45" s="536"/>
    </row>
    <row r="46" spans="2:9" ht="13.8" x14ac:dyDescent="0.25">
      <c r="B46" s="631" t="s">
        <v>899</v>
      </c>
      <c r="C46" s="632"/>
      <c r="D46" s="632"/>
      <c r="E46" s="538"/>
      <c r="F46" s="538"/>
      <c r="G46" s="539"/>
      <c r="H46" s="539"/>
      <c r="I46" s="540"/>
    </row>
    <row r="47" spans="2:9" x14ac:dyDescent="0.25">
      <c r="B47" s="574" t="str">
        <f>IF('Cash Flow Analysis'!$K$131=0,"",'Cash Flow Analysis'!$K$131)</f>
        <v/>
      </c>
      <c r="C47" s="624" t="str">
        <f>IF($B$47="","",$E$47*$F$47*$H$47)</f>
        <v/>
      </c>
      <c r="D47" s="624" t="str">
        <f>IF($B47="","",$C47*1000*MJ_to_kWh)</f>
        <v/>
      </c>
      <c r="E47" s="578" t="str">
        <f>IF($B47&lt;&gt;"",VLOOKUP($B47,MASTER_PROPERTY_TABLE,MATCH("H2A LHV (GJ/ H2A usage input unit)",key_MPTable,0),FALSE),"")</f>
        <v/>
      </c>
      <c r="F47" s="578" t="str">
        <f>IF('Cash Flow Analysis'!$K$133="","",'Cash Flow Analysis'!$K$133)</f>
        <v/>
      </c>
      <c r="G47" s="625" t="str">
        <f>IF($B$47&lt;&gt;"",VLOOKUP($B$47,MASTER_PROPERTY_TABLE,MATCH("H2A Usage Input Unit/ kg H2",key_MPTable,0),FALSE),"")</f>
        <v/>
      </c>
      <c r="H47" s="625" t="str">
        <f>IF($B$47="","",IF(VLOOKUP($B$47,MASTER_PROPERTY_TABLE,MATCH("Unit System",key_MPTable,0),FALSE)="English",mmBTU_to_GJ,1))</f>
        <v/>
      </c>
      <c r="I47" s="626" t="str">
        <f>+'Cash Flow Analysis'!$K$233</f>
        <v/>
      </c>
    </row>
    <row r="48" spans="2:9" x14ac:dyDescent="0.25">
      <c r="B48" s="574" t="str">
        <f>IF('Cash Flow Analysis'!$L$131=0,"",'Cash Flow Analysis'!$L$131)</f>
        <v/>
      </c>
      <c r="C48" s="624" t="str">
        <f>IF($B$48="","",$E$48*$F$48*$H$48)</f>
        <v/>
      </c>
      <c r="D48" s="624" t="str">
        <f>IF($B48="","",$C48*1000*MJ_to_kWh)</f>
        <v/>
      </c>
      <c r="E48" s="578" t="str">
        <f>IF($B48&lt;&gt;"",VLOOKUP($B48,MASTER_PROPERTY_TABLE,MATCH("H2A LHV (GJ/ H2A usage input unit)",key_MPTable,0),FALSE),"")</f>
        <v/>
      </c>
      <c r="F48" s="578" t="str">
        <f>IF('Cash Flow Analysis'!$L$133="","",'Cash Flow Analysis'!$L$133)</f>
        <v/>
      </c>
      <c r="G48" s="625" t="str">
        <f>IF($B$48&lt;&gt;"",VLOOKUP($B$48,MASTER_PROPERTY_TABLE,MATCH("H2A Usage Input Unit/ kg H2",key_MPTable,0),FALSE),"")</f>
        <v/>
      </c>
      <c r="H48" s="625" t="str">
        <f>IF($B$48="","",IF(VLOOKUP($B$48,MASTER_PROPERTY_TABLE,MATCH("Unit System",key_MPTable,0),FALSE)="English",mmBTU_to_GJ,1))</f>
        <v/>
      </c>
      <c r="I48" s="626" t="str">
        <f>+'Cash Flow Analysis'!$L$233</f>
        <v/>
      </c>
    </row>
    <row r="49" spans="2:9" x14ac:dyDescent="0.25">
      <c r="B49" s="574" t="str">
        <f>IF('Cash Flow Analysis'!$M$131=0,"",'Cash Flow Analysis'!$M$131)</f>
        <v/>
      </c>
      <c r="C49" s="624" t="str">
        <f>IF($B$49="","",$E$49*$F$49*$H$49)</f>
        <v/>
      </c>
      <c r="D49" s="624" t="str">
        <f>IF($B49="","",$C49*1000*MJ_to_kWh)</f>
        <v/>
      </c>
      <c r="E49" s="578" t="str">
        <f>IF($B49&lt;&gt;"",VLOOKUP($B49,MASTER_PROPERTY_TABLE,MATCH("H2A LHV (GJ/ H2A usage input unit)",key_MPTable,0),FALSE),"")</f>
        <v/>
      </c>
      <c r="F49" s="578" t="str">
        <f>IF('Cash Flow Analysis'!$M$133="","",'Cash Flow Analysis'!$M$133)</f>
        <v/>
      </c>
      <c r="G49" s="625" t="str">
        <f>IF($B$49&lt;&gt;"",VLOOKUP($B$49,MASTER_PROPERTY_TABLE,MATCH("H2A Usage Input Unit/ kg H2",key_MPTable,0),FALSE),"")</f>
        <v/>
      </c>
      <c r="H49" s="625" t="str">
        <f>IF($B$49="","",IF(VLOOKUP($B$49,MASTER_PROPERTY_TABLE,MATCH("Unit System",key_MPTable,0),FALSE)="English",mmBTU_to_GJ,1))</f>
        <v/>
      </c>
      <c r="I49" s="626" t="str">
        <f>+'Cash Flow Analysis'!$M$233</f>
        <v/>
      </c>
    </row>
    <row r="50" spans="2:9" ht="13.8" thickBot="1" x14ac:dyDescent="0.3">
      <c r="B50" s="575" t="str">
        <f>IF('Cash Flow Analysis'!$N$131=0,"",'Cash Flow Analysis'!$N$131)</f>
        <v/>
      </c>
      <c r="C50" s="633" t="str">
        <f>IF($B$50="","",$E$50*$F$50*$H$50)</f>
        <v/>
      </c>
      <c r="D50" s="633" t="str">
        <f>IF($B50="","",$C50*1000*MJ_to_kWh)</f>
        <v/>
      </c>
      <c r="E50" s="589" t="str">
        <f>IF($B50&lt;&gt;"",VLOOKUP($B50,MASTER_PROPERTY_TABLE,MATCH("H2A LHV (GJ/ H2A usage input unit)",key_MPTable,0),FALSE),"")</f>
        <v/>
      </c>
      <c r="F50" s="589" t="str">
        <f>IF('Cash Flow Analysis'!$N$133="","",'Cash Flow Analysis'!$N$133)</f>
        <v/>
      </c>
      <c r="G50" s="634" t="str">
        <f>IF($B$50&lt;&gt;"",VLOOKUP($B$50,MASTER_PROPERTY_TABLE,MATCH("H2A Usage Input Unit/ kg H2",key_MPTable,0),FALSE),"")</f>
        <v/>
      </c>
      <c r="H50" s="634" t="str">
        <f>IF($B$50="","",IF(VLOOKUP($B$50,MASTER_PROPERTY_TABLE,MATCH("Unit System",key_MPTable,0),FALSE)="English",mmBTU_to_GJ,1))</f>
        <v/>
      </c>
      <c r="I50" s="635" t="str">
        <f>+'Cash Flow Analysis'!$N$233</f>
        <v/>
      </c>
    </row>
    <row r="51" spans="2:9" ht="14.4" thickTop="1" thickBot="1" x14ac:dyDescent="0.3"/>
    <row r="52" spans="2:9" ht="16.2" thickBot="1" x14ac:dyDescent="0.35">
      <c r="B52" s="1574" t="s">
        <v>389</v>
      </c>
      <c r="C52" s="1575"/>
      <c r="D52" s="306">
        <f ca="1">(C56+C57)/(C53+C54+C55)</f>
        <v>0.65899384584543941</v>
      </c>
      <c r="F52" s="28"/>
    </row>
    <row r="53" spans="2:9" ht="26.4" x14ac:dyDescent="0.25">
      <c r="B53" s="486" t="s">
        <v>582</v>
      </c>
      <c r="C53" s="487">
        <f ca="1">SUM(C32:C35)</f>
        <v>0.1824169361413967</v>
      </c>
      <c r="D53" s="488"/>
    </row>
    <row r="54" spans="2:9" x14ac:dyDescent="0.25">
      <c r="B54" s="489" t="s">
        <v>583</v>
      </c>
      <c r="C54" s="490">
        <f>SUM(C37:C40)</f>
        <v>0</v>
      </c>
      <c r="D54" s="491"/>
    </row>
    <row r="55" spans="2:9" ht="26.4" x14ac:dyDescent="0.25">
      <c r="B55" s="489" t="s">
        <v>390</v>
      </c>
      <c r="C55" s="490">
        <f>IF(C42="",0,C42)</f>
        <v>0</v>
      </c>
      <c r="D55" s="491"/>
    </row>
    <row r="56" spans="2:9" x14ac:dyDescent="0.25">
      <c r="B56" s="489" t="s">
        <v>584</v>
      </c>
      <c r="C56" s="490">
        <f>C44</f>
        <v>0.12021163829516093</v>
      </c>
      <c r="D56" s="491"/>
    </row>
    <row r="57" spans="2:9" ht="27" thickBot="1" x14ac:dyDescent="0.3">
      <c r="B57" s="492" t="s">
        <v>585</v>
      </c>
      <c r="C57" s="493">
        <f>SUM(C47:C50)</f>
        <v>0</v>
      </c>
      <c r="D57" s="494"/>
    </row>
    <row r="58" spans="2:9" ht="13.8" thickBot="1" x14ac:dyDescent="0.3"/>
    <row r="59" spans="2:9" ht="16.8" thickTop="1" thickBot="1" x14ac:dyDescent="0.35">
      <c r="B59" s="1563" t="s">
        <v>391</v>
      </c>
      <c r="C59" s="1564"/>
      <c r="D59" s="525"/>
      <c r="E59" s="544"/>
    </row>
    <row r="60" spans="2:9" x14ac:dyDescent="0.25">
      <c r="B60" s="528" t="s">
        <v>245</v>
      </c>
      <c r="C60" s="495" t="s">
        <v>392</v>
      </c>
      <c r="D60" s="495" t="s">
        <v>393</v>
      </c>
      <c r="E60" s="545" t="s">
        <v>394</v>
      </c>
    </row>
    <row r="61" spans="2:9" x14ac:dyDescent="0.25">
      <c r="B61" s="527" t="str">
        <f>B32</f>
        <v>Industrial Electricity</v>
      </c>
      <c r="C61" s="592">
        <f ca="1">IF($B61="","",$C32/1000000*VLOOKUP($B61,Tbl_Emissions,3,FALSE))</f>
        <v>9.666582260869562E-3</v>
      </c>
      <c r="D61" s="592">
        <f ca="1">IF($B61="","",$C32/1000000*VLOOKUP($B61,Tbl_Emissions,4,FALSE))</f>
        <v>7.4114671304347799E-3</v>
      </c>
      <c r="E61" s="593">
        <f ca="1">IF($B61="","",$C32/1000000*VLOOKUP($B61,Tbl_Emissions,5,FALSE))</f>
        <v>1.1422831304347824E-4</v>
      </c>
    </row>
    <row r="62" spans="2:9" x14ac:dyDescent="0.25">
      <c r="B62" s="527" t="str">
        <f>B33</f>
        <v>Industrial Natural Gas</v>
      </c>
      <c r="C62" s="592">
        <f ca="1">IF($B62="","",$C33/1000000*VLOOKUP($B62,Tbl_Emissions,3,FALSE))</f>
        <v>0.19335124147700303</v>
      </c>
      <c r="D62" s="592">
        <f ca="1">IF($B62="","",$C33/1000000*VLOOKUP($B62,Tbl_Emissions,4,FALSE))</f>
        <v>0.19329223896205736</v>
      </c>
      <c r="E62" s="593">
        <f ca="1">IF($B62="","",$C33/1000000*VLOOKUP($B62,Tbl_Emissions,5,FALSE))</f>
        <v>7.0504071859094758E-4</v>
      </c>
    </row>
    <row r="63" spans="2:9" x14ac:dyDescent="0.25">
      <c r="B63" s="527" t="str">
        <f>B34</f>
        <v/>
      </c>
      <c r="C63" s="592" t="str">
        <f>IF($B63="","",$C34/1000000*VLOOKUP($B63,Tbl_Emissions,3,FALSE))</f>
        <v/>
      </c>
      <c r="D63" s="592" t="str">
        <f>IF($B63="","",$C34/1000000*VLOOKUP($B63,Tbl_Emissions,4,FALSE))</f>
        <v/>
      </c>
      <c r="E63" s="593" t="str">
        <f>IF($B63="","",$C34/1000000*VLOOKUP($B63,Tbl_Emissions,5,FALSE))</f>
        <v/>
      </c>
    </row>
    <row r="64" spans="2:9" x14ac:dyDescent="0.25">
      <c r="B64" s="527" t="str">
        <f>B35</f>
        <v/>
      </c>
      <c r="C64" s="592" t="str">
        <f>IF($B64="","",$C35/1000000*VLOOKUP($B64,Tbl_Emissions,3,FALSE))</f>
        <v/>
      </c>
      <c r="D64" s="592" t="str">
        <f>IF($B64="","",$C35/1000000*VLOOKUP($B64,Tbl_Emissions,4,FALSE))</f>
        <v/>
      </c>
      <c r="E64" s="593" t="str">
        <f>IF($B64="","",$C35/1000000*VLOOKUP($B64,Tbl_Emissions,5,FALSE))</f>
        <v/>
      </c>
    </row>
    <row r="65" spans="2:7" x14ac:dyDescent="0.25">
      <c r="B65" s="528" t="s">
        <v>268</v>
      </c>
      <c r="C65" s="636"/>
      <c r="D65" s="636"/>
      <c r="E65" s="637"/>
    </row>
    <row r="66" spans="2:7" x14ac:dyDescent="0.25">
      <c r="B66" s="527" t="str">
        <f>B37</f>
        <v/>
      </c>
      <c r="C66" s="592" t="str">
        <f>IF($B66="","",$C37/1000000*VLOOKUP($B66,Tbl_Emissions,3,FALSE))</f>
        <v/>
      </c>
      <c r="D66" s="592" t="str">
        <f>IF($B66="","",$C37/1000000*VLOOKUP($B66,Tbl_Emissions,4,FALSE))</f>
        <v/>
      </c>
      <c r="E66" s="593" t="str">
        <f>IF($B66="","",$C37/1000000*VLOOKUP($B66,Tbl_Emissions,5,FALSE))</f>
        <v/>
      </c>
    </row>
    <row r="67" spans="2:7" x14ac:dyDescent="0.25">
      <c r="B67" s="527" t="str">
        <f>B38</f>
        <v/>
      </c>
      <c r="C67" s="592" t="str">
        <f>IF($B67="","",$C38/1000000*VLOOKUP($B67,Tbl_Emissions,3,FALSE))</f>
        <v/>
      </c>
      <c r="D67" s="592" t="str">
        <f>IF($B67="","",$C38/1000000*VLOOKUP($B67,Tbl_Emissions,4,FALSE))</f>
        <v/>
      </c>
      <c r="E67" s="593" t="str">
        <f>IF($B67="","",$C38/1000000*VLOOKUP($B67,Tbl_Emissions,5,FALSE))</f>
        <v/>
      </c>
    </row>
    <row r="68" spans="2:7" x14ac:dyDescent="0.25">
      <c r="B68" s="527" t="str">
        <f>B39</f>
        <v/>
      </c>
      <c r="C68" s="592" t="str">
        <f>IF($B68="","",$C39/1000000*VLOOKUP($B68,Tbl_Emissions,3,FALSE))</f>
        <v/>
      </c>
      <c r="D68" s="592" t="str">
        <f>IF($B68="","",$C39/1000000*VLOOKUP($B68,Tbl_Emissions,4,FALSE))</f>
        <v/>
      </c>
      <c r="E68" s="593" t="str">
        <f>IF($B68="","",$C39/1000000*VLOOKUP($B68,Tbl_Emissions,5,FALSE))</f>
        <v/>
      </c>
    </row>
    <row r="69" spans="2:7" x14ac:dyDescent="0.25">
      <c r="B69" s="527" t="str">
        <f>B40</f>
        <v/>
      </c>
      <c r="C69" s="592" t="str">
        <f>IF($B69="","",$C40/1000000*VLOOKUP($B69,Tbl_Emissions,3,FALSE))</f>
        <v/>
      </c>
      <c r="D69" s="592" t="str">
        <f>IF($B69="","",$C40/1000000*VLOOKUP($B69,Tbl_Emissions,4,FALSE))</f>
        <v/>
      </c>
      <c r="E69" s="593" t="str">
        <f>IF($B69="","",$C40/1000000*VLOOKUP($B69,Tbl_Emissions,5,FALSE))</f>
        <v/>
      </c>
    </row>
    <row r="70" spans="2:7" x14ac:dyDescent="0.25">
      <c r="B70" s="638" t="s">
        <v>395</v>
      </c>
      <c r="C70" s="636"/>
      <c r="D70" s="636"/>
      <c r="E70" s="637"/>
    </row>
    <row r="71" spans="2:7" ht="13.8" thickBot="1" x14ac:dyDescent="0.3">
      <c r="B71" s="529" t="str">
        <f>B42</f>
        <v/>
      </c>
      <c r="C71" s="594" t="str">
        <f>IF($B71="","",$C42/1000000*VLOOKUP($B71,Tbl_Emissions,3,FALSE))</f>
        <v/>
      </c>
      <c r="D71" s="594" t="str">
        <f>IF($B71="","",$C42/1000000*VLOOKUP($B71,Tbl_Emissions,4,FALSE))</f>
        <v/>
      </c>
      <c r="E71" s="595" t="str">
        <f>IF($B71="","",$C42/1000000*VLOOKUP($B71,Tbl_Emissions,5,FALSE))</f>
        <v/>
      </c>
    </row>
    <row r="72" spans="2:7" ht="13.8" thickTop="1" x14ac:dyDescent="0.25"/>
    <row r="74" spans="2:7" ht="21" x14ac:dyDescent="0.5">
      <c r="B74" s="310" t="s">
        <v>396</v>
      </c>
    </row>
    <row r="75" spans="2:7" ht="13.8" thickBot="1" x14ac:dyDescent="0.3"/>
    <row r="76" spans="2:7" ht="16.8" thickTop="1" thickBot="1" x14ac:dyDescent="0.35">
      <c r="B76" s="598" t="s">
        <v>397</v>
      </c>
      <c r="C76" s="599"/>
      <c r="D76" s="600" t="s">
        <v>398</v>
      </c>
      <c r="E76" s="601" t="s">
        <v>399</v>
      </c>
      <c r="F76" s="601" t="s">
        <v>400</v>
      </c>
      <c r="G76" s="602" t="s">
        <v>401</v>
      </c>
    </row>
    <row r="77" spans="2:7" x14ac:dyDescent="0.25">
      <c r="B77" s="1567" t="s">
        <v>525</v>
      </c>
      <c r="C77" s="1568"/>
      <c r="D77" s="604">
        <f ca="1">C121</f>
        <v>1.7781883061772985</v>
      </c>
      <c r="E77" s="608">
        <f ca="1">D121</f>
        <v>3.3831214038313698E-2</v>
      </c>
      <c r="F77" s="608">
        <f ca="1">E121</f>
        <v>1.6357045662897447E-4</v>
      </c>
      <c r="G77" s="609">
        <f ca="1">F121</f>
        <v>2.6727126532105756</v>
      </c>
    </row>
    <row r="78" spans="2:7" x14ac:dyDescent="0.25">
      <c r="B78" s="1565" t="s">
        <v>524</v>
      </c>
      <c r="C78" s="1566"/>
      <c r="D78" s="605">
        <f ca="1">D89</f>
        <v>0.36925812225898369</v>
      </c>
      <c r="E78" s="610">
        <f ca="1">E89</f>
        <v>0</v>
      </c>
      <c r="F78" s="610">
        <f ca="1">F89</f>
        <v>0</v>
      </c>
      <c r="G78" s="611">
        <f ca="1">G89</f>
        <v>0.36925812225898369</v>
      </c>
    </row>
    <row r="79" spans="2:7" x14ac:dyDescent="0.25">
      <c r="B79" s="1565"/>
      <c r="C79" s="1566"/>
      <c r="D79" s="606"/>
      <c r="E79" s="457"/>
      <c r="F79" s="457"/>
      <c r="G79" s="612"/>
    </row>
    <row r="80" spans="2:7" ht="13.8" thickBot="1" x14ac:dyDescent="0.3">
      <c r="B80" s="1569" t="s">
        <v>526</v>
      </c>
      <c r="C80" s="1570"/>
      <c r="D80" s="607">
        <f ca="1">SUM(D77:D79)</f>
        <v>2.1474464284362824</v>
      </c>
      <c r="E80" s="613">
        <f ca="1">SUM(E77:E79)</f>
        <v>3.3831214038313698E-2</v>
      </c>
      <c r="F80" s="613">
        <f ca="1">SUM(F77:F79)</f>
        <v>1.6357045662897447E-4</v>
      </c>
      <c r="G80" s="614">
        <f ca="1">SUM(G77:G79)</f>
        <v>3.0419707754695593</v>
      </c>
    </row>
    <row r="81" spans="2:7" ht="14.4" thickTop="1" thickBot="1" x14ac:dyDescent="0.3"/>
    <row r="82" spans="2:7" ht="16.8" thickTop="1" thickBot="1" x14ac:dyDescent="0.35">
      <c r="B82" s="409" t="s">
        <v>521</v>
      </c>
      <c r="C82" s="410"/>
      <c r="D82" s="562" t="s">
        <v>398</v>
      </c>
      <c r="E82" s="563" t="s">
        <v>399</v>
      </c>
      <c r="F82" s="563" t="s">
        <v>400</v>
      </c>
      <c r="G82" s="564" t="s">
        <v>401</v>
      </c>
    </row>
    <row r="83" spans="2:7" x14ac:dyDescent="0.25">
      <c r="B83" s="1567" t="s">
        <v>232</v>
      </c>
      <c r="C83" s="1568"/>
      <c r="D83" s="565">
        <f ca="1">SUM(C95:C105)</f>
        <v>9.9682398293291374</v>
      </c>
      <c r="E83" s="565">
        <f ca="1">SUM(D95:D105)</f>
        <v>0</v>
      </c>
      <c r="F83" s="565">
        <f ca="1">SUM(E95:E105)</f>
        <v>0</v>
      </c>
      <c r="G83" s="566">
        <f ca="1">SUM(F95:F105)</f>
        <v>9.9682398293291374</v>
      </c>
    </row>
    <row r="84" spans="2:7" x14ac:dyDescent="0.25">
      <c r="B84" s="1565" t="s">
        <v>233</v>
      </c>
      <c r="C84" s="1566"/>
      <c r="D84" s="567">
        <f ca="1">ROUND(D83*output_kgyear/1000,-2)</f>
        <v>1581600</v>
      </c>
      <c r="E84" s="567">
        <f ca="1">ROUND(E83*output_kgyear/1000,-2)</f>
        <v>0</v>
      </c>
      <c r="F84" s="567">
        <f ca="1">ROUND(F83*output_kgyear/1000,-2)</f>
        <v>0</v>
      </c>
      <c r="G84" s="568">
        <f ca="1">ROUND(G83*output_kgyear/1000,-2)</f>
        <v>1581600</v>
      </c>
    </row>
    <row r="85" spans="2:7" x14ac:dyDescent="0.25">
      <c r="B85" s="1565" t="s">
        <v>234</v>
      </c>
      <c r="C85" s="1566"/>
      <c r="D85" s="569">
        <f ca="1">SUM(C95:C98)</f>
        <v>9.9682398293291374</v>
      </c>
      <c r="E85" s="569">
        <f ca="1">SUM(D95:D98)</f>
        <v>0</v>
      </c>
      <c r="F85" s="569">
        <f ca="1">SUM(E95:E98)</f>
        <v>0</v>
      </c>
      <c r="G85" s="570">
        <f ca="1">SUM(F95:F98)</f>
        <v>9.9682398293291374</v>
      </c>
    </row>
    <row r="86" spans="2:7" x14ac:dyDescent="0.25">
      <c r="B86" s="1565" t="s">
        <v>235</v>
      </c>
      <c r="C86" s="1566"/>
      <c r="D86" s="567">
        <f ca="1">ROUND(D85*output_kgyear/1000,-2)</f>
        <v>1581600</v>
      </c>
      <c r="E86" s="567">
        <f ca="1">ROUND(E85*output_kgyear/1000,-2)</f>
        <v>0</v>
      </c>
      <c r="F86" s="567">
        <f ca="1">ROUND(F85*output_kgyear/1000,-2)</f>
        <v>0</v>
      </c>
      <c r="G86" s="568">
        <f ca="1">ROUND(G85*output_kgyear/1000,-2)</f>
        <v>1581600</v>
      </c>
    </row>
    <row r="87" spans="2:7" x14ac:dyDescent="0.25">
      <c r="B87" s="676" t="s">
        <v>237</v>
      </c>
      <c r="C87" s="677"/>
      <c r="D87" s="696">
        <f ca="1">D85*CO2_Capture_Efficiency</f>
        <v>9.5989817070701537</v>
      </c>
      <c r="E87" s="567"/>
      <c r="F87" s="567"/>
      <c r="G87" s="697"/>
    </row>
    <row r="88" spans="2:7" x14ac:dyDescent="0.25">
      <c r="B88" s="1565" t="s">
        <v>238</v>
      </c>
      <c r="C88" s="1566"/>
      <c r="D88" s="567">
        <f ca="1">ROUND(D87*output_kgyear/1000,-2)</f>
        <v>1523000</v>
      </c>
      <c r="E88" s="567"/>
      <c r="F88" s="567"/>
      <c r="G88" s="568"/>
    </row>
    <row r="89" spans="2:7" x14ac:dyDescent="0.25">
      <c r="B89" s="1565" t="s">
        <v>236</v>
      </c>
      <c r="C89" s="1566"/>
      <c r="D89" s="696">
        <f ca="1">D83-D87</f>
        <v>0.36925812225898369</v>
      </c>
      <c r="E89" s="567">
        <f ca="1">E83-E87</f>
        <v>0</v>
      </c>
      <c r="F89" s="567">
        <f ca="1">F83-F87</f>
        <v>0</v>
      </c>
      <c r="G89" s="697">
        <f ca="1">D89*GHG_CO2_factor + E89*GHG_CH4_factor + F89*GHG_N2O_factor</f>
        <v>0.36925812225898369</v>
      </c>
    </row>
    <row r="90" spans="2:7" ht="13.8" thickBot="1" x14ac:dyDescent="0.3">
      <c r="B90" s="1569" t="s">
        <v>1032</v>
      </c>
      <c r="C90" s="1570"/>
      <c r="D90" s="571">
        <f ca="1">ROUND(D89*output_kgyear/1000,-2)</f>
        <v>58600</v>
      </c>
      <c r="E90" s="571">
        <f ca="1">ROUND(E89*output_kgyear/1000,-2)</f>
        <v>0</v>
      </c>
      <c r="F90" s="571">
        <f ca="1">ROUND(F89*output_kgyear/1000,-2)</f>
        <v>0</v>
      </c>
      <c r="G90" s="572">
        <f ca="1">ROUND(G89*output_kgyear/1000,-2)</f>
        <v>58600</v>
      </c>
    </row>
    <row r="91" spans="2:7" ht="13.8" thickTop="1" x14ac:dyDescent="0.25">
      <c r="B91" t="s">
        <v>239</v>
      </c>
    </row>
    <row r="92" spans="2:7" ht="13.8" thickBot="1" x14ac:dyDescent="0.3"/>
    <row r="93" spans="2:7" ht="16.8" thickTop="1" thickBot="1" x14ac:dyDescent="0.35">
      <c r="B93" s="1563" t="s">
        <v>522</v>
      </c>
      <c r="C93" s="1564"/>
      <c r="D93" s="525"/>
      <c r="E93" s="525"/>
      <c r="F93" s="544"/>
    </row>
    <row r="94" spans="2:7" x14ac:dyDescent="0.25">
      <c r="B94" s="573" t="s">
        <v>245</v>
      </c>
      <c r="C94" s="576" t="s">
        <v>398</v>
      </c>
      <c r="D94" s="576" t="s">
        <v>399</v>
      </c>
      <c r="E94" s="576" t="s">
        <v>400</v>
      </c>
      <c r="F94" s="577" t="s">
        <v>401</v>
      </c>
    </row>
    <row r="95" spans="2:7" x14ac:dyDescent="0.25">
      <c r="B95" s="574" t="str">
        <f>B32</f>
        <v>Industrial Electricity</v>
      </c>
      <c r="C95" s="578">
        <f ca="1">IF($B95="","",VLOOKUP($B95,MASTER_PROPERTY_TABLE,MATCH("CO2 Emissions Factor (kg CO2 produced/GJ feed)",key_MPTable,0),FALSE)*$E32*$F32)</f>
        <v>0</v>
      </c>
      <c r="D95" s="583">
        <f ca="1">IF($B95="","",VLOOKUP($B95,MASTER_PROPERTY_TABLE,MATCH("CH4 Emissions Factor (kg CH4 produced/GJ or mmBtu feed)",key_MPTable,0),FALSE)*$E32*$F32)</f>
        <v>0</v>
      </c>
      <c r="E95" s="583">
        <f ca="1">IF($B95="","",VLOOKUP($B95,MASTER_PROPERTY_TABLE,MATCH("N2O Emissions Factor (kg N2O produced/GJ or mmBtu feed)",key_MPTable,0),FALSE)*$E32*$F32)</f>
        <v>0</v>
      </c>
      <c r="F95" s="586">
        <f ca="1">IF($B95="","",$C95*GHG_CO2_factor+$D95*GHG_CH4_factor+$E95*GHG_N2O_factor)</f>
        <v>0</v>
      </c>
    </row>
    <row r="96" spans="2:7" x14ac:dyDescent="0.25">
      <c r="B96" s="574" t="str">
        <f>B33</f>
        <v>Industrial Natural Gas</v>
      </c>
      <c r="C96" s="578">
        <f ca="1">IF($B96="","",VLOOKUP($B96,MASTER_PROPERTY_TABLE,MATCH("CO2 Emissions Factor (kg CO2 produced/GJ feed)",key_MPTable,0),FALSE)*$E33*$F33)</f>
        <v>9.9682398293291374</v>
      </c>
      <c r="D96" s="583">
        <f ca="1">IF($B96="","",VLOOKUP($B96,MASTER_PROPERTY_TABLE,MATCH("CH4 Emissions Factor (kg CH4 produced/GJ or mmBtu feed)",key_MPTable,0),FALSE)*$E33*$F33)</f>
        <v>0</v>
      </c>
      <c r="E96" s="583">
        <f ca="1">IF($B96="","",VLOOKUP($B96,MASTER_PROPERTY_TABLE,MATCH("N2O Emissions Factor (kg N2O produced/GJ or mmBtu feed)",key_MPTable,0),FALSE)*$E33*$F33)</f>
        <v>0</v>
      </c>
      <c r="F96" s="586">
        <f ca="1">IF($B96="","",$C96*GHG_CO2_factor+$D96*GHG_CH4_factor+$E96*GHG_N2O_factor)</f>
        <v>9.9682398293291374</v>
      </c>
    </row>
    <row r="97" spans="2:6" x14ac:dyDescent="0.25">
      <c r="B97" s="574" t="str">
        <f>B34</f>
        <v/>
      </c>
      <c r="C97" s="578" t="str">
        <f>IF($B97="","",VLOOKUP($B97,MASTER_PROPERTY_TABLE,MATCH("CO2 Emissions Factor (kg CO2 produced/GJ feed)",key_MPTable,0),FALSE)*$E34*$F34)</f>
        <v/>
      </c>
      <c r="D97" s="583" t="str">
        <f>IF($B97="","",VLOOKUP($B97,MASTER_PROPERTY_TABLE,MATCH("CH4 Emissions Factor (kg CH4 produced/GJ or mmBtu feed)",key_MPTable,0),FALSE)*$E34*$F34)</f>
        <v/>
      </c>
      <c r="E97" s="583" t="str">
        <f>IF($B97="","",VLOOKUP($B97,MASTER_PROPERTY_TABLE,MATCH("N2O Emissions Factor (kg N2O produced/GJ or mmBtu feed)",key_MPTable,0),FALSE)*$E34*$F34)</f>
        <v/>
      </c>
      <c r="F97" s="586" t="str">
        <f>IF($B97="","",$C97*GHG_CO2_factor+$D97*GHG_CH4_factor+$E97*GHG_N2O_factor)</f>
        <v/>
      </c>
    </row>
    <row r="98" spans="2:6" x14ac:dyDescent="0.25">
      <c r="B98" s="574" t="str">
        <f>B35</f>
        <v/>
      </c>
      <c r="C98" s="578" t="str">
        <f>IF($B98="","",VLOOKUP($B98,MASTER_PROPERTY_TABLE,MATCH("CO2 Emissions Factor (kg CO2 produced/GJ feed)",key_MPTable,0),FALSE)*$E35*$F35)</f>
        <v/>
      </c>
      <c r="D98" s="583" t="str">
        <f>IF($B98="","",VLOOKUP($B98,MASTER_PROPERTY_TABLE,MATCH("CH4 Emissions Factor (kg CH4 produced/GJ or mmBtu feed)",key_MPTable,0),FALSE)*$E35*$F35)</f>
        <v/>
      </c>
      <c r="E98" s="583" t="str">
        <f>IF($B98="","",VLOOKUP($B98,MASTER_PROPERTY_TABLE,MATCH("N2O Emissions Factor (kg N2O produced/GJ or mmBtu feed)",key_MPTable,0),FALSE)*$E35*$F35)</f>
        <v/>
      </c>
      <c r="F98" s="586" t="str">
        <f>IF($B98="","",$C98*GHG_CO2_factor+$D98*GHG_CH4_factor+$E98*GHG_N2O_factor)</f>
        <v/>
      </c>
    </row>
    <row r="99" spans="2:6" x14ac:dyDescent="0.25">
      <c r="B99" s="639" t="s">
        <v>268</v>
      </c>
      <c r="C99" s="640"/>
      <c r="D99" s="641"/>
      <c r="E99" s="641"/>
      <c r="F99" s="642"/>
    </row>
    <row r="100" spans="2:6" x14ac:dyDescent="0.25">
      <c r="B100" s="574" t="str">
        <f>B37</f>
        <v/>
      </c>
      <c r="C100" s="578" t="str">
        <f>IF($B100="","",VLOOKUP($B100,MASTER_PROPERTY_TABLE,MATCH("CO2 Emissions Factor (kg CO2 produced/GJ feed)",key_MPTable,0),FALSE)*$E37*$F37)</f>
        <v/>
      </c>
      <c r="D100" s="583" t="str">
        <f>IF($B100="","",VLOOKUP($B100,MASTER_PROPERTY_TABLE,MATCH("CH4 Emissions Factor (kg CH4 produced/GJ or mmBtu feed)",key_MPTable,0),FALSE)*$E37*$F37)</f>
        <v/>
      </c>
      <c r="E100" s="583" t="str">
        <f>IF($B100="","",VLOOKUP($B100,MASTER_PROPERTY_TABLE,MATCH("N2O Emissions Factor (kg N2O produced/GJ or mmBtu feed)",key_MPTable,0),FALSE)*$E37*$F37)</f>
        <v/>
      </c>
      <c r="F100" s="586" t="str">
        <f>IF($B100="","",$C100*GHG_CO2_factor+$D100*GHG_CH4_factor+$E100*GHG_N2O_factor)</f>
        <v/>
      </c>
    </row>
    <row r="101" spans="2:6" x14ac:dyDescent="0.25">
      <c r="B101" s="574" t="str">
        <f>B38</f>
        <v/>
      </c>
      <c r="C101" s="578" t="str">
        <f>IF($B101="","",VLOOKUP($B101,MASTER_PROPERTY_TABLE,MATCH("CO2 Emissions Factor (kg CO2 produced/GJ feed)",key_MPTable,0),FALSE)*$E38*$F38)</f>
        <v/>
      </c>
      <c r="D101" s="583" t="str">
        <f>IF($B101="","",VLOOKUP($B101,MASTER_PROPERTY_TABLE,MATCH("CH4 Emissions Factor (kg CH4 produced/GJ or mmBtu feed)",key_MPTable,0),FALSE)*$E38*$F38)</f>
        <v/>
      </c>
      <c r="E101" s="583" t="str">
        <f>IF($B101="","",VLOOKUP($B101,MASTER_PROPERTY_TABLE,MATCH("N2O Emissions Factor (kg N2O produced/GJ or mmBtu feed)",key_MPTable,0),FALSE)*$E38*$F38)</f>
        <v/>
      </c>
      <c r="F101" s="586" t="str">
        <f>IF($B101="","",$C101*GHG_CO2_factor+$D101*GHG_CH4_factor+$E101*GHG_N2O_factor)</f>
        <v/>
      </c>
    </row>
    <row r="102" spans="2:6" x14ac:dyDescent="0.25">
      <c r="B102" s="574" t="str">
        <f>B39</f>
        <v/>
      </c>
      <c r="C102" s="578" t="str">
        <f>IF($B102="","",VLOOKUP($B102,MASTER_PROPERTY_TABLE,MATCH("CO2 Emissions Factor (kg CO2 produced/GJ feed)",key_MPTable,0),FALSE)*$E39*$F39)</f>
        <v/>
      </c>
      <c r="D102" s="583" t="str">
        <f>IF($B102="","",VLOOKUP($B102,MASTER_PROPERTY_TABLE,MATCH("CH4 Emissions Factor (kg CH4 produced/GJ or mmBtu feed)",key_MPTable,0),FALSE)*$E39*$F39)</f>
        <v/>
      </c>
      <c r="E102" s="583" t="str">
        <f>IF($B102="","",VLOOKUP($B102,MASTER_PROPERTY_TABLE,MATCH("N2O Emissions Factor (kg N2O produced/GJ or mmBtu feed)",key_MPTable,0),FALSE)*$E39*$F39)</f>
        <v/>
      </c>
      <c r="F102" s="586" t="str">
        <f>IF($B102="","",$C102*GHG_CO2_factor+$D102*GHG_CH4_factor+$E102*GHG_N2O_factor)</f>
        <v/>
      </c>
    </row>
    <row r="103" spans="2:6" x14ac:dyDescent="0.25">
      <c r="B103" s="574" t="str">
        <f>B40</f>
        <v/>
      </c>
      <c r="C103" s="578" t="str">
        <f>IF($B103="","",VLOOKUP($B103,MASTER_PROPERTY_TABLE,MATCH("CO2 Emissions Factor (kg CO2 produced/GJ feed)",key_MPTable,0),FALSE)*$E40*$F40)</f>
        <v/>
      </c>
      <c r="D103" s="583" t="str">
        <f>IF($B103="","",VLOOKUP($B103,MASTER_PROPERTY_TABLE,MATCH("CH4 Emissions Factor (kg CH4 produced/GJ or mmBtu feed)",key_MPTable,0),FALSE)*$E40*$F40)</f>
        <v/>
      </c>
      <c r="E103" s="583" t="str">
        <f>IF($B103="","",VLOOKUP($B103,MASTER_PROPERTY_TABLE,MATCH("N2O Emissions Factor (kg N2O produced/GJ or mmBtu feed)",key_MPTable,0),FALSE)*$E40*$F40)</f>
        <v/>
      </c>
      <c r="F103" s="586" t="str">
        <f>IF($B103="","",$C103*GHG_CO2_factor+$D103*GHG_CH4_factor+$E103*GHG_N2O_factor)</f>
        <v/>
      </c>
    </row>
    <row r="104" spans="2:6" x14ac:dyDescent="0.25">
      <c r="B104" s="639" t="s">
        <v>395</v>
      </c>
      <c r="C104" s="640"/>
      <c r="D104" s="641"/>
      <c r="E104" s="641"/>
      <c r="F104" s="642"/>
    </row>
    <row r="105" spans="2:6" ht="13.8" thickBot="1" x14ac:dyDescent="0.3">
      <c r="B105" s="575" t="str">
        <f>B42</f>
        <v/>
      </c>
      <c r="C105" s="589" t="str">
        <f>IF($B105="","",VLOOKUP($B105,MASTER_PROPERTY_TABLE,MATCH("CO2 Emissions Factor (kg CO2 produced/GJ feed)",key_MPTable,0),FALSE)*$E42*$F42)</f>
        <v/>
      </c>
      <c r="D105" s="590" t="str">
        <f>IF($B105="","",VLOOKUP($B105,MASTER_PROPERTY_TABLE,MATCH("CH4 Emissions Factor (kg CH4 produced/GJ or mmBtu feed)",key_MPTable,0),FALSE)*$E42*$F42)</f>
        <v/>
      </c>
      <c r="E105" s="590" t="str">
        <f>IF($B105="","",VLOOKUP($B105,MASTER_PROPERTY_TABLE,MATCH("N2O Emissions Factor (kg N2O produced/GJ or mmBtu feed)",key_MPTable,0),FALSE)*$E42*$F42)</f>
        <v/>
      </c>
      <c r="F105" s="591" t="str">
        <f>IF($B105="","",$C105*GHG_CO2_factor+$D105*GHG_CH4_factor+$E105*GHG_N2O_factor)</f>
        <v/>
      </c>
    </row>
    <row r="106" spans="2:6" ht="13.8" thickTop="1" x14ac:dyDescent="0.25"/>
    <row r="107" spans="2:6" ht="13.8" thickBot="1" x14ac:dyDescent="0.3"/>
    <row r="108" spans="2:6" ht="16.8" thickTop="1" thickBot="1" x14ac:dyDescent="0.35">
      <c r="B108" s="1563" t="s">
        <v>1239</v>
      </c>
      <c r="C108" s="1564"/>
      <c r="D108" s="525"/>
      <c r="E108" s="525"/>
      <c r="F108" s="544"/>
    </row>
    <row r="109" spans="2:6" x14ac:dyDescent="0.25">
      <c r="B109" s="573" t="s">
        <v>245</v>
      </c>
      <c r="C109" s="576" t="s">
        <v>398</v>
      </c>
      <c r="D109" s="576" t="s">
        <v>399</v>
      </c>
      <c r="E109" s="576" t="s">
        <v>400</v>
      </c>
      <c r="F109" s="577" t="s">
        <v>401</v>
      </c>
    </row>
    <row r="110" spans="2:6" x14ac:dyDescent="0.25">
      <c r="B110" s="574" t="str">
        <f>B32</f>
        <v>Industrial Electricity</v>
      </c>
      <c r="C110" s="578">
        <f ca="1">IF($B110="","",$C32*VLOOKUP($B110,Tbl_Emissions,6,FALSE))</f>
        <v>0.75796991999999985</v>
      </c>
      <c r="D110" s="583">
        <f ca="1">IF($B110="","",$C32*VLOOKUP($B110,Tbl_Emissions,7,FALSE))</f>
        <v>1.1498586824347822E-3</v>
      </c>
      <c r="E110" s="583">
        <f ca="1">IF($B110="","",$C32*VLOOKUP($B110,Tbl_Emissions,8,FALSE))</f>
        <v>1.1088290504347826E-5</v>
      </c>
      <c r="F110" s="586">
        <f ca="1">IF($B110="","",$C110*GHG_CO2_factor+$D110*GHG_CH4_factor+$E110*GHG_N2O_factor)</f>
        <v>0.79002069763116511</v>
      </c>
    </row>
    <row r="111" spans="2:6" x14ac:dyDescent="0.25">
      <c r="B111" s="574" t="str">
        <f>B33</f>
        <v>Industrial Natural Gas</v>
      </c>
      <c r="C111" s="578">
        <f ca="1">IF($B111="","",$C33*VLOOKUP($B111,Tbl_Emissions,6,FALSE))</f>
        <v>1.0202183861772987</v>
      </c>
      <c r="D111" s="583">
        <f ca="1">IF($B111="","",$C33*VLOOKUP($B111,Tbl_Emissions,7,FALSE))</f>
        <v>3.2681355355878919E-2</v>
      </c>
      <c r="E111" s="583">
        <f ca="1">IF($B111="","",$C33*VLOOKUP($B111,Tbl_Emissions,8,FALSE))</f>
        <v>1.5248216612462665E-4</v>
      </c>
      <c r="F111" s="586">
        <f ca="1">IF($B111="","",$C111*GHG_CO2_factor+$D111*GHG_CH4_factor+$E111*GHG_N2O_factor)</f>
        <v>1.8826919555794104</v>
      </c>
    </row>
    <row r="112" spans="2:6" x14ac:dyDescent="0.25">
      <c r="B112" s="574" t="str">
        <f>B34</f>
        <v/>
      </c>
      <c r="C112" s="578" t="str">
        <f>IF($B112="","",$C34*VLOOKUP($B112,Tbl_Emissions,6,FALSE))</f>
        <v/>
      </c>
      <c r="D112" s="583" t="str">
        <f>IF($B112="","",$C34*VLOOKUP($B112,Tbl_Emissions,7,FALSE))</f>
        <v/>
      </c>
      <c r="E112" s="583" t="str">
        <f>IF($B112="","",$C34*VLOOKUP($B112,Tbl_Emissions,8,FALSE))</f>
        <v/>
      </c>
      <c r="F112" s="586" t="str">
        <f>IF($B112="","",$C112*GHG_CO2_factor+$D112*GHG_CH4_factor+$E112*GHG_N2O_factor)</f>
        <v/>
      </c>
    </row>
    <row r="113" spans="2:6" x14ac:dyDescent="0.25">
      <c r="B113" s="574" t="str">
        <f>B35</f>
        <v/>
      </c>
      <c r="C113" s="578" t="str">
        <f>IF($B113="","",$C35*VLOOKUP($B113,Tbl_Emissions,6,FALSE))</f>
        <v/>
      </c>
      <c r="D113" s="583" t="str">
        <f>IF($B113="","",$C35*VLOOKUP($B113,Tbl_Emissions,7,FALSE))</f>
        <v/>
      </c>
      <c r="E113" s="583" t="str">
        <f>IF($B113="","",$C35*VLOOKUP($B113,Tbl_Emissions,8,FALSE))</f>
        <v/>
      </c>
      <c r="F113" s="586" t="str">
        <f>IF($B113="","",$C113*GHG_CO2_factor+$D113*GHG_CH4_factor+$E113*GHG_N2O_factor)</f>
        <v/>
      </c>
    </row>
    <row r="114" spans="2:6" x14ac:dyDescent="0.25">
      <c r="B114" s="639" t="s">
        <v>268</v>
      </c>
      <c r="C114" s="640"/>
      <c r="D114" s="641"/>
      <c r="E114" s="641"/>
      <c r="F114" s="642"/>
    </row>
    <row r="115" spans="2:6" x14ac:dyDescent="0.25">
      <c r="B115" s="574" t="str">
        <f>B37</f>
        <v/>
      </c>
      <c r="C115" s="578" t="str">
        <f>IF($B115="","",$C37*VLOOKUP($B115,Tbl_Emissions,6,FALSE))</f>
        <v/>
      </c>
      <c r="D115" s="583" t="str">
        <f>IF($B115="","",$C37*VLOOKUP($B115,Tbl_Emissions,7,FALSE))</f>
        <v/>
      </c>
      <c r="E115" s="583" t="str">
        <f>IF($B115="","",$C37*VLOOKUP($B115,Tbl_Emissions,8,FALSE))</f>
        <v/>
      </c>
      <c r="F115" s="586" t="str">
        <f>IF($B115="","",$C115*GHG_CO2_factor+$D115*GHG_CH4_factor+$E115*GHG_N2O_factor)</f>
        <v/>
      </c>
    </row>
    <row r="116" spans="2:6" x14ac:dyDescent="0.25">
      <c r="B116" s="574" t="str">
        <f>B38</f>
        <v/>
      </c>
      <c r="C116" s="578" t="str">
        <f>IF($B116="","",$C38*VLOOKUP($B116,Tbl_Emissions,6,FALSE))</f>
        <v/>
      </c>
      <c r="D116" s="583" t="str">
        <f>IF($B116="","",$C38*VLOOKUP($B116,Tbl_Emissions,7,FALSE))</f>
        <v/>
      </c>
      <c r="E116" s="583" t="str">
        <f>IF($B116="","",$C38*VLOOKUP($B116,Tbl_Emissions,8,FALSE))</f>
        <v/>
      </c>
      <c r="F116" s="586" t="str">
        <f>IF($B116="","",$C116*GHG_CO2_factor+$D116*GHG_CH4_factor+$E116*GHG_N2O_factor)</f>
        <v/>
      </c>
    </row>
    <row r="117" spans="2:6" x14ac:dyDescent="0.25">
      <c r="B117" s="574" t="str">
        <f>B39</f>
        <v/>
      </c>
      <c r="C117" s="578" t="str">
        <f>IF($B117="","",$C39*VLOOKUP($B117,Tbl_Emissions,6,FALSE))</f>
        <v/>
      </c>
      <c r="D117" s="583" t="str">
        <f>IF($B117="","",$C39*VLOOKUP($B117,Tbl_Emissions,7,FALSE))</f>
        <v/>
      </c>
      <c r="E117" s="583" t="str">
        <f>IF($B117="","",$C39*VLOOKUP($B117,Tbl_Emissions,8,FALSE))</f>
        <v/>
      </c>
      <c r="F117" s="586" t="str">
        <f>IF($B117="","",$C117*GHG_CO2_factor+$D117*GHG_CH4_factor+$E117*GHG_N2O_factor)</f>
        <v/>
      </c>
    </row>
    <row r="118" spans="2:6" x14ac:dyDescent="0.25">
      <c r="B118" s="574" t="str">
        <f>B40</f>
        <v/>
      </c>
      <c r="C118" s="578" t="str">
        <f>IF($B118="","",$C40*VLOOKUP($B118,Tbl_Emissions,6,FALSE))</f>
        <v/>
      </c>
      <c r="D118" s="583" t="str">
        <f>IF($B118="","",$C40*VLOOKUP($B118,Tbl_Emissions,7,FALSE))</f>
        <v/>
      </c>
      <c r="E118" s="583" t="str">
        <f>IF($B118="","",$C40*VLOOKUP($B118,Tbl_Emissions,8,FALSE))</f>
        <v/>
      </c>
      <c r="F118" s="586" t="str">
        <f>IF($B118="","",$C118*GHG_CO2_factor+$D118*GHG_CH4_factor+$E118*GHG_N2O_factor)</f>
        <v/>
      </c>
    </row>
    <row r="119" spans="2:6" x14ac:dyDescent="0.25">
      <c r="B119" s="639" t="s">
        <v>395</v>
      </c>
      <c r="C119" s="640"/>
      <c r="D119" s="641"/>
      <c r="E119" s="641"/>
      <c r="F119" s="642"/>
    </row>
    <row r="120" spans="2:6" ht="13.8" thickBot="1" x14ac:dyDescent="0.3">
      <c r="B120" s="579" t="str">
        <f>B42</f>
        <v/>
      </c>
      <c r="C120" s="581" t="str">
        <f>IF($B120="","",$C42*VLOOKUP($B120,Tbl_Emissions,6,FALSE))</f>
        <v/>
      </c>
      <c r="D120" s="584" t="str">
        <f>IF($B120="","",$C42*VLOOKUP($B120,Tbl_Emissions,7,FALSE))</f>
        <v/>
      </c>
      <c r="E120" s="584" t="str">
        <f>IF($B120="","",$C42*VLOOKUP($B120,Tbl_Emissions,8,FALSE))</f>
        <v/>
      </c>
      <c r="F120" s="587" t="str">
        <f>IF($B120="","",$C120*GHG_CO2_factor+$D120*GHG_CH4_factor+$E120*GHG_N2O_factor)</f>
        <v/>
      </c>
    </row>
    <row r="121" spans="2:6" ht="13.8" thickBot="1" x14ac:dyDescent="0.3">
      <c r="B121" s="580" t="s">
        <v>527</v>
      </c>
      <c r="C121" s="582">
        <f ca="1">SUM(C110:C120)</f>
        <v>1.7781883061772985</v>
      </c>
      <c r="D121" s="585">
        <f ca="1">SUM(D110:D120)</f>
        <v>3.3831214038313698E-2</v>
      </c>
      <c r="E121" s="585">
        <f ca="1">SUM(E110:E120)</f>
        <v>1.6357045662897447E-4</v>
      </c>
      <c r="F121" s="588">
        <f ca="1">SUM(F110:F120)</f>
        <v>2.6727126532105756</v>
      </c>
    </row>
    <row r="122" spans="2:6" ht="13.8" thickTop="1" x14ac:dyDescent="0.25"/>
  </sheetData>
  <mergeCells count="18">
    <mergeCell ref="F17:H17"/>
    <mergeCell ref="B30:C30"/>
    <mergeCell ref="B52:C52"/>
    <mergeCell ref="B93:C93"/>
    <mergeCell ref="F23:H24"/>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3.2" x14ac:dyDescent="0.25"/>
  <cols>
    <col min="1" max="1" width="7.33203125" customWidth="1"/>
    <col min="2" max="2" width="35.5546875" customWidth="1"/>
    <col min="3" max="3" width="18.6640625" customWidth="1"/>
    <col min="4" max="6" width="20.6640625" customWidth="1"/>
    <col min="7" max="8" width="16.33203125" customWidth="1"/>
    <col min="9" max="9" width="16" bestFit="1" customWidth="1"/>
    <col min="10" max="15" width="12.33203125" customWidth="1"/>
    <col min="16" max="16" width="17.44140625" bestFit="1" customWidth="1"/>
    <col min="17" max="22" width="12.33203125" customWidth="1"/>
    <col min="23" max="23" width="18.44140625" customWidth="1"/>
    <col min="24" max="24" width="12.33203125" customWidth="1"/>
  </cols>
  <sheetData>
    <row r="1" spans="1:73" x14ac:dyDescent="0.25">
      <c r="A1" s="881"/>
      <c r="B1" s="881"/>
      <c r="C1" s="882"/>
      <c r="D1" s="881"/>
      <c r="E1" s="881"/>
      <c r="F1" s="882"/>
      <c r="G1" s="882"/>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881"/>
      <c r="AJ1" s="881"/>
      <c r="AK1" s="881"/>
      <c r="AL1" s="881"/>
      <c r="AM1" s="881"/>
      <c r="AN1" s="881"/>
      <c r="AO1" s="881"/>
      <c r="AP1" s="881"/>
      <c r="AQ1" s="881"/>
      <c r="AR1" s="881"/>
      <c r="AS1" s="881"/>
      <c r="AT1" s="881"/>
      <c r="AU1" s="881"/>
      <c r="AV1" s="881"/>
      <c r="AW1" s="881"/>
      <c r="AX1" s="881"/>
      <c r="AY1" s="881"/>
      <c r="AZ1" s="881"/>
      <c r="BA1" s="881"/>
      <c r="BB1" s="881"/>
      <c r="BC1" s="881"/>
      <c r="BD1" s="881"/>
      <c r="BE1" s="881"/>
      <c r="BF1" s="881"/>
      <c r="BG1" s="881"/>
      <c r="BH1" s="881"/>
      <c r="BI1" s="881"/>
      <c r="BJ1" s="881"/>
      <c r="BK1" s="881"/>
      <c r="BL1" s="881"/>
      <c r="BM1" s="881"/>
      <c r="BN1" s="881"/>
      <c r="BO1" s="881"/>
      <c r="BP1" s="881"/>
      <c r="BQ1" s="881"/>
      <c r="BR1" s="881"/>
      <c r="BS1" s="881"/>
      <c r="BT1" s="881"/>
      <c r="BU1" s="881"/>
    </row>
    <row r="2" spans="1:73" ht="26.4" x14ac:dyDescent="0.25">
      <c r="A2" s="881"/>
      <c r="B2" s="892" t="s">
        <v>1107</v>
      </c>
      <c r="C2" s="892" t="s">
        <v>1106</v>
      </c>
      <c r="D2" s="892" t="s">
        <v>1173</v>
      </c>
      <c r="E2" s="892" t="s">
        <v>1174</v>
      </c>
      <c r="F2" s="892" t="s">
        <v>1110</v>
      </c>
      <c r="G2" s="892" t="s">
        <v>1111</v>
      </c>
      <c r="H2" s="892" t="s">
        <v>1112</v>
      </c>
      <c r="I2" s="892" t="s">
        <v>1113</v>
      </c>
      <c r="J2" s="882"/>
      <c r="K2" s="882"/>
      <c r="L2" s="881"/>
      <c r="M2" s="881"/>
      <c r="N2" s="881"/>
      <c r="O2" s="881"/>
      <c r="P2" s="881"/>
      <c r="Q2" s="881"/>
      <c r="R2" s="881"/>
      <c r="S2" s="881"/>
      <c r="T2" s="881"/>
      <c r="U2" s="881"/>
      <c r="V2" s="881"/>
      <c r="W2" s="881"/>
      <c r="X2" s="881"/>
      <c r="Y2" s="881"/>
      <c r="Z2" s="881"/>
      <c r="AA2" s="881"/>
      <c r="AB2" s="881"/>
      <c r="AC2" s="881"/>
      <c r="AD2" s="881"/>
      <c r="AE2" s="881"/>
      <c r="AF2" s="881"/>
      <c r="AG2" s="881"/>
      <c r="AH2" s="881"/>
      <c r="AI2" s="881"/>
      <c r="AJ2" s="881"/>
      <c r="AK2" s="881"/>
      <c r="AL2" s="881"/>
      <c r="AM2" s="881"/>
      <c r="AN2" s="881"/>
      <c r="AO2" s="881"/>
      <c r="AP2" s="881"/>
      <c r="AQ2" s="881"/>
      <c r="AR2" s="881"/>
      <c r="AS2" s="881"/>
      <c r="AT2" s="881"/>
      <c r="AU2" s="881"/>
      <c r="AV2" s="881"/>
      <c r="AW2" s="881"/>
      <c r="AX2" s="881"/>
      <c r="AY2" s="881"/>
      <c r="AZ2" s="881"/>
      <c r="BA2" s="881"/>
      <c r="BB2" s="881"/>
      <c r="BC2" s="881"/>
      <c r="BD2" s="881"/>
      <c r="BE2" s="881"/>
      <c r="BF2" s="881"/>
      <c r="BG2" s="881"/>
      <c r="BH2" s="881"/>
      <c r="BI2" s="881"/>
      <c r="BJ2" s="881"/>
      <c r="BK2" s="881"/>
      <c r="BL2" s="881"/>
      <c r="BM2" s="881"/>
      <c r="BN2" s="881"/>
      <c r="BO2" s="881"/>
      <c r="BP2" s="881"/>
      <c r="BQ2" s="881"/>
      <c r="BR2" s="881"/>
      <c r="BS2" s="881"/>
      <c r="BT2" s="881"/>
      <c r="BU2" s="881"/>
    </row>
    <row r="3" spans="1:73" x14ac:dyDescent="0.25">
      <c r="A3" s="881"/>
      <c r="B3" s="884" t="s">
        <v>1147</v>
      </c>
      <c r="C3" s="888">
        <f ca="1">+cap_factor</f>
        <v>0.9</v>
      </c>
      <c r="D3" s="887">
        <v>0.05</v>
      </c>
      <c r="E3" s="887">
        <v>0.05</v>
      </c>
      <c r="F3" s="897">
        <f>1+D3</f>
        <v>1.05</v>
      </c>
      <c r="G3" s="894">
        <f>1-E3</f>
        <v>0.95</v>
      </c>
      <c r="H3" s="886">
        <f t="shared" ref="H3:H9" ca="1" si="0">+C3*F3</f>
        <v>0.94500000000000006</v>
      </c>
      <c r="I3" s="886">
        <f t="shared" ref="I3:I9" ca="1" si="1">+C3*G3</f>
        <v>0.85499999999999998</v>
      </c>
      <c r="J3" s="1126"/>
      <c r="K3" s="1126"/>
      <c r="L3" s="881"/>
      <c r="M3" s="881"/>
      <c r="N3" s="881"/>
      <c r="O3" s="881"/>
      <c r="P3" s="881"/>
      <c r="Q3" s="881"/>
      <c r="R3" s="881"/>
      <c r="S3" s="881"/>
      <c r="T3" s="881"/>
      <c r="U3" s="881"/>
      <c r="V3" s="881"/>
      <c r="W3" s="881"/>
      <c r="X3" s="881"/>
      <c r="Y3" s="881"/>
      <c r="Z3" s="881"/>
      <c r="AA3" s="881"/>
      <c r="AB3" s="881"/>
      <c r="AC3" s="881"/>
      <c r="AD3" s="881"/>
      <c r="AE3" s="881"/>
      <c r="AF3" s="881"/>
      <c r="AG3" s="881"/>
      <c r="AH3" s="881"/>
      <c r="AI3" s="881"/>
      <c r="AJ3" s="881"/>
      <c r="AK3" s="881"/>
      <c r="AL3" s="881"/>
      <c r="AM3" s="881"/>
      <c r="AN3" s="881"/>
      <c r="AO3" s="881"/>
      <c r="AP3" s="881"/>
      <c r="AQ3" s="881"/>
      <c r="AR3" s="881"/>
      <c r="AS3" s="881"/>
      <c r="AT3" s="881"/>
      <c r="AU3" s="881"/>
      <c r="AV3" s="881"/>
      <c r="AW3" s="881"/>
      <c r="AX3" s="881"/>
      <c r="AY3" s="881"/>
      <c r="AZ3" s="881"/>
      <c r="BA3" s="881"/>
      <c r="BB3" s="881"/>
      <c r="BC3" s="881"/>
      <c r="BD3" s="881"/>
      <c r="BE3" s="881"/>
      <c r="BF3" s="881"/>
      <c r="BG3" s="881"/>
      <c r="BH3" s="881"/>
      <c r="BI3" s="881"/>
      <c r="BJ3" s="881"/>
      <c r="BK3" s="881"/>
      <c r="BL3" s="881"/>
      <c r="BM3" s="881"/>
      <c r="BN3" s="881"/>
      <c r="BO3" s="881"/>
      <c r="BP3" s="881"/>
      <c r="BQ3" s="881"/>
      <c r="BR3" s="881"/>
      <c r="BS3" s="881"/>
      <c r="BT3" s="881"/>
      <c r="BU3" s="881"/>
    </row>
    <row r="4" spans="1:73" x14ac:dyDescent="0.25">
      <c r="A4" s="881"/>
      <c r="B4" s="884" t="str">
        <f>+Input_Sheet_Template!B26</f>
        <v>Plant Design Capacity (kg of H2/day)</v>
      </c>
      <c r="C4" s="889">
        <f ca="1">+design_cap</f>
        <v>483000</v>
      </c>
      <c r="D4" s="887">
        <v>0.05</v>
      </c>
      <c r="E4" s="887">
        <v>0.05</v>
      </c>
      <c r="F4" s="897">
        <f>1+D4</f>
        <v>1.05</v>
      </c>
      <c r="G4" s="894">
        <f>1-E4</f>
        <v>0.95</v>
      </c>
      <c r="H4" s="891">
        <f t="shared" ca="1" si="0"/>
        <v>507150</v>
      </c>
      <c r="I4" s="891">
        <f t="shared" ca="1" si="1"/>
        <v>458850</v>
      </c>
      <c r="J4" s="1126"/>
      <c r="K4" s="1126"/>
      <c r="L4" s="881"/>
      <c r="M4" s="881"/>
      <c r="N4" s="881"/>
      <c r="O4" s="881"/>
      <c r="P4" s="881"/>
      <c r="Q4" s="881"/>
      <c r="R4" s="881"/>
      <c r="S4" s="881"/>
      <c r="T4" s="881"/>
      <c r="U4" s="881"/>
      <c r="V4" s="881"/>
      <c r="W4" s="881"/>
      <c r="X4" s="881"/>
      <c r="Y4" s="881"/>
      <c r="Z4" s="881"/>
      <c r="AA4" s="881"/>
      <c r="AB4" s="881"/>
      <c r="AC4" s="881"/>
      <c r="AD4" s="881"/>
      <c r="AE4" s="881"/>
      <c r="AF4" s="881"/>
      <c r="AG4" s="881"/>
      <c r="AH4" s="881"/>
      <c r="AI4" s="881"/>
      <c r="AJ4" s="881"/>
      <c r="AK4" s="881"/>
      <c r="AL4" s="881"/>
      <c r="AM4" s="881"/>
      <c r="AN4" s="881"/>
      <c r="AO4" s="881"/>
      <c r="AP4" s="881"/>
      <c r="AQ4" s="881"/>
      <c r="AR4" s="881"/>
      <c r="AS4" s="881"/>
      <c r="AT4" s="881"/>
      <c r="AU4" s="881"/>
      <c r="AV4" s="881"/>
      <c r="AW4" s="881"/>
      <c r="AX4" s="881"/>
      <c r="AY4" s="881"/>
      <c r="AZ4" s="881"/>
      <c r="BA4" s="881"/>
      <c r="BB4" s="881"/>
      <c r="BC4" s="881"/>
      <c r="BD4" s="881"/>
      <c r="BE4" s="881"/>
      <c r="BF4" s="881"/>
      <c r="BG4" s="881"/>
      <c r="BH4" s="881"/>
      <c r="BI4" s="881"/>
      <c r="BJ4" s="881"/>
      <c r="BK4" s="881"/>
      <c r="BL4" s="881"/>
      <c r="BM4" s="881"/>
      <c r="BN4" s="881"/>
      <c r="BO4" s="881"/>
      <c r="BP4" s="881"/>
      <c r="BQ4" s="881"/>
      <c r="BR4" s="881"/>
      <c r="BS4" s="881"/>
      <c r="BT4" s="881"/>
      <c r="BU4" s="881"/>
    </row>
    <row r="5" spans="1:73" x14ac:dyDescent="0.25">
      <c r="A5" s="881"/>
      <c r="B5" s="884" t="s">
        <v>1148</v>
      </c>
      <c r="C5" s="888">
        <f ca="1">+real_irr</f>
        <v>0.08</v>
      </c>
      <c r="D5" s="887">
        <v>0.05</v>
      </c>
      <c r="E5" s="887">
        <v>0.05</v>
      </c>
      <c r="F5" s="897">
        <f>1-D5</f>
        <v>0.95</v>
      </c>
      <c r="G5" s="894">
        <f>1+E5</f>
        <v>1.05</v>
      </c>
      <c r="H5" s="886">
        <f t="shared" ca="1" si="0"/>
        <v>7.5999999999999998E-2</v>
      </c>
      <c r="I5" s="886">
        <f t="shared" ca="1" si="1"/>
        <v>8.4000000000000005E-2</v>
      </c>
      <c r="J5" s="1126"/>
      <c r="K5" s="1126"/>
      <c r="L5" s="881"/>
      <c r="M5" s="881"/>
      <c r="N5" s="881"/>
      <c r="O5" s="881"/>
      <c r="P5" s="881"/>
      <c r="Q5" s="881"/>
      <c r="R5" s="881"/>
      <c r="S5" s="881"/>
      <c r="T5" s="881"/>
      <c r="U5" s="881"/>
      <c r="V5" s="881"/>
      <c r="W5" s="881"/>
      <c r="X5" s="881"/>
      <c r="Y5" s="881"/>
      <c r="Z5" s="881"/>
      <c r="AA5" s="881"/>
      <c r="AB5" s="881"/>
      <c r="AC5" s="881"/>
      <c r="AD5" s="881"/>
      <c r="AE5" s="881"/>
      <c r="AF5" s="881"/>
      <c r="AG5" s="881"/>
      <c r="AH5" s="881"/>
      <c r="AI5" s="881"/>
      <c r="AJ5" s="881"/>
      <c r="AK5" s="881"/>
      <c r="AL5" s="881"/>
      <c r="AM5" s="881"/>
      <c r="AN5" s="881"/>
      <c r="AO5" s="881"/>
      <c r="AP5" s="881"/>
      <c r="AQ5" s="881"/>
      <c r="AR5" s="881"/>
      <c r="AS5" s="881"/>
      <c r="AT5" s="881"/>
      <c r="AU5" s="881"/>
      <c r="AV5" s="881"/>
      <c r="AW5" s="881"/>
      <c r="AX5" s="881"/>
      <c r="AY5" s="881"/>
      <c r="AZ5" s="881"/>
      <c r="BA5" s="881"/>
      <c r="BB5" s="881"/>
      <c r="BC5" s="881"/>
      <c r="BD5" s="881"/>
      <c r="BE5" s="881"/>
      <c r="BF5" s="881"/>
      <c r="BG5" s="881"/>
      <c r="BH5" s="881"/>
      <c r="BI5" s="881"/>
      <c r="BJ5" s="881"/>
      <c r="BK5" s="881"/>
      <c r="BL5" s="881"/>
      <c r="BM5" s="881"/>
      <c r="BN5" s="881"/>
      <c r="BO5" s="881"/>
      <c r="BP5" s="881"/>
      <c r="BQ5" s="881"/>
      <c r="BR5" s="881"/>
      <c r="BS5" s="881"/>
      <c r="BT5" s="881"/>
      <c r="BU5" s="881"/>
    </row>
    <row r="6" spans="1:73" x14ac:dyDescent="0.25">
      <c r="A6" s="881"/>
      <c r="B6" s="884" t="s">
        <v>1157</v>
      </c>
      <c r="C6" s="981">
        <v>1</v>
      </c>
      <c r="D6" s="887">
        <v>0.05</v>
      </c>
      <c r="E6" s="887">
        <v>0.05</v>
      </c>
      <c r="F6" s="897">
        <f>1-D6</f>
        <v>0.95</v>
      </c>
      <c r="G6" s="894">
        <f t="shared" ref="G6:G9" si="2">1+E6</f>
        <v>1.05</v>
      </c>
      <c r="H6" s="979">
        <f t="shared" si="0"/>
        <v>0.95</v>
      </c>
      <c r="I6" s="979">
        <f t="shared" si="1"/>
        <v>1.05</v>
      </c>
      <c r="J6" s="1126"/>
      <c r="K6" s="1126"/>
      <c r="L6" s="881"/>
      <c r="M6" s="881"/>
      <c r="N6" s="881"/>
      <c r="O6" s="881"/>
      <c r="P6" s="881"/>
      <c r="Q6" s="881"/>
      <c r="R6" s="881"/>
      <c r="S6" s="881"/>
      <c r="T6" s="881"/>
      <c r="U6" s="881"/>
      <c r="V6" s="881"/>
      <c r="W6" s="881"/>
      <c r="X6" s="881"/>
      <c r="Y6" s="881"/>
      <c r="Z6" s="881"/>
      <c r="AA6" s="881"/>
      <c r="AB6" s="881"/>
      <c r="AC6" s="881"/>
      <c r="AD6" s="881"/>
      <c r="AE6" s="881"/>
      <c r="AF6" s="881"/>
      <c r="AG6" s="881"/>
      <c r="AH6" s="881"/>
      <c r="AI6" s="881"/>
      <c r="AJ6" s="881"/>
      <c r="AK6" s="881"/>
      <c r="AL6" s="881"/>
      <c r="AM6" s="881"/>
      <c r="AN6" s="881"/>
      <c r="AO6" s="881"/>
      <c r="AP6" s="881"/>
      <c r="AQ6" s="881"/>
      <c r="AR6" s="881"/>
      <c r="AS6" s="881"/>
      <c r="AT6" s="881"/>
      <c r="AU6" s="881"/>
      <c r="AV6" s="881"/>
      <c r="AW6" s="881"/>
      <c r="AX6" s="881"/>
      <c r="AY6" s="881"/>
      <c r="AZ6" s="881"/>
      <c r="BA6" s="881"/>
      <c r="BB6" s="881"/>
      <c r="BC6" s="881"/>
      <c r="BD6" s="881"/>
      <c r="BE6" s="881"/>
      <c r="BF6" s="881"/>
      <c r="BG6" s="881"/>
      <c r="BH6" s="881"/>
      <c r="BI6" s="881"/>
      <c r="BJ6" s="881"/>
      <c r="BK6" s="881"/>
      <c r="BL6" s="881"/>
      <c r="BM6" s="881"/>
      <c r="BN6" s="881"/>
      <c r="BO6" s="881"/>
      <c r="BP6" s="881"/>
      <c r="BQ6" s="881"/>
      <c r="BR6" s="881"/>
      <c r="BS6" s="881"/>
      <c r="BT6" s="881"/>
      <c r="BU6" s="881"/>
    </row>
    <row r="7" spans="1:73" x14ac:dyDescent="0.25">
      <c r="A7" s="881"/>
      <c r="B7" s="884" t="s">
        <v>1158</v>
      </c>
      <c r="C7" s="981">
        <v>1</v>
      </c>
      <c r="D7" s="887">
        <v>0.05</v>
      </c>
      <c r="E7" s="887">
        <v>0.05</v>
      </c>
      <c r="F7" s="897">
        <f>1-D7</f>
        <v>0.95</v>
      </c>
      <c r="G7" s="894">
        <f t="shared" si="2"/>
        <v>1.05</v>
      </c>
      <c r="H7" s="979">
        <f t="shared" si="0"/>
        <v>0.95</v>
      </c>
      <c r="I7" s="979">
        <f t="shared" si="1"/>
        <v>1.05</v>
      </c>
      <c r="J7" s="1126"/>
      <c r="K7" s="1126"/>
      <c r="L7" s="881"/>
      <c r="M7" s="881"/>
      <c r="N7" s="881"/>
      <c r="O7" s="881"/>
      <c r="P7" s="881"/>
      <c r="Q7" s="881"/>
      <c r="R7" s="881"/>
      <c r="S7" s="881"/>
      <c r="T7" s="881"/>
      <c r="U7" s="881"/>
      <c r="V7" s="881"/>
      <c r="W7" s="881"/>
      <c r="X7" s="881"/>
      <c r="Y7" s="881"/>
      <c r="Z7" s="881"/>
      <c r="AA7" s="881"/>
      <c r="AB7" s="881"/>
      <c r="AC7" s="881"/>
      <c r="AD7" s="881"/>
      <c r="AE7" s="881"/>
      <c r="AF7" s="881"/>
      <c r="AG7" s="881"/>
      <c r="AH7" s="881"/>
      <c r="AI7" s="881"/>
      <c r="AJ7" s="881"/>
      <c r="AK7" s="881"/>
      <c r="AL7" s="881"/>
      <c r="AM7" s="881"/>
      <c r="AN7" s="881"/>
      <c r="AO7" s="881"/>
      <c r="AP7" s="881"/>
      <c r="AQ7" s="881"/>
      <c r="AR7" s="881"/>
      <c r="AS7" s="881"/>
      <c r="AT7" s="881"/>
      <c r="AU7" s="881"/>
      <c r="AV7" s="881"/>
      <c r="AW7" s="881"/>
      <c r="AX7" s="881"/>
      <c r="AY7" s="881"/>
      <c r="AZ7" s="881"/>
      <c r="BA7" s="881"/>
      <c r="BB7" s="881"/>
      <c r="BC7" s="881"/>
      <c r="BD7" s="881"/>
      <c r="BE7" s="881"/>
      <c r="BF7" s="881"/>
      <c r="BG7" s="881"/>
      <c r="BH7" s="881"/>
      <c r="BI7" s="881"/>
      <c r="BJ7" s="881"/>
      <c r="BK7" s="881"/>
      <c r="BL7" s="881"/>
      <c r="BM7" s="881"/>
      <c r="BN7" s="881"/>
      <c r="BO7" s="881"/>
      <c r="BP7" s="881"/>
      <c r="BQ7" s="881"/>
      <c r="BR7" s="881"/>
      <c r="BS7" s="881"/>
      <c r="BT7" s="881"/>
      <c r="BU7" s="881"/>
    </row>
    <row r="8" spans="1:73" x14ac:dyDescent="0.25">
      <c r="A8" s="881"/>
      <c r="B8" s="884" t="s">
        <v>114</v>
      </c>
      <c r="C8" s="889">
        <f ca="1">+total_cap</f>
        <v>802844120.45236218</v>
      </c>
      <c r="D8" s="887">
        <v>0.05</v>
      </c>
      <c r="E8" s="887">
        <v>0.05</v>
      </c>
      <c r="F8" s="897">
        <f>1-D8</f>
        <v>0.95</v>
      </c>
      <c r="G8" s="894">
        <f t="shared" si="2"/>
        <v>1.05</v>
      </c>
      <c r="H8" s="891">
        <f t="shared" ca="1" si="0"/>
        <v>762701914.42974401</v>
      </c>
      <c r="I8" s="891">
        <f t="shared" ca="1" si="1"/>
        <v>842986326.47498035</v>
      </c>
      <c r="J8" s="1126"/>
      <c r="K8" s="1126"/>
      <c r="L8" s="881"/>
      <c r="M8" s="881"/>
      <c r="N8" s="881"/>
      <c r="O8" s="881"/>
      <c r="P8" s="881"/>
      <c r="Q8" s="881"/>
      <c r="R8" s="881"/>
      <c r="S8" s="881"/>
      <c r="T8" s="881"/>
      <c r="U8" s="881"/>
      <c r="V8" s="881"/>
      <c r="W8" s="881"/>
      <c r="X8" s="881"/>
      <c r="Y8" s="881"/>
      <c r="Z8" s="881"/>
      <c r="AA8" s="881"/>
      <c r="AB8" s="881"/>
      <c r="AC8" s="881"/>
      <c r="AD8" s="881"/>
      <c r="AE8" s="881"/>
      <c r="AF8" s="881"/>
      <c r="AG8" s="881"/>
      <c r="AH8" s="881"/>
      <c r="AI8" s="881"/>
      <c r="AJ8" s="881"/>
      <c r="AK8" s="881"/>
      <c r="AL8" s="881"/>
      <c r="AM8" s="881"/>
      <c r="AN8" s="881"/>
      <c r="AO8" s="881"/>
      <c r="AP8" s="881"/>
      <c r="AQ8" s="881"/>
      <c r="AR8" s="881"/>
      <c r="AS8" s="881"/>
      <c r="AT8" s="881"/>
      <c r="AU8" s="881"/>
      <c r="AV8" s="881"/>
      <c r="AW8" s="881"/>
      <c r="AX8" s="881"/>
      <c r="AY8" s="881"/>
      <c r="AZ8" s="881"/>
      <c r="BA8" s="881"/>
      <c r="BB8" s="881"/>
      <c r="BC8" s="881"/>
      <c r="BD8" s="881"/>
      <c r="BE8" s="881"/>
      <c r="BF8" s="881"/>
      <c r="BG8" s="881"/>
      <c r="BH8" s="881"/>
      <c r="BI8" s="881"/>
      <c r="BJ8" s="881"/>
      <c r="BK8" s="881"/>
      <c r="BL8" s="881"/>
      <c r="BM8" s="881"/>
      <c r="BN8" s="881"/>
      <c r="BO8" s="881"/>
      <c r="BP8" s="881"/>
      <c r="BQ8" s="881"/>
      <c r="BR8" s="881"/>
      <c r="BS8" s="881"/>
      <c r="BT8" s="881"/>
      <c r="BU8" s="881"/>
    </row>
    <row r="9" spans="1:73" x14ac:dyDescent="0.25">
      <c r="A9" s="881"/>
      <c r="B9" s="884" t="s">
        <v>619</v>
      </c>
      <c r="C9" s="889">
        <f ca="1">+fixed</f>
        <v>32659076.205139719</v>
      </c>
      <c r="D9" s="887">
        <v>0.05</v>
      </c>
      <c r="E9" s="887">
        <v>0.05</v>
      </c>
      <c r="F9" s="897">
        <f>1-D9</f>
        <v>0.95</v>
      </c>
      <c r="G9" s="894">
        <f t="shared" si="2"/>
        <v>1.05</v>
      </c>
      <c r="H9" s="891">
        <f t="shared" ca="1" si="0"/>
        <v>31026122.394882731</v>
      </c>
      <c r="I9" s="891">
        <f t="shared" ca="1" si="1"/>
        <v>34292030.015396707</v>
      </c>
      <c r="J9" s="1126"/>
      <c r="K9" s="1126"/>
      <c r="L9" s="881"/>
      <c r="M9" s="881"/>
      <c r="N9" s="881"/>
      <c r="O9" s="881"/>
      <c r="P9" s="881"/>
      <c r="Q9" s="881"/>
      <c r="R9" s="881"/>
      <c r="S9" s="881"/>
      <c r="T9" s="881"/>
      <c r="U9" s="881"/>
      <c r="V9" s="881"/>
      <c r="W9" s="881"/>
      <c r="X9" s="881"/>
      <c r="Y9" s="881"/>
      <c r="Z9" s="881"/>
      <c r="AA9" s="881"/>
      <c r="AB9" s="881"/>
      <c r="AC9" s="881"/>
      <c r="AD9" s="881"/>
      <c r="AE9" s="881"/>
      <c r="AF9" s="881"/>
      <c r="AG9" s="881"/>
      <c r="AH9" s="881"/>
      <c r="AI9" s="881"/>
      <c r="AJ9" s="881"/>
      <c r="AK9" s="881"/>
      <c r="AL9" s="881"/>
      <c r="AM9" s="881"/>
      <c r="AN9" s="881"/>
      <c r="AO9" s="881"/>
      <c r="AP9" s="881"/>
      <c r="AQ9" s="881"/>
      <c r="AR9" s="881"/>
      <c r="AS9" s="881"/>
      <c r="AT9" s="881"/>
      <c r="AU9" s="881"/>
      <c r="AV9" s="881"/>
      <c r="AW9" s="881"/>
      <c r="AX9" s="881"/>
      <c r="AY9" s="881"/>
      <c r="AZ9" s="881"/>
      <c r="BA9" s="881"/>
      <c r="BB9" s="881"/>
      <c r="BC9" s="881"/>
      <c r="BD9" s="881"/>
      <c r="BE9" s="881"/>
      <c r="BF9" s="881"/>
      <c r="BG9" s="881"/>
      <c r="BH9" s="881"/>
      <c r="BI9" s="881"/>
      <c r="BJ9" s="881"/>
      <c r="BK9" s="881"/>
      <c r="BL9" s="881"/>
      <c r="BM9" s="881"/>
      <c r="BN9" s="881"/>
      <c r="BO9" s="881"/>
      <c r="BP9" s="881"/>
      <c r="BQ9" s="881"/>
      <c r="BR9" s="881"/>
      <c r="BS9" s="881"/>
      <c r="BT9" s="881"/>
      <c r="BU9" s="881"/>
    </row>
    <row r="10" spans="1:73" x14ac:dyDescent="0.25">
      <c r="A10" s="881"/>
      <c r="B10" s="881"/>
      <c r="C10" s="881"/>
      <c r="D10" s="881"/>
      <c r="E10" s="881"/>
      <c r="F10" s="881"/>
      <c r="G10" s="881"/>
      <c r="H10" s="881"/>
      <c r="I10" s="881"/>
      <c r="J10" s="881"/>
      <c r="K10" s="881"/>
      <c r="L10" s="881"/>
      <c r="M10" s="881"/>
      <c r="N10" s="881"/>
      <c r="O10" s="881"/>
      <c r="P10" s="881"/>
      <c r="Q10" s="881"/>
      <c r="R10" s="881"/>
      <c r="S10" s="881"/>
      <c r="T10" s="881"/>
      <c r="U10" s="881"/>
      <c r="V10" s="881"/>
      <c r="W10" s="881"/>
      <c r="X10" s="881"/>
      <c r="Y10" s="881"/>
      <c r="Z10" s="881"/>
      <c r="AA10" s="881"/>
      <c r="AB10" s="881"/>
      <c r="AC10" s="881"/>
      <c r="AD10" s="881"/>
      <c r="AE10" s="881"/>
      <c r="AF10" s="881"/>
      <c r="AG10" s="881"/>
      <c r="AH10" s="881"/>
      <c r="AI10" s="881"/>
      <c r="AJ10" s="881"/>
      <c r="AK10" s="881"/>
      <c r="AL10" s="881"/>
      <c r="AM10" s="881"/>
      <c r="AN10" s="881"/>
      <c r="AO10" s="881"/>
      <c r="AP10" s="881"/>
      <c r="AQ10" s="881"/>
      <c r="AR10" s="881"/>
      <c r="AS10" s="881"/>
      <c r="AT10" s="881"/>
      <c r="AU10" s="881"/>
      <c r="AV10" s="881"/>
      <c r="AW10" s="881"/>
      <c r="AX10" s="881"/>
      <c r="AY10" s="881"/>
      <c r="AZ10" s="881"/>
      <c r="BA10" s="881"/>
      <c r="BB10" s="881"/>
      <c r="BC10" s="881"/>
      <c r="BD10" s="881"/>
      <c r="BE10" s="881"/>
      <c r="BF10" s="881"/>
      <c r="BG10" s="881"/>
      <c r="BH10" s="881"/>
      <c r="BI10" s="881"/>
      <c r="BJ10" s="881"/>
      <c r="BK10" s="881"/>
      <c r="BL10" s="881"/>
      <c r="BM10" s="881"/>
      <c r="BN10" s="881"/>
      <c r="BO10" s="881"/>
      <c r="BP10" s="881"/>
      <c r="BQ10" s="881"/>
      <c r="BR10" s="881"/>
      <c r="BS10" s="881"/>
      <c r="BT10" s="881"/>
      <c r="BU10" s="881"/>
    </row>
    <row r="11" spans="1:73" x14ac:dyDescent="0.25">
      <c r="A11" s="881"/>
      <c r="B11" s="1578" t="s">
        <v>1251</v>
      </c>
      <c r="C11" s="1578"/>
      <c r="D11" s="887" t="s">
        <v>20</v>
      </c>
      <c r="E11" s="1138" t="str">
        <f>IF(RunRiskAnalysis="Yes","          Please click Update Charts and Risk Analysis button before using results below","")</f>
        <v xml:space="preserve">          Please click Update Charts and Risk Analysis button before using results below</v>
      </c>
      <c r="F11" s="881"/>
      <c r="H11" s="881"/>
      <c r="I11" s="881"/>
      <c r="J11" s="881"/>
      <c r="K11" s="881"/>
      <c r="L11" s="881"/>
      <c r="M11" s="881"/>
      <c r="N11" s="881"/>
      <c r="O11" s="881"/>
      <c r="P11" s="881"/>
      <c r="Q11" s="881"/>
      <c r="R11" s="881"/>
      <c r="S11" s="881"/>
      <c r="T11" s="881"/>
      <c r="U11" s="881"/>
      <c r="V11" s="881"/>
      <c r="W11" s="881"/>
      <c r="X11" s="881"/>
      <c r="Y11" s="881"/>
      <c r="Z11" s="881"/>
      <c r="AA11" s="881"/>
      <c r="AB11" s="881"/>
      <c r="AC11" s="881"/>
      <c r="AD11" s="881"/>
      <c r="AE11" s="881"/>
      <c r="AF11" s="881"/>
      <c r="AG11" s="881"/>
      <c r="AH11" s="881"/>
      <c r="AI11" s="881"/>
      <c r="AJ11" s="881"/>
      <c r="AK11" s="881"/>
      <c r="AL11" s="881"/>
      <c r="AM11" s="881"/>
      <c r="AN11" s="881"/>
      <c r="AO11" s="881"/>
      <c r="AP11" s="881"/>
      <c r="AQ11" s="881"/>
      <c r="AR11" s="881"/>
      <c r="AS11" s="881"/>
      <c r="AT11" s="881"/>
      <c r="AU11" s="881"/>
      <c r="AV11" s="881"/>
      <c r="AW11" s="881"/>
      <c r="AX11" s="881"/>
      <c r="AY11" s="881"/>
      <c r="AZ11" s="881"/>
      <c r="BA11" s="881"/>
      <c r="BB11" s="881"/>
      <c r="BC11" s="881"/>
      <c r="BD11" s="881"/>
      <c r="BE11" s="881"/>
      <c r="BF11" s="881"/>
      <c r="BG11" s="881"/>
      <c r="BH11" s="881"/>
      <c r="BI11" s="881"/>
      <c r="BJ11" s="881"/>
      <c r="BK11" s="881"/>
      <c r="BL11" s="881"/>
      <c r="BM11" s="881"/>
      <c r="BN11" s="881"/>
      <c r="BO11" s="881"/>
      <c r="BP11" s="881"/>
      <c r="BQ11" s="881"/>
      <c r="BR11" s="881"/>
      <c r="BS11" s="881"/>
      <c r="BT11" s="881"/>
      <c r="BU11" s="881"/>
    </row>
    <row r="12" spans="1:73" ht="12.75" customHeight="1" x14ac:dyDescent="0.25">
      <c r="A12" s="881"/>
      <c r="B12" s="881"/>
      <c r="C12" s="881"/>
      <c r="D12" s="881"/>
      <c r="E12" s="881"/>
      <c r="F12" s="881"/>
      <c r="G12" s="881"/>
      <c r="H12" s="881"/>
      <c r="I12" s="881"/>
      <c r="J12" s="881"/>
      <c r="K12" s="881"/>
      <c r="L12" s="881"/>
      <c r="M12" s="881"/>
      <c r="N12" s="881"/>
      <c r="P12" s="1578" t="s">
        <v>1215</v>
      </c>
      <c r="Q12" s="1578"/>
      <c r="R12" s="1579" t="s">
        <v>1238</v>
      </c>
      <c r="S12" s="1579"/>
      <c r="T12" s="1579"/>
      <c r="U12" s="1579"/>
      <c r="V12" s="881"/>
      <c r="W12" s="881"/>
      <c r="X12" s="881"/>
      <c r="Y12" s="881"/>
      <c r="Z12" s="881"/>
      <c r="AA12" s="881"/>
      <c r="AB12" s="881"/>
      <c r="AC12" s="881"/>
      <c r="AD12" s="881"/>
      <c r="AE12" s="881"/>
      <c r="AF12" s="881"/>
      <c r="AG12" s="881"/>
      <c r="AH12" s="881"/>
      <c r="AI12" s="881"/>
      <c r="AJ12" s="881"/>
      <c r="AK12" s="881"/>
      <c r="AL12" s="881"/>
      <c r="AM12" s="881"/>
      <c r="AN12" s="881"/>
      <c r="AO12" s="881"/>
      <c r="AP12" s="881"/>
      <c r="AQ12" s="881"/>
      <c r="AR12" s="881"/>
      <c r="AS12" s="881"/>
      <c r="AT12" s="881"/>
      <c r="AU12" s="881"/>
      <c r="AV12" s="881"/>
      <c r="AW12" s="881"/>
      <c r="AX12" s="881"/>
      <c r="AY12" s="881"/>
      <c r="AZ12" s="881"/>
      <c r="BA12" s="881"/>
      <c r="BB12" s="881"/>
      <c r="BC12" s="881"/>
      <c r="BD12" s="881"/>
      <c r="BE12" s="881"/>
      <c r="BF12" s="881"/>
      <c r="BG12" s="881"/>
      <c r="BH12" s="881"/>
      <c r="BI12" s="881"/>
      <c r="BJ12" s="881"/>
      <c r="BK12" s="881"/>
      <c r="BL12" s="881"/>
      <c r="BM12" s="881"/>
      <c r="BN12" s="881"/>
      <c r="BO12" s="881"/>
      <c r="BP12" s="881"/>
      <c r="BQ12" s="881"/>
      <c r="BR12" s="881"/>
      <c r="BS12" s="881"/>
      <c r="BT12" s="881"/>
      <c r="BU12" s="881"/>
    </row>
    <row r="13" spans="1:73" x14ac:dyDescent="0.25">
      <c r="A13" s="881"/>
      <c r="B13" s="881"/>
      <c r="C13" s="881"/>
      <c r="D13" s="881"/>
      <c r="E13" s="881"/>
      <c r="F13" s="881"/>
      <c r="G13" s="881"/>
      <c r="H13" s="881"/>
      <c r="I13" s="881"/>
      <c r="J13" s="881"/>
      <c r="K13" s="881"/>
      <c r="L13" s="881"/>
      <c r="M13" s="881"/>
      <c r="N13" s="881"/>
      <c r="O13" s="881"/>
      <c r="P13" s="881"/>
      <c r="Q13" s="881"/>
      <c r="R13" s="881"/>
      <c r="S13" s="881"/>
      <c r="T13" s="881"/>
      <c r="U13" s="881"/>
      <c r="V13" s="892" t="s">
        <v>1201</v>
      </c>
      <c r="W13" s="892" t="s">
        <v>1065</v>
      </c>
      <c r="X13" s="881"/>
      <c r="Y13" s="881"/>
      <c r="Z13" s="881"/>
      <c r="AA13" s="881"/>
      <c r="AB13" s="881"/>
      <c r="AC13" s="881"/>
      <c r="AD13" s="881"/>
      <c r="AE13" s="881"/>
      <c r="AF13" s="881"/>
      <c r="AG13" s="881"/>
      <c r="AH13" s="881"/>
      <c r="AI13" s="881"/>
      <c r="AJ13" s="881"/>
      <c r="AK13" s="881"/>
      <c r="AL13" s="881"/>
      <c r="AM13" s="881"/>
      <c r="AN13" s="881"/>
      <c r="AO13" s="881"/>
      <c r="AP13" s="881"/>
      <c r="AQ13" s="881"/>
      <c r="AR13" s="881"/>
      <c r="AS13" s="881"/>
      <c r="AT13" s="881"/>
      <c r="AU13" s="881"/>
      <c r="AV13" s="881"/>
      <c r="AW13" s="881"/>
      <c r="AX13" s="881"/>
      <c r="AY13" s="881"/>
      <c r="AZ13" s="881"/>
      <c r="BA13" s="881"/>
      <c r="BB13" s="881"/>
      <c r="BC13" s="881"/>
      <c r="BD13" s="881"/>
      <c r="BE13" s="881"/>
      <c r="BF13" s="881"/>
      <c r="BG13" s="881"/>
      <c r="BH13" s="881"/>
      <c r="BI13" s="881"/>
      <c r="BJ13" s="881"/>
      <c r="BK13" s="881"/>
      <c r="BL13" s="881"/>
      <c r="BM13" s="881"/>
      <c r="BN13" s="881"/>
      <c r="BO13" s="881"/>
      <c r="BP13" s="881"/>
      <c r="BQ13" s="881"/>
      <c r="BR13" s="881"/>
      <c r="BS13" s="881"/>
      <c r="BT13" s="881"/>
      <c r="BU13" s="881"/>
    </row>
    <row r="14" spans="1:73" ht="11.25" customHeight="1" x14ac:dyDescent="0.25">
      <c r="A14" s="881"/>
      <c r="B14" s="881"/>
      <c r="C14" s="881"/>
      <c r="D14" s="881"/>
      <c r="E14" s="881"/>
      <c r="F14" s="881"/>
      <c r="G14" s="881"/>
      <c r="H14" s="881"/>
      <c r="I14" s="881"/>
      <c r="J14" s="881"/>
      <c r="K14" s="881"/>
      <c r="L14" s="881"/>
      <c r="M14" s="881"/>
      <c r="N14" s="881"/>
      <c r="O14" s="881"/>
      <c r="P14" s="881"/>
      <c r="Q14" s="881"/>
      <c r="R14" s="881"/>
      <c r="S14" s="881"/>
      <c r="T14" s="881"/>
      <c r="U14" s="881"/>
      <c r="V14" s="894">
        <v>0</v>
      </c>
      <c r="W14" s="895">
        <f ca="1">+MIN(OFFSET($B$251:$B$2250,0,$C$194))*$C$198</f>
        <v>1.8798054527385941</v>
      </c>
      <c r="X14" s="881"/>
      <c r="Y14" s="881"/>
      <c r="Z14" s="881"/>
      <c r="AA14" s="881"/>
      <c r="AB14" s="881"/>
      <c r="AC14" s="881"/>
      <c r="AD14" s="881"/>
      <c r="AE14" s="881"/>
      <c r="AF14" s="881"/>
      <c r="AG14" s="881"/>
      <c r="AH14" s="881"/>
      <c r="AI14" s="881"/>
      <c r="AJ14" s="881"/>
      <c r="AK14" s="881"/>
      <c r="AL14" s="881"/>
      <c r="AM14" s="881"/>
      <c r="AN14" s="881"/>
      <c r="AO14" s="881"/>
      <c r="AP14" s="881"/>
      <c r="AQ14" s="881"/>
      <c r="AR14" s="881"/>
      <c r="AS14" s="881"/>
      <c r="AT14" s="881"/>
      <c r="AU14" s="881"/>
      <c r="AV14" s="881"/>
      <c r="AW14" s="881"/>
      <c r="AX14" s="881"/>
      <c r="AY14" s="881"/>
      <c r="AZ14" s="881"/>
      <c r="BA14" s="881"/>
      <c r="BB14" s="881"/>
      <c r="BC14" s="881"/>
      <c r="BD14" s="881"/>
      <c r="BE14" s="881"/>
      <c r="BF14" s="881"/>
      <c r="BG14" s="881"/>
      <c r="BH14" s="881"/>
      <c r="BI14" s="881"/>
      <c r="BJ14" s="881"/>
      <c r="BK14" s="881"/>
      <c r="BL14" s="881"/>
      <c r="BM14" s="881"/>
      <c r="BN14" s="881"/>
      <c r="BO14" s="881"/>
      <c r="BP14" s="881"/>
      <c r="BQ14" s="881"/>
      <c r="BR14" s="881"/>
      <c r="BS14" s="881"/>
      <c r="BT14" s="881"/>
      <c r="BU14" s="881"/>
    </row>
    <row r="15" spans="1:73" x14ac:dyDescent="0.25">
      <c r="A15" s="881"/>
      <c r="B15" s="881"/>
      <c r="C15" s="881"/>
      <c r="D15" s="881"/>
      <c r="E15" s="881"/>
      <c r="F15" s="881"/>
      <c r="G15" s="881"/>
      <c r="H15" s="881"/>
      <c r="I15" s="881"/>
      <c r="J15" s="881"/>
      <c r="K15" s="881"/>
      <c r="L15" s="881"/>
      <c r="M15" s="881"/>
      <c r="N15" s="881"/>
      <c r="O15" s="881"/>
      <c r="P15" s="881"/>
      <c r="Q15" s="881"/>
      <c r="R15" s="881"/>
      <c r="S15" s="881"/>
      <c r="T15" s="881"/>
      <c r="U15" s="881"/>
      <c r="V15" s="1136">
        <v>0.05</v>
      </c>
      <c r="W15" s="1137">
        <f t="shared" ref="W15:W33" ca="1" si="3">+PERCENTILE(OFFSET($B$251:$B$2250,0,$C$194),V15)*$C$198</f>
        <v>1.9072077216227346</v>
      </c>
      <c r="X15" s="881"/>
      <c r="Y15" s="881"/>
      <c r="Z15" s="881"/>
      <c r="AA15" s="881"/>
      <c r="AB15" s="881"/>
      <c r="AC15" s="881"/>
      <c r="AD15" s="881"/>
      <c r="AE15" s="881"/>
      <c r="AF15" s="881"/>
      <c r="AG15" s="881"/>
      <c r="AH15" s="881"/>
      <c r="AI15" s="881"/>
      <c r="AJ15" s="881"/>
      <c r="AK15" s="881"/>
      <c r="AL15" s="881"/>
      <c r="AM15" s="881"/>
      <c r="AN15" s="881"/>
      <c r="AO15" s="881"/>
      <c r="AP15" s="881"/>
      <c r="AQ15" s="881"/>
      <c r="AR15" s="881"/>
      <c r="AS15" s="881"/>
      <c r="AT15" s="881"/>
      <c r="AU15" s="881"/>
      <c r="AV15" s="881"/>
      <c r="AW15" s="881"/>
      <c r="AX15" s="881"/>
      <c r="AY15" s="881"/>
      <c r="AZ15" s="881"/>
      <c r="BA15" s="881"/>
      <c r="BB15" s="881"/>
      <c r="BC15" s="881"/>
      <c r="BD15" s="881"/>
      <c r="BE15" s="881"/>
      <c r="BF15" s="881"/>
      <c r="BG15" s="881"/>
      <c r="BH15" s="881"/>
      <c r="BI15" s="881"/>
      <c r="BJ15" s="881"/>
      <c r="BK15" s="881"/>
      <c r="BL15" s="881"/>
      <c r="BM15" s="881"/>
      <c r="BN15" s="881"/>
      <c r="BO15" s="881"/>
      <c r="BP15" s="881"/>
      <c r="BQ15" s="881"/>
      <c r="BR15" s="881"/>
      <c r="BS15" s="881"/>
      <c r="BT15" s="881"/>
      <c r="BU15" s="881"/>
    </row>
    <row r="16" spans="1:73" x14ac:dyDescent="0.25">
      <c r="A16" s="881"/>
      <c r="B16" s="882"/>
      <c r="C16" s="881"/>
      <c r="D16" s="881"/>
      <c r="E16" s="881"/>
      <c r="F16" s="881"/>
      <c r="G16" s="881"/>
      <c r="H16" s="881"/>
      <c r="I16" s="881"/>
      <c r="J16" s="881"/>
      <c r="K16" s="881"/>
      <c r="L16" s="881"/>
      <c r="M16" s="881"/>
      <c r="N16" s="881"/>
      <c r="O16" s="881"/>
      <c r="P16" s="881"/>
      <c r="Q16" s="881"/>
      <c r="R16" s="881"/>
      <c r="S16" s="881"/>
      <c r="T16" s="881"/>
      <c r="U16" s="881"/>
      <c r="V16" s="1135">
        <f t="shared" ref="V16:V33" si="4">+V15+0.05</f>
        <v>0.1</v>
      </c>
      <c r="W16" s="895">
        <f t="shared" ca="1" si="3"/>
        <v>1.9135116066038067</v>
      </c>
      <c r="X16" s="881"/>
      <c r="Y16" s="881"/>
      <c r="Z16" s="881"/>
      <c r="AA16" s="881"/>
      <c r="AB16" s="881"/>
      <c r="AC16" s="881"/>
      <c r="AD16" s="881"/>
      <c r="AE16" s="881"/>
      <c r="AF16" s="881"/>
      <c r="AG16" s="881"/>
      <c r="AH16" s="881"/>
      <c r="AI16" s="881"/>
      <c r="AJ16" s="881"/>
      <c r="AK16" s="881"/>
      <c r="AL16" s="881"/>
      <c r="AM16" s="881"/>
      <c r="AN16" s="881"/>
      <c r="AO16" s="881"/>
      <c r="AP16" s="881"/>
      <c r="AQ16" s="881"/>
      <c r="AR16" s="881"/>
      <c r="AS16" s="881"/>
      <c r="AT16" s="881"/>
      <c r="AU16" s="881"/>
      <c r="AV16" s="881"/>
      <c r="AW16" s="881"/>
      <c r="AX16" s="881"/>
      <c r="AY16" s="881"/>
      <c r="AZ16" s="881"/>
      <c r="BA16" s="881"/>
      <c r="BB16" s="881"/>
      <c r="BC16" s="881"/>
      <c r="BD16" s="881"/>
      <c r="BE16" s="881"/>
      <c r="BF16" s="881"/>
      <c r="BG16" s="881"/>
      <c r="BH16" s="881"/>
      <c r="BI16" s="881"/>
      <c r="BJ16" s="881"/>
      <c r="BK16" s="881"/>
      <c r="BL16" s="881"/>
      <c r="BM16" s="881"/>
      <c r="BN16" s="881"/>
      <c r="BO16" s="881"/>
      <c r="BP16" s="881"/>
      <c r="BQ16" s="881"/>
      <c r="BR16" s="881"/>
      <c r="BS16" s="881"/>
      <c r="BT16" s="881"/>
      <c r="BU16" s="881"/>
    </row>
    <row r="17" spans="1:73" x14ac:dyDescent="0.25">
      <c r="A17" s="881"/>
      <c r="B17" s="881"/>
      <c r="C17" s="881"/>
      <c r="D17" s="881"/>
      <c r="E17" s="881"/>
      <c r="F17" s="881"/>
      <c r="G17" s="881"/>
      <c r="H17" s="881"/>
      <c r="I17" s="881"/>
      <c r="J17" s="881"/>
      <c r="K17" s="881"/>
      <c r="L17" s="881"/>
      <c r="M17" s="881"/>
      <c r="N17" s="881"/>
      <c r="O17" s="881"/>
      <c r="P17" s="881"/>
      <c r="Q17" s="881"/>
      <c r="R17" s="881"/>
      <c r="S17" s="881"/>
      <c r="T17" s="881"/>
      <c r="U17" s="881"/>
      <c r="V17" s="1135">
        <f t="shared" si="4"/>
        <v>0.15000000000000002</v>
      </c>
      <c r="W17" s="895">
        <f t="shared" ca="1" si="3"/>
        <v>1.9182592733790331</v>
      </c>
      <c r="X17" s="881"/>
      <c r="Y17" s="881"/>
      <c r="Z17" s="881"/>
      <c r="AA17" s="881"/>
      <c r="AB17" s="881"/>
      <c r="AC17" s="881"/>
      <c r="AD17" s="881"/>
      <c r="AE17" s="881"/>
      <c r="AF17" s="881"/>
      <c r="AG17" s="881"/>
      <c r="AH17" s="881"/>
      <c r="AI17" s="881"/>
      <c r="AJ17" s="881"/>
      <c r="AK17" s="881"/>
      <c r="AL17" s="881"/>
      <c r="AM17" s="881"/>
      <c r="AN17" s="881"/>
      <c r="AO17" s="881"/>
      <c r="AP17" s="881"/>
      <c r="AQ17" s="881"/>
      <c r="AR17" s="881"/>
      <c r="AS17" s="881"/>
      <c r="AT17" s="881"/>
      <c r="AU17" s="881"/>
      <c r="AV17" s="881"/>
      <c r="AW17" s="881"/>
      <c r="AX17" s="881"/>
      <c r="AY17" s="881"/>
      <c r="AZ17" s="881"/>
      <c r="BA17" s="881"/>
      <c r="BB17" s="881"/>
      <c r="BC17" s="881"/>
      <c r="BD17" s="881"/>
      <c r="BE17" s="881"/>
      <c r="BF17" s="881"/>
      <c r="BG17" s="881"/>
      <c r="BH17" s="881"/>
      <c r="BI17" s="881"/>
      <c r="BJ17" s="881"/>
      <c r="BK17" s="881"/>
      <c r="BL17" s="881"/>
      <c r="BM17" s="881"/>
      <c r="BN17" s="881"/>
      <c r="BO17" s="881"/>
      <c r="BP17" s="881"/>
      <c r="BQ17" s="881"/>
      <c r="BR17" s="881"/>
      <c r="BS17" s="881"/>
      <c r="BT17" s="881"/>
      <c r="BU17" s="881"/>
    </row>
    <row r="18" spans="1:73" x14ac:dyDescent="0.25">
      <c r="A18" s="881"/>
      <c r="B18" s="881"/>
      <c r="C18" s="881"/>
      <c r="D18" s="881"/>
      <c r="E18" s="881"/>
      <c r="F18" s="881"/>
      <c r="G18" s="881"/>
      <c r="H18" s="881"/>
      <c r="I18" s="881"/>
      <c r="J18" s="881"/>
      <c r="K18" s="881"/>
      <c r="L18" s="881"/>
      <c r="M18" s="881"/>
      <c r="N18" s="881"/>
      <c r="O18" s="881"/>
      <c r="P18" s="881"/>
      <c r="Q18" s="881"/>
      <c r="R18" s="881"/>
      <c r="S18" s="881"/>
      <c r="T18" s="881"/>
      <c r="U18" s="881"/>
      <c r="V18" s="1135">
        <f t="shared" si="4"/>
        <v>0.2</v>
      </c>
      <c r="W18" s="895">
        <f t="shared" ca="1" si="3"/>
        <v>1.9222746703328817</v>
      </c>
      <c r="X18" s="881"/>
      <c r="Y18" s="881"/>
      <c r="Z18" s="881"/>
      <c r="AA18" s="881"/>
      <c r="AB18" s="881"/>
      <c r="AC18" s="881"/>
      <c r="AD18" s="881"/>
      <c r="AE18" s="881"/>
      <c r="AF18" s="881"/>
      <c r="AG18" s="881"/>
      <c r="AH18" s="881"/>
      <c r="AI18" s="881"/>
      <c r="AJ18" s="881"/>
      <c r="AK18" s="881"/>
      <c r="AL18" s="881"/>
      <c r="AM18" s="881"/>
      <c r="AN18" s="881"/>
      <c r="AO18" s="881"/>
      <c r="AP18" s="881"/>
      <c r="AQ18" s="881"/>
      <c r="AR18" s="881"/>
      <c r="AS18" s="881"/>
      <c r="AT18" s="881"/>
      <c r="AU18" s="881"/>
      <c r="AV18" s="881"/>
      <c r="AW18" s="881"/>
      <c r="AX18" s="881"/>
      <c r="AY18" s="881"/>
      <c r="AZ18" s="881"/>
      <c r="BA18" s="881"/>
      <c r="BB18" s="881"/>
      <c r="BC18" s="881"/>
      <c r="BD18" s="881"/>
      <c r="BE18" s="881"/>
      <c r="BF18" s="881"/>
      <c r="BG18" s="881"/>
      <c r="BH18" s="881"/>
      <c r="BI18" s="881"/>
      <c r="BJ18" s="881"/>
      <c r="BK18" s="881"/>
      <c r="BL18" s="881"/>
      <c r="BM18" s="881"/>
      <c r="BN18" s="881"/>
      <c r="BO18" s="881"/>
      <c r="BP18" s="881"/>
      <c r="BQ18" s="881"/>
      <c r="BR18" s="881"/>
      <c r="BS18" s="881"/>
      <c r="BT18" s="881"/>
      <c r="BU18" s="881"/>
    </row>
    <row r="19" spans="1:73" x14ac:dyDescent="0.25">
      <c r="A19" s="881"/>
      <c r="B19" s="881"/>
      <c r="C19" s="881"/>
      <c r="D19" s="881"/>
      <c r="E19" s="881"/>
      <c r="F19" s="881"/>
      <c r="G19" s="881"/>
      <c r="H19" s="881"/>
      <c r="I19" s="881"/>
      <c r="J19" s="881"/>
      <c r="K19" s="881"/>
      <c r="L19" s="881"/>
      <c r="M19" s="881"/>
      <c r="N19" s="881"/>
      <c r="O19" s="881"/>
      <c r="P19" s="881"/>
      <c r="Q19" s="881"/>
      <c r="R19" s="881"/>
      <c r="S19" s="881"/>
      <c r="T19" s="881"/>
      <c r="U19" s="881"/>
      <c r="V19" s="1135">
        <f t="shared" si="4"/>
        <v>0.25</v>
      </c>
      <c r="W19" s="895">
        <f t="shared" ca="1" si="3"/>
        <v>1.9257393958962601</v>
      </c>
      <c r="X19" s="881"/>
      <c r="Y19" s="881"/>
      <c r="Z19" s="881"/>
      <c r="AA19" s="881"/>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c r="BJ19" s="881"/>
      <c r="BK19" s="881"/>
      <c r="BL19" s="881"/>
      <c r="BM19" s="881"/>
      <c r="BN19" s="881"/>
      <c r="BO19" s="881"/>
      <c r="BP19" s="881"/>
      <c r="BQ19" s="881"/>
      <c r="BR19" s="881"/>
      <c r="BS19" s="881"/>
      <c r="BT19" s="881"/>
      <c r="BU19" s="881"/>
    </row>
    <row r="20" spans="1:73" x14ac:dyDescent="0.25">
      <c r="A20" s="881"/>
      <c r="B20" s="881"/>
      <c r="C20" s="881"/>
      <c r="D20" s="881"/>
      <c r="E20" s="881"/>
      <c r="F20" s="881"/>
      <c r="G20" s="881"/>
      <c r="H20" s="881"/>
      <c r="I20" s="881"/>
      <c r="J20" s="881"/>
      <c r="K20" s="881"/>
      <c r="L20" s="881"/>
      <c r="M20" s="881"/>
      <c r="N20" s="881"/>
      <c r="O20" s="881"/>
      <c r="P20" s="881"/>
      <c r="Q20" s="881"/>
      <c r="R20" s="881"/>
      <c r="S20" s="881"/>
      <c r="T20" s="881"/>
      <c r="U20" s="881"/>
      <c r="V20" s="1135">
        <f t="shared" si="4"/>
        <v>0.3</v>
      </c>
      <c r="W20" s="895">
        <f t="shared" ca="1" si="3"/>
        <v>1.9283560883259852</v>
      </c>
      <c r="X20" s="881"/>
      <c r="Y20" s="881"/>
      <c r="Z20" s="881"/>
      <c r="AA20" s="881"/>
      <c r="AB20" s="881"/>
      <c r="AC20" s="881"/>
      <c r="AD20" s="881"/>
      <c r="AE20" s="881"/>
      <c r="AF20" s="881"/>
      <c r="AG20" s="881"/>
      <c r="AH20" s="881"/>
      <c r="AI20" s="881"/>
      <c r="AJ20" s="881"/>
      <c r="AK20" s="881"/>
      <c r="AL20" s="881"/>
      <c r="AM20" s="881"/>
      <c r="AN20" s="881"/>
      <c r="AO20" s="881"/>
      <c r="AP20" s="881"/>
      <c r="AQ20" s="881"/>
      <c r="AR20" s="881"/>
      <c r="AS20" s="881"/>
      <c r="AT20" s="881"/>
      <c r="AU20" s="881"/>
      <c r="AV20" s="881"/>
      <c r="AW20" s="881"/>
      <c r="AX20" s="881"/>
      <c r="AY20" s="881"/>
      <c r="AZ20" s="881"/>
      <c r="BA20" s="881"/>
      <c r="BB20" s="881"/>
      <c r="BC20" s="881"/>
      <c r="BD20" s="881"/>
      <c r="BE20" s="881"/>
      <c r="BF20" s="881"/>
      <c r="BG20" s="881"/>
      <c r="BH20" s="881"/>
      <c r="BI20" s="881"/>
      <c r="BJ20" s="881"/>
      <c r="BK20" s="881"/>
      <c r="BL20" s="881"/>
      <c r="BM20" s="881"/>
      <c r="BN20" s="881"/>
      <c r="BO20" s="881"/>
      <c r="BP20" s="881"/>
      <c r="BQ20" s="881"/>
      <c r="BR20" s="881"/>
      <c r="BS20" s="881"/>
      <c r="BT20" s="881"/>
      <c r="BU20" s="881"/>
    </row>
    <row r="21" spans="1:73" x14ac:dyDescent="0.25">
      <c r="A21" s="881"/>
      <c r="B21" s="881"/>
      <c r="C21" s="881"/>
      <c r="D21" s="881"/>
      <c r="E21" s="881"/>
      <c r="F21" s="881"/>
      <c r="G21" s="881"/>
      <c r="H21" s="881"/>
      <c r="I21" s="881"/>
      <c r="J21" s="881"/>
      <c r="K21" s="881"/>
      <c r="L21" s="881"/>
      <c r="M21" s="881"/>
      <c r="N21" s="881"/>
      <c r="O21" s="881"/>
      <c r="P21" s="881"/>
      <c r="Q21" s="881"/>
      <c r="R21" s="881"/>
      <c r="S21" s="881"/>
      <c r="T21" s="881"/>
      <c r="U21" s="881"/>
      <c r="V21" s="1135">
        <f t="shared" si="4"/>
        <v>0.35</v>
      </c>
      <c r="W21" s="895">
        <f t="shared" ca="1" si="3"/>
        <v>1.9311034965539833</v>
      </c>
      <c r="X21" s="881"/>
      <c r="Y21" s="881"/>
      <c r="Z21" s="881"/>
      <c r="AA21" s="881"/>
      <c r="AB21" s="881"/>
      <c r="AC21" s="881"/>
      <c r="AD21" s="881"/>
      <c r="AE21" s="881"/>
      <c r="AF21" s="881"/>
      <c r="AG21" s="881"/>
      <c r="AH21" s="881"/>
      <c r="AI21" s="881"/>
      <c r="AJ21" s="881"/>
      <c r="AK21" s="881"/>
      <c r="AL21" s="881"/>
      <c r="AM21" s="881"/>
      <c r="AN21" s="881"/>
      <c r="AO21" s="881"/>
      <c r="AP21" s="881"/>
      <c r="AQ21" s="881"/>
      <c r="AR21" s="881"/>
      <c r="AS21" s="881"/>
      <c r="AT21" s="881"/>
      <c r="AU21" s="881"/>
      <c r="AV21" s="881"/>
      <c r="AW21" s="881"/>
      <c r="AX21" s="881"/>
      <c r="AY21" s="881"/>
      <c r="AZ21" s="881"/>
      <c r="BA21" s="881"/>
      <c r="BB21" s="881"/>
      <c r="BC21" s="881"/>
      <c r="BD21" s="881"/>
      <c r="BE21" s="881"/>
      <c r="BF21" s="881"/>
      <c r="BG21" s="881"/>
      <c r="BH21" s="881"/>
      <c r="BI21" s="881"/>
      <c r="BJ21" s="881"/>
      <c r="BK21" s="881"/>
      <c r="BL21" s="881"/>
      <c r="BM21" s="881"/>
      <c r="BN21" s="881"/>
      <c r="BO21" s="881"/>
      <c r="BP21" s="881"/>
      <c r="BQ21" s="881"/>
      <c r="BR21" s="881"/>
      <c r="BS21" s="881"/>
      <c r="BT21" s="881"/>
      <c r="BU21" s="881"/>
    </row>
    <row r="22" spans="1:73" x14ac:dyDescent="0.25">
      <c r="A22" s="881"/>
      <c r="B22" s="881"/>
      <c r="C22" s="881"/>
      <c r="D22" s="881"/>
      <c r="E22" s="881"/>
      <c r="F22" s="881"/>
      <c r="G22" s="881"/>
      <c r="H22" s="881"/>
      <c r="I22" s="881"/>
      <c r="J22" s="881"/>
      <c r="K22" s="881"/>
      <c r="L22" s="881"/>
      <c r="M22" s="881"/>
      <c r="N22" s="881"/>
      <c r="O22" s="881"/>
      <c r="P22" s="881"/>
      <c r="Q22" s="881"/>
      <c r="R22" s="881"/>
      <c r="S22" s="881"/>
      <c r="T22" s="881"/>
      <c r="U22" s="881"/>
      <c r="V22" s="1135">
        <f t="shared" si="4"/>
        <v>0.39999999999999997</v>
      </c>
      <c r="W22" s="895">
        <f t="shared" ca="1" si="3"/>
        <v>1.9339334516331983</v>
      </c>
      <c r="X22" s="881"/>
      <c r="Y22" s="881"/>
      <c r="Z22" s="881"/>
      <c r="AA22" s="881"/>
      <c r="AB22" s="881"/>
      <c r="AC22" s="881"/>
      <c r="AD22" s="881"/>
      <c r="AE22" s="881"/>
      <c r="AF22" s="881"/>
      <c r="AG22" s="881"/>
      <c r="AH22" s="881"/>
      <c r="AI22" s="881"/>
      <c r="AJ22" s="881"/>
      <c r="AK22" s="881"/>
      <c r="AL22" s="881"/>
      <c r="AM22" s="881"/>
      <c r="AN22" s="881"/>
      <c r="AO22" s="881"/>
      <c r="AP22" s="881"/>
      <c r="AQ22" s="881"/>
      <c r="AR22" s="881"/>
      <c r="AS22" s="881"/>
      <c r="AT22" s="881"/>
      <c r="AU22" s="881"/>
      <c r="AV22" s="881"/>
      <c r="AW22" s="881"/>
      <c r="AX22" s="881"/>
      <c r="AY22" s="881"/>
      <c r="AZ22" s="881"/>
      <c r="BA22" s="881"/>
      <c r="BB22" s="881"/>
      <c r="BC22" s="881"/>
      <c r="BD22" s="881"/>
      <c r="BE22" s="881"/>
      <c r="BF22" s="881"/>
      <c r="BG22" s="881"/>
      <c r="BH22" s="881"/>
      <c r="BI22" s="881"/>
      <c r="BJ22" s="881"/>
      <c r="BK22" s="881"/>
      <c r="BL22" s="881"/>
      <c r="BM22" s="881"/>
      <c r="BN22" s="881"/>
      <c r="BO22" s="881"/>
      <c r="BP22" s="881"/>
      <c r="BQ22" s="881"/>
      <c r="BR22" s="881"/>
      <c r="BS22" s="881"/>
      <c r="BT22" s="881"/>
      <c r="BU22" s="881"/>
    </row>
    <row r="23" spans="1:73" x14ac:dyDescent="0.25">
      <c r="A23" s="881"/>
      <c r="B23" s="881"/>
      <c r="C23" s="881"/>
      <c r="D23" s="881"/>
      <c r="E23" s="881"/>
      <c r="F23" s="881"/>
      <c r="G23" s="881"/>
      <c r="H23" s="881"/>
      <c r="I23" s="881"/>
      <c r="J23" s="881"/>
      <c r="K23" s="881"/>
      <c r="L23" s="881"/>
      <c r="M23" s="881"/>
      <c r="N23" s="881"/>
      <c r="O23" s="881"/>
      <c r="P23" s="881"/>
      <c r="Q23" s="881"/>
      <c r="R23" s="881"/>
      <c r="S23" s="881"/>
      <c r="T23" s="881"/>
      <c r="U23" s="881"/>
      <c r="V23" s="1135">
        <f t="shared" si="4"/>
        <v>0.44999999999999996</v>
      </c>
      <c r="W23" s="895">
        <f t="shared" ca="1" si="3"/>
        <v>1.9365469193978373</v>
      </c>
      <c r="X23" s="881"/>
      <c r="Y23" s="881"/>
      <c r="Z23" s="881"/>
      <c r="AA23" s="881"/>
      <c r="AB23" s="881"/>
      <c r="AC23" s="881"/>
      <c r="AD23" s="881"/>
      <c r="AE23" s="881"/>
      <c r="AF23" s="881"/>
      <c r="AG23" s="881"/>
      <c r="AH23" s="881"/>
      <c r="AI23" s="881"/>
      <c r="AJ23" s="881"/>
      <c r="AK23" s="881"/>
      <c r="AL23" s="881"/>
      <c r="AM23" s="881"/>
      <c r="AN23" s="881"/>
      <c r="AO23" s="881"/>
      <c r="AP23" s="881"/>
      <c r="AQ23" s="881"/>
      <c r="AR23" s="881"/>
      <c r="AS23" s="881"/>
      <c r="AT23" s="881"/>
      <c r="AU23" s="881"/>
      <c r="AV23" s="881"/>
      <c r="AW23" s="881"/>
      <c r="AX23" s="881"/>
      <c r="AY23" s="881"/>
      <c r="AZ23" s="881"/>
      <c r="BA23" s="881"/>
      <c r="BB23" s="881"/>
      <c r="BC23" s="881"/>
      <c r="BD23" s="881"/>
      <c r="BE23" s="881"/>
      <c r="BF23" s="881"/>
      <c r="BG23" s="881"/>
      <c r="BH23" s="881"/>
      <c r="BI23" s="881"/>
      <c r="BJ23" s="881"/>
      <c r="BK23" s="881"/>
      <c r="BL23" s="881"/>
      <c r="BM23" s="881"/>
      <c r="BN23" s="881"/>
      <c r="BO23" s="881"/>
      <c r="BP23" s="881"/>
      <c r="BQ23" s="881"/>
      <c r="BR23" s="881"/>
      <c r="BS23" s="881"/>
      <c r="BT23" s="881"/>
      <c r="BU23" s="881"/>
    </row>
    <row r="24" spans="1:73" x14ac:dyDescent="0.25">
      <c r="A24" s="881"/>
      <c r="B24" s="881"/>
      <c r="C24" s="881"/>
      <c r="D24" s="881"/>
      <c r="E24" s="881"/>
      <c r="F24" s="881"/>
      <c r="G24" s="881"/>
      <c r="H24" s="881"/>
      <c r="I24" s="881"/>
      <c r="J24" s="881"/>
      <c r="K24" s="881"/>
      <c r="L24" s="881"/>
      <c r="M24" s="881"/>
      <c r="N24" s="881"/>
      <c r="O24" s="881"/>
      <c r="P24" s="881"/>
      <c r="Q24" s="881"/>
      <c r="R24" s="881"/>
      <c r="S24" s="881"/>
      <c r="T24" s="881"/>
      <c r="U24" s="881"/>
      <c r="V24" s="1136">
        <f t="shared" si="4"/>
        <v>0.49999999999999994</v>
      </c>
      <c r="W24" s="1137">
        <f t="shared" ca="1" si="3"/>
        <v>1.9394033511865445</v>
      </c>
      <c r="X24" s="881"/>
      <c r="Y24" s="881"/>
      <c r="Z24" s="881"/>
      <c r="AA24" s="881"/>
      <c r="AB24" s="881"/>
      <c r="AC24" s="881"/>
      <c r="AD24" s="881"/>
      <c r="AE24" s="881"/>
      <c r="AF24" s="881"/>
      <c r="AG24" s="881"/>
      <c r="AH24" s="881"/>
      <c r="AI24" s="881"/>
      <c r="AJ24" s="881"/>
      <c r="AK24" s="881"/>
      <c r="AL24" s="881"/>
      <c r="AM24" s="881"/>
      <c r="AN24" s="881"/>
      <c r="AO24" s="881"/>
      <c r="AP24" s="881"/>
      <c r="AQ24" s="881"/>
      <c r="AR24" s="881"/>
      <c r="AS24" s="881"/>
      <c r="AT24" s="881"/>
      <c r="AU24" s="881"/>
      <c r="AV24" s="881"/>
      <c r="AW24" s="881"/>
      <c r="AX24" s="881"/>
      <c r="AY24" s="881"/>
      <c r="AZ24" s="881"/>
      <c r="BA24" s="881"/>
      <c r="BB24" s="881"/>
      <c r="BC24" s="881"/>
      <c r="BD24" s="881"/>
      <c r="BE24" s="881"/>
      <c r="BF24" s="881"/>
      <c r="BG24" s="881"/>
      <c r="BH24" s="881"/>
      <c r="BI24" s="881"/>
      <c r="BJ24" s="881"/>
      <c r="BK24" s="881"/>
      <c r="BL24" s="881"/>
      <c r="BM24" s="881"/>
      <c r="BN24" s="881"/>
      <c r="BO24" s="881"/>
      <c r="BP24" s="881"/>
      <c r="BQ24" s="881"/>
      <c r="BR24" s="881"/>
      <c r="BS24" s="881"/>
      <c r="BT24" s="881"/>
      <c r="BU24" s="881"/>
    </row>
    <row r="25" spans="1:73" x14ac:dyDescent="0.25">
      <c r="A25" s="881"/>
      <c r="B25" s="881"/>
      <c r="C25" s="881"/>
      <c r="D25" s="881"/>
      <c r="E25" s="881"/>
      <c r="F25" s="881"/>
      <c r="G25" s="881"/>
      <c r="H25" s="881"/>
      <c r="I25" s="881"/>
      <c r="J25" s="881"/>
      <c r="K25" s="881"/>
      <c r="L25" s="881"/>
      <c r="M25" s="881"/>
      <c r="N25" s="881"/>
      <c r="O25" s="881"/>
      <c r="P25" s="881"/>
      <c r="Q25" s="881"/>
      <c r="R25" s="881"/>
      <c r="S25" s="881"/>
      <c r="T25" s="881"/>
      <c r="U25" s="881"/>
      <c r="V25" s="1135">
        <f t="shared" si="4"/>
        <v>0.54999999999999993</v>
      </c>
      <c r="W25" s="895">
        <f t="shared" ca="1" si="3"/>
        <v>1.9416424059493647</v>
      </c>
      <c r="X25" s="881"/>
      <c r="Y25" s="881"/>
      <c r="Z25" s="881"/>
      <c r="AA25" s="881"/>
      <c r="AB25" s="881"/>
      <c r="AC25" s="881"/>
      <c r="AD25" s="881"/>
      <c r="AE25" s="881"/>
      <c r="AF25" s="881"/>
      <c r="AG25" s="881"/>
      <c r="AH25" s="881"/>
      <c r="AI25" s="881"/>
      <c r="AJ25" s="881"/>
      <c r="AK25" s="881"/>
      <c r="AL25" s="881"/>
      <c r="AM25" s="881"/>
      <c r="AN25" s="881"/>
      <c r="AO25" s="881"/>
      <c r="AP25" s="881"/>
      <c r="AQ25" s="881"/>
      <c r="AR25" s="881"/>
      <c r="AS25" s="881"/>
      <c r="AT25" s="881"/>
      <c r="AU25" s="881"/>
      <c r="AV25" s="881"/>
      <c r="AW25" s="881"/>
      <c r="AX25" s="881"/>
      <c r="AY25" s="881"/>
      <c r="AZ25" s="881"/>
      <c r="BA25" s="881"/>
      <c r="BB25" s="881"/>
      <c r="BC25" s="881"/>
      <c r="BD25" s="881"/>
      <c r="BE25" s="881"/>
      <c r="BF25" s="881"/>
      <c r="BG25" s="881"/>
      <c r="BH25" s="881"/>
      <c r="BI25" s="881"/>
      <c r="BJ25" s="881"/>
      <c r="BK25" s="881"/>
      <c r="BL25" s="881"/>
      <c r="BM25" s="881"/>
      <c r="BN25" s="881"/>
      <c r="BO25" s="881"/>
      <c r="BP25" s="881"/>
      <c r="BQ25" s="881"/>
      <c r="BR25" s="881"/>
      <c r="BS25" s="881"/>
      <c r="BT25" s="881"/>
      <c r="BU25" s="881"/>
    </row>
    <row r="26" spans="1:73" x14ac:dyDescent="0.25">
      <c r="A26" s="881"/>
      <c r="B26" s="881"/>
      <c r="C26" s="881"/>
      <c r="D26" s="881"/>
      <c r="E26" s="881"/>
      <c r="F26" s="881"/>
      <c r="G26" s="881"/>
      <c r="H26" s="881"/>
      <c r="I26" s="881"/>
      <c r="J26" s="881"/>
      <c r="K26" s="881"/>
      <c r="L26" s="881"/>
      <c r="M26" s="881"/>
      <c r="N26" s="881"/>
      <c r="O26" s="881"/>
      <c r="P26" s="881"/>
      <c r="Q26" s="881"/>
      <c r="R26" s="881"/>
      <c r="S26" s="881"/>
      <c r="T26" s="881"/>
      <c r="U26" s="881"/>
      <c r="V26" s="1135">
        <f t="shared" si="4"/>
        <v>0.6</v>
      </c>
      <c r="W26" s="895">
        <f t="shared" ca="1" si="3"/>
        <v>1.9443426354403153</v>
      </c>
      <c r="X26" s="881"/>
      <c r="Y26" s="881"/>
      <c r="Z26" s="881"/>
      <c r="AA26" s="881"/>
      <c r="AB26" s="881"/>
      <c r="AC26" s="881"/>
      <c r="AD26" s="881"/>
      <c r="AE26" s="881"/>
      <c r="AF26" s="881"/>
      <c r="AG26" s="881"/>
      <c r="AH26" s="881"/>
      <c r="AI26" s="881"/>
      <c r="AJ26" s="881"/>
      <c r="AK26" s="881"/>
      <c r="AL26" s="881"/>
      <c r="AM26" s="881"/>
      <c r="AN26" s="881"/>
      <c r="AO26" s="881"/>
      <c r="AP26" s="881"/>
      <c r="AQ26" s="881"/>
      <c r="AR26" s="881"/>
      <c r="AS26" s="881"/>
      <c r="AT26" s="881"/>
      <c r="AU26" s="881"/>
      <c r="AV26" s="881"/>
      <c r="AW26" s="881"/>
      <c r="AX26" s="881"/>
      <c r="AY26" s="881"/>
      <c r="AZ26" s="881"/>
      <c r="BA26" s="881"/>
      <c r="BB26" s="881"/>
      <c r="BC26" s="881"/>
      <c r="BD26" s="881"/>
      <c r="BE26" s="881"/>
      <c r="BF26" s="881"/>
      <c r="BG26" s="881"/>
      <c r="BH26" s="881"/>
      <c r="BI26" s="881"/>
      <c r="BJ26" s="881"/>
      <c r="BK26" s="881"/>
      <c r="BL26" s="881"/>
      <c r="BM26" s="881"/>
      <c r="BN26" s="881"/>
      <c r="BO26" s="881"/>
      <c r="BP26" s="881"/>
      <c r="BQ26" s="881"/>
      <c r="BR26" s="881"/>
      <c r="BS26" s="881"/>
      <c r="BT26" s="881"/>
      <c r="BU26" s="881"/>
    </row>
    <row r="27" spans="1:73" x14ac:dyDescent="0.25">
      <c r="A27" s="881"/>
      <c r="B27" s="881"/>
      <c r="C27" s="881"/>
      <c r="D27" s="881"/>
      <c r="E27" s="881"/>
      <c r="F27" s="881"/>
      <c r="G27" s="881"/>
      <c r="H27" s="881"/>
      <c r="I27" s="881"/>
      <c r="J27" s="881"/>
      <c r="K27" s="881"/>
      <c r="L27" s="881"/>
      <c r="M27" s="881"/>
      <c r="N27" s="881"/>
      <c r="O27" s="881"/>
      <c r="P27" s="881"/>
      <c r="Q27" s="881"/>
      <c r="R27" s="881"/>
      <c r="S27" s="881"/>
      <c r="T27" s="881"/>
      <c r="U27" s="881"/>
      <c r="V27" s="1135">
        <f t="shared" si="4"/>
        <v>0.65</v>
      </c>
      <c r="W27" s="895">
        <f t="shared" ca="1" si="3"/>
        <v>1.9469724560626651</v>
      </c>
      <c r="X27" s="881"/>
      <c r="Y27" s="881"/>
      <c r="Z27" s="881"/>
      <c r="AA27" s="881"/>
      <c r="AB27" s="881"/>
      <c r="AC27" s="881"/>
      <c r="AD27" s="881"/>
      <c r="AE27" s="881"/>
      <c r="AF27" s="881"/>
      <c r="AG27" s="881"/>
      <c r="AH27" s="881"/>
      <c r="AI27" s="881"/>
      <c r="AJ27" s="881"/>
      <c r="AK27" s="881"/>
      <c r="AL27" s="881"/>
      <c r="AM27" s="881"/>
      <c r="AN27" s="881"/>
      <c r="AO27" s="881"/>
      <c r="AP27" s="881"/>
      <c r="AQ27" s="881"/>
      <c r="AR27" s="881"/>
      <c r="AS27" s="881"/>
      <c r="AT27" s="881"/>
      <c r="AU27" s="881"/>
      <c r="AV27" s="881"/>
      <c r="AW27" s="881"/>
      <c r="AX27" s="881"/>
      <c r="AY27" s="881"/>
      <c r="AZ27" s="881"/>
      <c r="BA27" s="881"/>
      <c r="BB27" s="881"/>
      <c r="BC27" s="881"/>
      <c r="BD27" s="881"/>
      <c r="BE27" s="881"/>
      <c r="BF27" s="881"/>
      <c r="BG27" s="881"/>
      <c r="BH27" s="881"/>
      <c r="BI27" s="881"/>
      <c r="BJ27" s="881"/>
      <c r="BK27" s="881"/>
      <c r="BL27" s="881"/>
      <c r="BM27" s="881"/>
      <c r="BN27" s="881"/>
      <c r="BO27" s="881"/>
      <c r="BP27" s="881"/>
      <c r="BQ27" s="881"/>
      <c r="BR27" s="881"/>
      <c r="BS27" s="881"/>
      <c r="BT27" s="881"/>
      <c r="BU27" s="881"/>
    </row>
    <row r="28" spans="1:73" x14ac:dyDescent="0.25">
      <c r="A28" s="881"/>
      <c r="B28" s="881"/>
      <c r="C28" s="881"/>
      <c r="D28" s="881"/>
      <c r="E28" s="881"/>
      <c r="F28" s="881"/>
      <c r="G28" s="881"/>
      <c r="H28" s="881"/>
      <c r="I28" s="881"/>
      <c r="J28" s="881"/>
      <c r="K28" s="881"/>
      <c r="L28" s="881"/>
      <c r="M28" s="881"/>
      <c r="N28" s="881"/>
      <c r="O28" s="881"/>
      <c r="P28" s="881"/>
      <c r="Q28" s="881"/>
      <c r="R28" s="881"/>
      <c r="S28" s="881"/>
      <c r="T28" s="881"/>
      <c r="U28" s="881"/>
      <c r="V28" s="1135">
        <f t="shared" si="4"/>
        <v>0.70000000000000007</v>
      </c>
      <c r="W28" s="895">
        <f t="shared" ca="1" si="3"/>
        <v>1.9501103038929364</v>
      </c>
      <c r="X28" s="881"/>
      <c r="Y28" s="881"/>
      <c r="Z28" s="881"/>
      <c r="AA28" s="881"/>
      <c r="AB28" s="881"/>
      <c r="AC28" s="881"/>
      <c r="AD28" s="881"/>
      <c r="AE28" s="881"/>
      <c r="AF28" s="881"/>
      <c r="AG28" s="881"/>
      <c r="AH28" s="881"/>
      <c r="AI28" s="881"/>
      <c r="AJ28" s="881"/>
      <c r="AK28" s="881"/>
      <c r="AL28" s="881"/>
      <c r="AM28" s="881"/>
      <c r="AN28" s="881"/>
      <c r="AO28" s="881"/>
      <c r="AP28" s="881"/>
      <c r="AQ28" s="881"/>
      <c r="AR28" s="881"/>
      <c r="AS28" s="881"/>
      <c r="AT28" s="881"/>
      <c r="AU28" s="881"/>
      <c r="AV28" s="881"/>
      <c r="AW28" s="881"/>
      <c r="AX28" s="881"/>
      <c r="AY28" s="881"/>
      <c r="AZ28" s="881"/>
      <c r="BA28" s="881"/>
      <c r="BB28" s="881"/>
      <c r="BC28" s="881"/>
      <c r="BD28" s="881"/>
      <c r="BE28" s="881"/>
      <c r="BF28" s="881"/>
      <c r="BG28" s="881"/>
      <c r="BH28" s="881"/>
      <c r="BI28" s="881"/>
      <c r="BJ28" s="881"/>
      <c r="BK28" s="881"/>
      <c r="BL28" s="881"/>
      <c r="BM28" s="881"/>
      <c r="BN28" s="881"/>
      <c r="BO28" s="881"/>
      <c r="BP28" s="881"/>
      <c r="BQ28" s="881"/>
      <c r="BR28" s="881"/>
      <c r="BS28" s="881"/>
      <c r="BT28" s="881"/>
      <c r="BU28" s="881"/>
    </row>
    <row r="29" spans="1:73" x14ac:dyDescent="0.25">
      <c r="A29" s="881"/>
      <c r="B29" s="881"/>
      <c r="C29" s="881"/>
      <c r="D29" s="881"/>
      <c r="E29" s="881"/>
      <c r="F29" s="881"/>
      <c r="G29" s="881"/>
      <c r="H29" s="881"/>
      <c r="I29" s="881"/>
      <c r="J29" s="881"/>
      <c r="K29" s="881"/>
      <c r="L29" s="881"/>
      <c r="M29" s="881"/>
      <c r="N29" s="881"/>
      <c r="O29" s="881"/>
      <c r="P29" s="881"/>
      <c r="Q29" s="881"/>
      <c r="R29" s="881"/>
      <c r="S29" s="881"/>
      <c r="T29" s="881"/>
      <c r="U29" s="881"/>
      <c r="V29" s="1135">
        <f t="shared" si="4"/>
        <v>0.75000000000000011</v>
      </c>
      <c r="W29" s="895">
        <f t="shared" ca="1" si="3"/>
        <v>1.9535602819909788</v>
      </c>
      <c r="X29" s="881"/>
      <c r="Y29" s="881"/>
      <c r="Z29" s="881"/>
      <c r="AA29" s="881"/>
      <c r="AB29" s="881"/>
      <c r="AC29" s="881"/>
      <c r="AD29" s="881"/>
      <c r="AE29" s="881"/>
      <c r="AF29" s="881"/>
      <c r="AG29" s="881"/>
      <c r="AH29" s="881"/>
      <c r="AI29" s="881"/>
      <c r="AJ29" s="881"/>
      <c r="AK29" s="881"/>
      <c r="AL29" s="881"/>
      <c r="AM29" s="881"/>
      <c r="AN29" s="881"/>
      <c r="AO29" s="881"/>
      <c r="AP29" s="881"/>
      <c r="AQ29" s="881"/>
      <c r="AR29" s="881"/>
      <c r="AS29" s="881"/>
      <c r="AT29" s="881"/>
      <c r="AU29" s="881"/>
      <c r="AV29" s="881"/>
      <c r="AW29" s="881"/>
      <c r="AX29" s="881"/>
      <c r="AY29" s="881"/>
      <c r="AZ29" s="881"/>
      <c r="BA29" s="881"/>
      <c r="BB29" s="881"/>
      <c r="BC29" s="881"/>
      <c r="BD29" s="881"/>
      <c r="BE29" s="881"/>
      <c r="BF29" s="881"/>
      <c r="BG29" s="881"/>
      <c r="BH29" s="881"/>
      <c r="BI29" s="881"/>
      <c r="BJ29" s="881"/>
      <c r="BK29" s="881"/>
      <c r="BL29" s="881"/>
      <c r="BM29" s="881"/>
      <c r="BN29" s="881"/>
      <c r="BO29" s="881"/>
      <c r="BP29" s="881"/>
      <c r="BQ29" s="881"/>
      <c r="BR29" s="881"/>
      <c r="BS29" s="881"/>
      <c r="BT29" s="881"/>
      <c r="BU29" s="881"/>
    </row>
    <row r="30" spans="1:73" x14ac:dyDescent="0.25">
      <c r="A30" s="881"/>
      <c r="B30" s="881"/>
      <c r="C30" s="881"/>
      <c r="D30" s="881"/>
      <c r="E30" s="881"/>
      <c r="F30" s="882"/>
      <c r="G30" s="881"/>
      <c r="H30" s="881"/>
      <c r="I30" s="881"/>
      <c r="J30" s="881"/>
      <c r="K30" s="881"/>
      <c r="L30" s="881"/>
      <c r="M30" s="881"/>
      <c r="N30" s="881"/>
      <c r="O30" s="881"/>
      <c r="P30" s="881"/>
      <c r="Q30" s="881"/>
      <c r="R30" s="881"/>
      <c r="S30" s="881"/>
      <c r="T30" s="881"/>
      <c r="U30" s="881"/>
      <c r="V30" s="1135">
        <f t="shared" si="4"/>
        <v>0.80000000000000016</v>
      </c>
      <c r="W30" s="895">
        <f t="shared" ca="1" si="3"/>
        <v>1.9574030428781324</v>
      </c>
      <c r="X30" s="881"/>
      <c r="Y30" s="881"/>
      <c r="Z30" s="881"/>
      <c r="AA30" s="881"/>
      <c r="AB30" s="881"/>
      <c r="AC30" s="881"/>
      <c r="AD30" s="881"/>
      <c r="AE30" s="881"/>
      <c r="AF30" s="881"/>
      <c r="AG30" s="881"/>
      <c r="AH30" s="881"/>
      <c r="AI30" s="881"/>
      <c r="AJ30" s="881"/>
      <c r="AK30" s="881"/>
      <c r="AL30" s="881"/>
      <c r="AM30" s="881"/>
      <c r="AN30" s="881"/>
      <c r="AO30" s="881"/>
      <c r="AP30" s="881"/>
      <c r="AQ30" s="881"/>
      <c r="AR30" s="881"/>
      <c r="AS30" s="881"/>
      <c r="AT30" s="881"/>
      <c r="AU30" s="881"/>
      <c r="AV30" s="881"/>
      <c r="AW30" s="881"/>
      <c r="AX30" s="881"/>
      <c r="AY30" s="881"/>
      <c r="AZ30" s="881"/>
      <c r="BA30" s="881"/>
      <c r="BB30" s="881"/>
      <c r="BC30" s="881"/>
      <c r="BD30" s="881"/>
      <c r="BE30" s="881"/>
      <c r="BF30" s="881"/>
      <c r="BG30" s="881"/>
      <c r="BH30" s="881"/>
      <c r="BI30" s="881"/>
      <c r="BJ30" s="881"/>
      <c r="BK30" s="881"/>
      <c r="BL30" s="881"/>
      <c r="BM30" s="881"/>
      <c r="BN30" s="881"/>
      <c r="BO30" s="881"/>
      <c r="BP30" s="881"/>
      <c r="BQ30" s="881"/>
      <c r="BR30" s="881"/>
      <c r="BS30" s="881"/>
      <c r="BT30" s="881"/>
      <c r="BU30" s="881"/>
    </row>
    <row r="31" spans="1:73" x14ac:dyDescent="0.25">
      <c r="A31" s="881"/>
      <c r="B31" s="881"/>
      <c r="C31" s="881"/>
      <c r="D31" s="881"/>
      <c r="E31" s="881"/>
      <c r="F31" s="881"/>
      <c r="G31" s="881"/>
      <c r="H31" s="881"/>
      <c r="I31" s="881"/>
      <c r="J31" s="881"/>
      <c r="K31" s="881"/>
      <c r="L31" s="881"/>
      <c r="M31" s="881"/>
      <c r="N31" s="881"/>
      <c r="O31" s="881"/>
      <c r="P31" s="881"/>
      <c r="Q31" s="881"/>
      <c r="R31" s="881"/>
      <c r="S31" s="881"/>
      <c r="T31" s="881"/>
      <c r="U31" s="881"/>
      <c r="V31" s="1135">
        <f t="shared" si="4"/>
        <v>0.8500000000000002</v>
      </c>
      <c r="W31" s="895">
        <f t="shared" ca="1" si="3"/>
        <v>1.9620275003323429</v>
      </c>
      <c r="X31" s="881"/>
      <c r="Y31" s="881"/>
      <c r="Z31" s="881"/>
      <c r="AA31" s="881"/>
      <c r="AB31" s="881"/>
      <c r="AC31" s="881"/>
      <c r="AD31" s="881"/>
      <c r="AE31" s="881"/>
      <c r="AF31" s="881"/>
      <c r="AG31" s="881"/>
      <c r="AH31" s="881"/>
      <c r="AI31" s="881"/>
      <c r="AJ31" s="881"/>
      <c r="AK31" s="881"/>
      <c r="AL31" s="881"/>
      <c r="AM31" s="881"/>
      <c r="AN31" s="881"/>
      <c r="AO31" s="881"/>
      <c r="AP31" s="881"/>
      <c r="AQ31" s="881"/>
      <c r="AR31" s="881"/>
      <c r="AS31" s="881"/>
      <c r="AT31" s="881"/>
      <c r="AU31" s="881"/>
      <c r="AV31" s="881"/>
      <c r="AW31" s="881"/>
      <c r="AX31" s="881"/>
      <c r="AY31" s="881"/>
      <c r="AZ31" s="881"/>
      <c r="BA31" s="881"/>
      <c r="BB31" s="881"/>
      <c r="BC31" s="881"/>
      <c r="BD31" s="881"/>
      <c r="BE31" s="881"/>
      <c r="BF31" s="881"/>
      <c r="BG31" s="881"/>
      <c r="BH31" s="881"/>
      <c r="BI31" s="881"/>
      <c r="BJ31" s="881"/>
      <c r="BK31" s="881"/>
      <c r="BL31" s="881"/>
      <c r="BM31" s="881"/>
      <c r="BN31" s="881"/>
      <c r="BO31" s="881"/>
      <c r="BP31" s="881"/>
      <c r="BQ31" s="881"/>
      <c r="BR31" s="881"/>
      <c r="BS31" s="881"/>
      <c r="BT31" s="881"/>
      <c r="BU31" s="881"/>
    </row>
    <row r="32" spans="1:73" x14ac:dyDescent="0.25">
      <c r="A32" s="881"/>
      <c r="B32" s="881"/>
      <c r="C32" s="881"/>
      <c r="D32" s="881"/>
      <c r="E32" s="881"/>
      <c r="F32" s="881"/>
      <c r="G32" s="881"/>
      <c r="H32" s="881"/>
      <c r="I32" s="881"/>
      <c r="J32" s="881"/>
      <c r="K32" s="881"/>
      <c r="L32" s="881"/>
      <c r="M32" s="881"/>
      <c r="N32" s="881"/>
      <c r="O32" s="881"/>
      <c r="P32" s="881"/>
      <c r="Q32" s="881"/>
      <c r="R32" s="881"/>
      <c r="S32" s="881"/>
      <c r="T32" s="881"/>
      <c r="U32" s="881"/>
      <c r="V32" s="1135">
        <f t="shared" si="4"/>
        <v>0.90000000000000024</v>
      </c>
      <c r="W32" s="895">
        <f t="shared" ca="1" si="3"/>
        <v>1.9658633386147848</v>
      </c>
      <c r="X32" s="881"/>
      <c r="Y32" s="881"/>
      <c r="Z32" s="881"/>
      <c r="AA32" s="881"/>
      <c r="AB32" s="881"/>
      <c r="AC32" s="881"/>
      <c r="AD32" s="881"/>
      <c r="AE32" s="881"/>
      <c r="AF32" s="881"/>
      <c r="AG32" s="881"/>
      <c r="AH32" s="881"/>
      <c r="AI32" s="881"/>
      <c r="AJ32" s="881"/>
      <c r="AK32" s="881"/>
      <c r="AL32" s="881"/>
      <c r="AM32" s="881"/>
      <c r="AN32" s="881"/>
      <c r="AO32" s="881"/>
      <c r="AP32" s="881"/>
      <c r="AQ32" s="881"/>
      <c r="AR32" s="881"/>
      <c r="AS32" s="881"/>
      <c r="AT32" s="881"/>
      <c r="AU32" s="881"/>
      <c r="AV32" s="881"/>
      <c r="AW32" s="881"/>
      <c r="AX32" s="881"/>
      <c r="AY32" s="881"/>
      <c r="AZ32" s="881"/>
      <c r="BA32" s="881"/>
      <c r="BB32" s="881"/>
      <c r="BC32" s="881"/>
      <c r="BD32" s="881"/>
      <c r="BE32" s="881"/>
      <c r="BF32" s="881"/>
      <c r="BG32" s="881"/>
      <c r="BH32" s="881"/>
      <c r="BI32" s="881"/>
      <c r="BJ32" s="881"/>
      <c r="BK32" s="881"/>
      <c r="BL32" s="881"/>
      <c r="BM32" s="881"/>
      <c r="BN32" s="881"/>
      <c r="BO32" s="881"/>
      <c r="BP32" s="881"/>
      <c r="BQ32" s="881"/>
      <c r="BR32" s="881"/>
      <c r="BS32" s="881"/>
      <c r="BT32" s="881"/>
      <c r="BU32" s="881"/>
    </row>
    <row r="33" spans="1:73" x14ac:dyDescent="0.25">
      <c r="A33" s="881"/>
      <c r="B33" s="881"/>
      <c r="C33" s="881"/>
      <c r="D33" s="881"/>
      <c r="E33" s="881"/>
      <c r="F33" s="881"/>
      <c r="G33" s="881"/>
      <c r="H33" s="881"/>
      <c r="I33" s="881"/>
      <c r="J33" s="881"/>
      <c r="K33" s="881"/>
      <c r="L33" s="881"/>
      <c r="M33" s="881"/>
      <c r="N33" s="881"/>
      <c r="O33" s="881"/>
      <c r="P33" s="881"/>
      <c r="Q33" s="881"/>
      <c r="R33" s="881"/>
      <c r="S33" s="881"/>
      <c r="T33" s="881"/>
      <c r="U33" s="881"/>
      <c r="V33" s="1136">
        <f t="shared" si="4"/>
        <v>0.95000000000000029</v>
      </c>
      <c r="W33" s="1137">
        <f t="shared" ca="1" si="3"/>
        <v>1.9731938599556085</v>
      </c>
      <c r="X33" s="881"/>
      <c r="Y33" s="881"/>
      <c r="Z33" s="881"/>
      <c r="AA33" s="881"/>
      <c r="AB33" s="881"/>
      <c r="AC33" s="881"/>
      <c r="AD33" s="881"/>
      <c r="AE33" s="881"/>
      <c r="AF33" s="881"/>
      <c r="AG33" s="881"/>
      <c r="AH33" s="881"/>
      <c r="AI33" s="881"/>
      <c r="AJ33" s="881"/>
      <c r="AK33" s="881"/>
      <c r="AL33" s="881"/>
      <c r="AM33" s="881"/>
      <c r="AN33" s="881"/>
      <c r="AO33" s="881"/>
      <c r="AP33" s="881"/>
      <c r="AQ33" s="881"/>
      <c r="AR33" s="881"/>
      <c r="AS33" s="881"/>
      <c r="AT33" s="881"/>
      <c r="AU33" s="881"/>
      <c r="AV33" s="881"/>
      <c r="AW33" s="881"/>
      <c r="AX33" s="881"/>
      <c r="AY33" s="881"/>
      <c r="AZ33" s="881"/>
      <c r="BA33" s="881"/>
      <c r="BB33" s="881"/>
      <c r="BC33" s="881"/>
      <c r="BD33" s="881"/>
      <c r="BE33" s="881"/>
      <c r="BF33" s="881"/>
      <c r="BG33" s="881"/>
      <c r="BH33" s="881"/>
      <c r="BI33" s="881"/>
      <c r="BJ33" s="881"/>
      <c r="BK33" s="881"/>
      <c r="BL33" s="881"/>
      <c r="BM33" s="881"/>
      <c r="BN33" s="881"/>
      <c r="BO33" s="881"/>
      <c r="BP33" s="881"/>
      <c r="BQ33" s="881"/>
      <c r="BR33" s="881"/>
      <c r="BS33" s="881"/>
      <c r="BT33" s="881"/>
      <c r="BU33" s="881"/>
    </row>
    <row r="34" spans="1:73" x14ac:dyDescent="0.25">
      <c r="A34" s="881"/>
      <c r="B34" s="881"/>
      <c r="C34" s="881"/>
      <c r="D34" s="881"/>
      <c r="E34" s="881"/>
      <c r="F34" s="881"/>
      <c r="G34" s="881"/>
      <c r="H34" s="881"/>
      <c r="I34" s="881"/>
      <c r="J34" s="881"/>
      <c r="K34" s="881"/>
      <c r="L34" s="881"/>
      <c r="M34" s="881"/>
      <c r="N34" s="881"/>
      <c r="O34" s="881"/>
      <c r="P34" s="881"/>
      <c r="Q34" s="881"/>
      <c r="R34" s="881"/>
      <c r="S34" s="881"/>
      <c r="T34" s="881"/>
      <c r="U34" s="881"/>
      <c r="V34" s="1135">
        <v>1</v>
      </c>
      <c r="W34" s="895">
        <f ca="1">+MAX(OFFSET($B$251:$B$2250,0,$C$194))*$C$198</f>
        <v>2.017528905300543</v>
      </c>
      <c r="X34" s="881"/>
      <c r="Y34" s="881"/>
      <c r="Z34" s="881"/>
      <c r="AA34" s="881"/>
      <c r="AB34" s="881"/>
      <c r="AC34" s="881"/>
      <c r="AD34" s="881"/>
      <c r="AE34" s="881"/>
      <c r="AF34" s="881"/>
      <c r="AG34" s="881"/>
      <c r="AH34" s="881"/>
      <c r="AI34" s="881"/>
      <c r="AJ34" s="881"/>
      <c r="AK34" s="881"/>
      <c r="AL34" s="881"/>
      <c r="AM34" s="881"/>
      <c r="AN34" s="881"/>
      <c r="AO34" s="881"/>
      <c r="AP34" s="881"/>
      <c r="AQ34" s="881"/>
      <c r="AR34" s="881"/>
      <c r="AS34" s="881"/>
      <c r="AT34" s="881"/>
      <c r="AU34" s="881"/>
      <c r="AV34" s="881"/>
      <c r="AW34" s="881"/>
      <c r="AX34" s="881"/>
      <c r="AY34" s="881"/>
      <c r="AZ34" s="881"/>
      <c r="BA34" s="881"/>
      <c r="BB34" s="881"/>
      <c r="BC34" s="881"/>
      <c r="BD34" s="881"/>
      <c r="BE34" s="881"/>
      <c r="BF34" s="881"/>
      <c r="BG34" s="881"/>
      <c r="BH34" s="881"/>
      <c r="BI34" s="881"/>
      <c r="BJ34" s="881"/>
      <c r="BK34" s="881"/>
      <c r="BL34" s="881"/>
      <c r="BM34" s="881"/>
      <c r="BN34" s="881"/>
      <c r="BO34" s="881"/>
      <c r="BP34" s="881"/>
      <c r="BQ34" s="881"/>
      <c r="BR34" s="881"/>
      <c r="BS34" s="881"/>
      <c r="BT34" s="881"/>
      <c r="BU34" s="881"/>
    </row>
    <row r="35" spans="1:73" ht="13.8" x14ac:dyDescent="0.3">
      <c r="A35" s="881"/>
      <c r="B35" s="881"/>
      <c r="C35" s="881"/>
      <c r="D35" s="881"/>
      <c r="E35" s="881"/>
      <c r="F35" s="881"/>
      <c r="G35" s="881"/>
      <c r="H35" s="881"/>
      <c r="I35" s="881"/>
      <c r="J35" s="881"/>
      <c r="K35" s="881"/>
      <c r="L35" s="881"/>
      <c r="M35" s="1011"/>
      <c r="N35" s="881"/>
      <c r="O35" s="881"/>
      <c r="P35" s="881"/>
      <c r="Q35" s="881"/>
      <c r="R35" s="881"/>
      <c r="S35" s="881"/>
      <c r="T35" s="881"/>
      <c r="U35" s="881"/>
      <c r="V35" s="881"/>
      <c r="W35" s="881"/>
      <c r="X35" s="881"/>
      <c r="Y35" s="881"/>
      <c r="Z35" s="881"/>
      <c r="AA35" s="881"/>
      <c r="AB35" s="881"/>
      <c r="AC35" s="881"/>
      <c r="AD35" s="881"/>
      <c r="AE35" s="881"/>
      <c r="AF35" s="881"/>
      <c r="AG35" s="881"/>
      <c r="AH35" s="881"/>
      <c r="AI35" s="881"/>
      <c r="AJ35" s="881"/>
      <c r="AK35" s="881"/>
      <c r="AL35" s="881"/>
      <c r="AM35" s="881"/>
      <c r="AN35" s="881"/>
      <c r="AO35" s="881"/>
      <c r="AP35" s="881"/>
      <c r="AQ35" s="881"/>
      <c r="AR35" s="881"/>
      <c r="AS35" s="881"/>
      <c r="AT35" s="881"/>
      <c r="AU35" s="881"/>
      <c r="AV35" s="881"/>
      <c r="AW35" s="881"/>
      <c r="AX35" s="881"/>
      <c r="AY35" s="881"/>
      <c r="AZ35" s="881"/>
      <c r="BA35" s="881"/>
      <c r="BB35" s="881"/>
      <c r="BC35" s="881"/>
      <c r="BD35" s="881"/>
      <c r="BE35" s="881"/>
      <c r="BF35" s="881"/>
      <c r="BG35" s="881"/>
      <c r="BH35" s="881"/>
      <c r="BI35" s="881"/>
      <c r="BJ35" s="881"/>
      <c r="BK35" s="881"/>
      <c r="BL35" s="881"/>
      <c r="BM35" s="881"/>
      <c r="BN35" s="881"/>
      <c r="BO35" s="881"/>
      <c r="BP35" s="881"/>
      <c r="BQ35" s="881"/>
      <c r="BR35" s="881"/>
      <c r="BS35" s="881"/>
      <c r="BT35" s="881"/>
      <c r="BU35" s="881"/>
    </row>
    <row r="36" spans="1:73" x14ac:dyDescent="0.25">
      <c r="A36" s="881"/>
      <c r="B36" s="881"/>
      <c r="C36" s="881"/>
      <c r="D36" s="881"/>
      <c r="E36" s="881"/>
      <c r="F36" s="881"/>
      <c r="G36" s="881"/>
      <c r="H36" s="881"/>
      <c r="I36" s="881"/>
      <c r="J36" s="881"/>
      <c r="K36" s="881"/>
      <c r="L36" s="881"/>
      <c r="M36" s="881"/>
      <c r="N36" s="881"/>
      <c r="O36" s="881"/>
      <c r="P36" s="881"/>
      <c r="Q36" s="881"/>
      <c r="R36" s="881"/>
      <c r="S36" s="881"/>
      <c r="T36" s="881"/>
      <c r="U36" s="881"/>
      <c r="V36" s="881"/>
      <c r="W36" s="881"/>
      <c r="X36" s="881"/>
      <c r="Y36" s="881"/>
      <c r="Z36" s="881"/>
      <c r="AA36" s="881"/>
      <c r="AB36" s="881"/>
      <c r="AC36" s="881"/>
      <c r="AD36" s="881"/>
      <c r="AE36" s="881"/>
      <c r="AF36" s="881"/>
      <c r="AG36" s="881"/>
      <c r="AH36" s="881"/>
      <c r="AI36" s="881"/>
      <c r="AJ36" s="881"/>
      <c r="AK36" s="881"/>
      <c r="AL36" s="881"/>
      <c r="AM36" s="881"/>
      <c r="AN36" s="881"/>
      <c r="AO36" s="881"/>
      <c r="AP36" s="881"/>
      <c r="AQ36" s="881"/>
      <c r="AR36" s="881"/>
      <c r="AS36" s="881"/>
      <c r="AT36" s="881"/>
      <c r="AU36" s="881"/>
      <c r="AV36" s="881"/>
      <c r="AW36" s="881"/>
      <c r="AX36" s="881"/>
      <c r="AY36" s="881"/>
      <c r="AZ36" s="881"/>
      <c r="BA36" s="881"/>
      <c r="BB36" s="881"/>
      <c r="BC36" s="881"/>
      <c r="BD36" s="881"/>
      <c r="BE36" s="881"/>
      <c r="BF36" s="881"/>
      <c r="BG36" s="881"/>
      <c r="BH36" s="881"/>
      <c r="BI36" s="881"/>
      <c r="BJ36" s="881"/>
      <c r="BK36" s="881"/>
      <c r="BL36" s="881"/>
      <c r="BM36" s="881"/>
      <c r="BN36" s="881"/>
      <c r="BO36" s="881"/>
      <c r="BP36" s="881"/>
      <c r="BQ36" s="881"/>
      <c r="BR36" s="881"/>
      <c r="BS36" s="881"/>
      <c r="BT36" s="881"/>
      <c r="BU36" s="881"/>
    </row>
    <row r="37" spans="1:73" x14ac:dyDescent="0.25">
      <c r="A37" s="881"/>
      <c r="B37" s="881"/>
      <c r="C37" s="881"/>
      <c r="D37" s="881"/>
      <c r="E37" s="881"/>
      <c r="F37" s="881"/>
      <c r="G37" s="881"/>
      <c r="H37" s="881"/>
      <c r="I37" s="881"/>
      <c r="J37" s="881"/>
      <c r="K37" s="881"/>
      <c r="L37" s="881"/>
      <c r="M37" s="881"/>
      <c r="N37" s="881"/>
      <c r="O37" s="881"/>
      <c r="P37" s="881"/>
      <c r="Q37" s="881"/>
      <c r="R37" s="881"/>
      <c r="S37" s="881"/>
      <c r="T37" s="881"/>
      <c r="U37" s="881"/>
      <c r="V37" s="881"/>
      <c r="W37" s="881"/>
      <c r="X37" s="881"/>
      <c r="Y37" s="881"/>
      <c r="Z37" s="881"/>
      <c r="AA37" s="881"/>
      <c r="AB37" s="881"/>
      <c r="AC37" s="881"/>
      <c r="AD37" s="881"/>
      <c r="AE37" s="881"/>
      <c r="AF37" s="881"/>
      <c r="AG37" s="881"/>
      <c r="AH37" s="881"/>
      <c r="AI37" s="881"/>
      <c r="AJ37" s="881"/>
      <c r="AK37" s="881"/>
      <c r="AL37" s="881"/>
      <c r="AM37" s="881"/>
      <c r="AN37" s="881"/>
      <c r="AO37" s="881"/>
      <c r="AP37" s="881"/>
      <c r="AQ37" s="881"/>
      <c r="AR37" s="881"/>
      <c r="AS37" s="881"/>
      <c r="AT37" s="881"/>
      <c r="AU37" s="881"/>
      <c r="AV37" s="881"/>
      <c r="AW37" s="881"/>
      <c r="AX37" s="881"/>
      <c r="AY37" s="881"/>
      <c r="AZ37" s="881"/>
      <c r="BA37" s="881"/>
      <c r="BB37" s="881"/>
      <c r="BC37" s="881"/>
      <c r="BD37" s="881"/>
      <c r="BE37" s="881"/>
      <c r="BF37" s="881"/>
      <c r="BG37" s="881"/>
      <c r="BH37" s="881"/>
      <c r="BI37" s="881"/>
      <c r="BJ37" s="881"/>
      <c r="BK37" s="881"/>
      <c r="BL37" s="881"/>
      <c r="BM37" s="881"/>
      <c r="BN37" s="881"/>
      <c r="BO37" s="881"/>
      <c r="BP37" s="881"/>
      <c r="BQ37" s="881"/>
      <c r="BR37" s="881"/>
      <c r="BS37" s="881"/>
      <c r="BT37" s="881"/>
      <c r="BU37" s="881"/>
    </row>
    <row r="38" spans="1:73" x14ac:dyDescent="0.25">
      <c r="A38" s="881"/>
      <c r="B38" s="881"/>
      <c r="C38" s="881"/>
      <c r="D38" s="881"/>
      <c r="E38" s="881"/>
      <c r="F38" s="881"/>
      <c r="G38" s="881"/>
      <c r="H38" s="881"/>
      <c r="I38" s="881"/>
      <c r="J38" s="881"/>
      <c r="K38" s="881"/>
      <c r="L38" s="881"/>
      <c r="M38" s="881"/>
      <c r="N38" s="881"/>
      <c r="O38" s="881"/>
      <c r="P38" s="881"/>
      <c r="Q38" s="881"/>
      <c r="R38" s="881"/>
      <c r="S38" s="881"/>
      <c r="T38" s="881"/>
      <c r="U38" s="881"/>
      <c r="V38" s="881"/>
      <c r="W38" s="881"/>
      <c r="X38" s="881"/>
      <c r="Y38" s="881"/>
      <c r="Z38" s="881"/>
      <c r="AA38" s="881"/>
      <c r="AB38" s="881"/>
      <c r="AC38" s="881"/>
      <c r="AD38" s="881"/>
      <c r="AE38" s="881"/>
      <c r="AF38" s="881"/>
      <c r="AG38" s="881"/>
      <c r="AH38" s="881"/>
      <c r="AI38" s="881"/>
      <c r="AJ38" s="881"/>
      <c r="AK38" s="881"/>
      <c r="AL38" s="881"/>
      <c r="AM38" s="881"/>
      <c r="AN38" s="881"/>
      <c r="AO38" s="881"/>
      <c r="AP38" s="881"/>
      <c r="AQ38" s="881"/>
      <c r="AR38" s="881"/>
      <c r="AS38" s="881"/>
      <c r="AT38" s="881"/>
      <c r="AU38" s="881"/>
      <c r="AV38" s="881"/>
      <c r="AW38" s="881"/>
      <c r="AX38" s="881"/>
      <c r="AY38" s="881"/>
      <c r="AZ38" s="881"/>
      <c r="BA38" s="881"/>
      <c r="BB38" s="881"/>
      <c r="BC38" s="881"/>
      <c r="BD38" s="881"/>
      <c r="BE38" s="881"/>
      <c r="BF38" s="881"/>
      <c r="BG38" s="881"/>
      <c r="BH38" s="881"/>
      <c r="BI38" s="881"/>
      <c r="BJ38" s="881"/>
      <c r="BK38" s="881"/>
      <c r="BL38" s="881"/>
      <c r="BM38" s="881"/>
      <c r="BN38" s="881"/>
      <c r="BO38" s="881"/>
      <c r="BP38" s="881"/>
      <c r="BQ38" s="881"/>
      <c r="BR38" s="881"/>
      <c r="BS38" s="881"/>
      <c r="BT38" s="881"/>
      <c r="BU38" s="881"/>
    </row>
    <row r="39" spans="1:73" x14ac:dyDescent="0.25">
      <c r="A39" s="881"/>
      <c r="B39" s="881"/>
      <c r="C39" s="881"/>
      <c r="D39" s="881"/>
      <c r="E39" s="881"/>
      <c r="F39" s="881"/>
      <c r="G39" s="881"/>
      <c r="H39" s="881"/>
      <c r="I39" s="881"/>
      <c r="J39" s="881"/>
      <c r="K39" s="881"/>
      <c r="L39" s="881"/>
      <c r="M39" s="881"/>
      <c r="N39" s="881"/>
      <c r="O39" s="881"/>
      <c r="P39" s="881"/>
      <c r="Q39" s="881"/>
      <c r="R39" s="881"/>
      <c r="S39" s="881"/>
      <c r="T39" s="881"/>
      <c r="U39" s="881"/>
      <c r="V39" s="881"/>
      <c r="W39" s="881"/>
      <c r="X39" s="881"/>
      <c r="Y39" s="881"/>
      <c r="Z39" s="881"/>
      <c r="AA39" s="881"/>
      <c r="AB39" s="881"/>
      <c r="AC39" s="881"/>
      <c r="AD39" s="881"/>
      <c r="AE39" s="881"/>
      <c r="AF39" s="881"/>
      <c r="AG39" s="881"/>
      <c r="AH39" s="881"/>
      <c r="AI39" s="881"/>
      <c r="AJ39" s="881"/>
      <c r="AK39" s="881"/>
      <c r="AL39" s="881"/>
      <c r="AM39" s="881"/>
      <c r="AN39" s="881"/>
      <c r="AO39" s="881"/>
      <c r="AP39" s="881"/>
      <c r="AQ39" s="881"/>
      <c r="AR39" s="881"/>
      <c r="AS39" s="881"/>
      <c r="AT39" s="881"/>
      <c r="AU39" s="881"/>
      <c r="AV39" s="881"/>
      <c r="AW39" s="881"/>
      <c r="AX39" s="881"/>
      <c r="AY39" s="881"/>
      <c r="AZ39" s="881"/>
      <c r="BA39" s="881"/>
      <c r="BB39" s="881"/>
      <c r="BC39" s="881"/>
      <c r="BD39" s="881"/>
      <c r="BE39" s="881"/>
      <c r="BF39" s="881"/>
      <c r="BG39" s="881"/>
      <c r="BH39" s="881"/>
      <c r="BI39" s="881"/>
      <c r="BJ39" s="881"/>
      <c r="BK39" s="881"/>
      <c r="BL39" s="881"/>
      <c r="BM39" s="881"/>
      <c r="BN39" s="881"/>
      <c r="BO39" s="881"/>
      <c r="BP39" s="881"/>
      <c r="BQ39" s="881"/>
      <c r="BR39" s="881"/>
      <c r="BS39" s="881"/>
      <c r="BT39" s="881"/>
      <c r="BU39" s="881"/>
    </row>
    <row r="40" spans="1:73" x14ac:dyDescent="0.25">
      <c r="A40" s="881"/>
      <c r="B40" s="881"/>
      <c r="C40" s="881"/>
      <c r="D40" s="881"/>
      <c r="E40" s="881"/>
      <c r="F40" s="881"/>
      <c r="G40" s="881"/>
      <c r="H40" s="881"/>
      <c r="I40" s="881"/>
      <c r="J40" s="881"/>
      <c r="K40" s="881"/>
      <c r="L40" s="881"/>
      <c r="M40" s="881"/>
      <c r="N40" s="881"/>
      <c r="O40" s="881"/>
      <c r="P40" s="881"/>
      <c r="Q40" s="881"/>
      <c r="R40" s="881"/>
      <c r="S40" s="881"/>
      <c r="T40" s="881"/>
      <c r="U40" s="881"/>
      <c r="V40" s="881"/>
      <c r="W40" s="881"/>
      <c r="X40" s="881"/>
      <c r="Y40" s="881"/>
      <c r="Z40" s="881"/>
      <c r="AA40" s="881"/>
      <c r="AB40" s="881"/>
      <c r="AC40" s="881"/>
      <c r="AD40" s="881"/>
      <c r="AE40" s="881"/>
      <c r="AF40" s="881"/>
      <c r="AG40" s="881"/>
      <c r="AH40" s="881"/>
      <c r="AI40" s="881"/>
      <c r="AJ40" s="881"/>
      <c r="AK40" s="881"/>
      <c r="AL40" s="881"/>
      <c r="AM40" s="881"/>
      <c r="AN40" s="881"/>
      <c r="AO40" s="881"/>
      <c r="AP40" s="881"/>
      <c r="AQ40" s="881"/>
      <c r="AR40" s="881"/>
      <c r="AS40" s="881"/>
      <c r="AT40" s="881"/>
      <c r="AU40" s="881"/>
      <c r="AV40" s="881"/>
      <c r="AW40" s="881"/>
      <c r="AX40" s="881"/>
      <c r="AY40" s="881"/>
      <c r="AZ40" s="881"/>
      <c r="BA40" s="881"/>
      <c r="BB40" s="881"/>
      <c r="BC40" s="881"/>
      <c r="BD40" s="881"/>
      <c r="BE40" s="881"/>
      <c r="BF40" s="881"/>
      <c r="BG40" s="881"/>
      <c r="BH40" s="881"/>
      <c r="BI40" s="881"/>
      <c r="BJ40" s="881"/>
      <c r="BK40" s="881"/>
      <c r="BL40" s="881"/>
      <c r="BM40" s="881"/>
      <c r="BN40" s="881"/>
      <c r="BO40" s="881"/>
      <c r="BP40" s="881"/>
      <c r="BQ40" s="881"/>
      <c r="BR40" s="881"/>
      <c r="BS40" s="881"/>
      <c r="BT40" s="881"/>
      <c r="BU40" s="881"/>
    </row>
    <row r="41" spans="1:73" x14ac:dyDescent="0.25">
      <c r="A41" s="881"/>
      <c r="B41" s="881"/>
      <c r="C41" s="881"/>
      <c r="D41" s="881"/>
      <c r="E41" s="881"/>
      <c r="F41" s="881"/>
      <c r="G41" s="881"/>
      <c r="H41" s="881"/>
      <c r="I41" s="881"/>
      <c r="J41" s="881"/>
      <c r="K41" s="881"/>
      <c r="L41" s="881"/>
      <c r="M41" s="881"/>
      <c r="N41" s="881"/>
      <c r="O41" s="881"/>
      <c r="P41" s="881"/>
      <c r="Q41" s="881"/>
      <c r="R41" s="881"/>
      <c r="S41" s="881"/>
      <c r="T41" s="881"/>
      <c r="U41" s="881"/>
      <c r="V41" s="881"/>
      <c r="W41" s="881"/>
      <c r="X41" s="881"/>
      <c r="Y41" s="881"/>
      <c r="Z41" s="881"/>
      <c r="AA41" s="881"/>
      <c r="AB41" s="881"/>
      <c r="AC41" s="881"/>
      <c r="AD41" s="881"/>
      <c r="AE41" s="881"/>
      <c r="AF41" s="881"/>
      <c r="AG41" s="881"/>
      <c r="AH41" s="881"/>
      <c r="AI41" s="881"/>
      <c r="AJ41" s="881"/>
      <c r="AK41" s="881"/>
      <c r="AL41" s="881"/>
      <c r="AM41" s="881"/>
      <c r="AN41" s="881"/>
      <c r="AO41" s="881"/>
      <c r="AP41" s="881"/>
      <c r="AQ41" s="881"/>
      <c r="AR41" s="881"/>
      <c r="AS41" s="881"/>
      <c r="AT41" s="881"/>
      <c r="AU41" s="881"/>
      <c r="AV41" s="881"/>
      <c r="AW41" s="881"/>
      <c r="AX41" s="881"/>
      <c r="AY41" s="881"/>
      <c r="AZ41" s="881"/>
      <c r="BA41" s="881"/>
      <c r="BB41" s="881"/>
      <c r="BC41" s="881"/>
      <c r="BD41" s="881"/>
      <c r="BE41" s="881"/>
      <c r="BF41" s="881"/>
      <c r="BG41" s="881"/>
      <c r="BH41" s="881"/>
      <c r="BI41" s="881"/>
      <c r="BJ41" s="881"/>
      <c r="BK41" s="881"/>
      <c r="BL41" s="881"/>
      <c r="BM41" s="881"/>
      <c r="BN41" s="881"/>
      <c r="BO41" s="881"/>
      <c r="BP41" s="881"/>
      <c r="BQ41" s="881"/>
      <c r="BR41" s="881"/>
      <c r="BS41" s="881"/>
      <c r="BT41" s="881"/>
      <c r="BU41" s="881"/>
    </row>
    <row r="42" spans="1:73" x14ac:dyDescent="0.25">
      <c r="A42" s="881"/>
      <c r="B42" s="881"/>
      <c r="C42" s="881"/>
      <c r="D42" s="881"/>
      <c r="E42" s="881"/>
      <c r="F42" s="881"/>
      <c r="G42" s="881"/>
      <c r="H42" s="881"/>
      <c r="I42" s="881"/>
      <c r="J42" s="881"/>
      <c r="K42" s="881"/>
      <c r="L42" s="881"/>
      <c r="M42" s="881"/>
      <c r="N42" s="881"/>
      <c r="O42" s="881"/>
      <c r="P42" s="881"/>
      <c r="Q42" s="881"/>
      <c r="R42" s="881"/>
      <c r="S42" s="881"/>
      <c r="T42" s="881"/>
      <c r="U42" s="881"/>
      <c r="V42" s="881"/>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c r="BJ42" s="881"/>
      <c r="BK42" s="881"/>
      <c r="BL42" s="881"/>
      <c r="BM42" s="881"/>
      <c r="BN42" s="881"/>
      <c r="BO42" s="881"/>
      <c r="BP42" s="881"/>
      <c r="BQ42" s="881"/>
      <c r="BR42" s="881"/>
      <c r="BS42" s="881"/>
      <c r="BT42" s="881"/>
      <c r="BU42" s="881"/>
    </row>
    <row r="43" spans="1:73" x14ac:dyDescent="0.25">
      <c r="A43" s="881"/>
      <c r="B43" s="881"/>
      <c r="C43" s="881"/>
      <c r="D43" s="881"/>
      <c r="E43" s="881"/>
      <c r="F43" s="881"/>
      <c r="G43" s="881"/>
      <c r="H43" s="881"/>
      <c r="I43" s="881"/>
      <c r="J43" s="881"/>
      <c r="K43" s="881"/>
      <c r="L43" s="881"/>
      <c r="M43" s="881"/>
      <c r="N43" s="881"/>
      <c r="O43" s="881"/>
      <c r="P43" s="881"/>
      <c r="Q43" s="881"/>
      <c r="R43" s="881"/>
      <c r="S43" s="881"/>
      <c r="T43" s="881"/>
      <c r="U43" s="881"/>
      <c r="V43" s="881"/>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c r="BJ43" s="881"/>
      <c r="BK43" s="881"/>
      <c r="BL43" s="881"/>
      <c r="BM43" s="881"/>
      <c r="BN43" s="881"/>
      <c r="BO43" s="881"/>
      <c r="BP43" s="881"/>
      <c r="BQ43" s="881"/>
      <c r="BR43" s="881"/>
      <c r="BS43" s="881"/>
      <c r="BT43" s="881"/>
      <c r="BU43" s="881"/>
    </row>
    <row r="44" spans="1:73" x14ac:dyDescent="0.25">
      <c r="A44" s="881"/>
      <c r="B44" s="881"/>
      <c r="C44" s="881"/>
      <c r="D44" s="881"/>
      <c r="E44" s="881"/>
      <c r="F44" s="881"/>
      <c r="G44" s="881"/>
      <c r="H44" s="881"/>
      <c r="I44" s="881"/>
      <c r="J44" s="881"/>
      <c r="K44" s="881"/>
      <c r="L44" s="881"/>
      <c r="M44" s="881"/>
      <c r="N44" s="881"/>
      <c r="O44" s="881"/>
      <c r="P44" s="881"/>
      <c r="Q44" s="881"/>
      <c r="R44" s="881"/>
      <c r="S44" s="881"/>
      <c r="T44" s="881"/>
      <c r="U44" s="881"/>
      <c r="V44" s="881"/>
      <c r="W44" s="881"/>
      <c r="X44" s="881"/>
      <c r="Y44" s="881"/>
      <c r="Z44" s="881"/>
      <c r="AA44" s="881"/>
      <c r="AB44" s="881"/>
      <c r="AC44" s="881"/>
      <c r="AD44" s="881"/>
      <c r="AE44" s="881"/>
      <c r="AF44" s="881"/>
      <c r="AG44" s="881"/>
      <c r="AH44" s="881"/>
      <c r="AI44" s="881"/>
      <c r="AJ44" s="881"/>
      <c r="AK44" s="881"/>
      <c r="AL44" s="881"/>
      <c r="AM44" s="881"/>
      <c r="AN44" s="881"/>
      <c r="AO44" s="881"/>
      <c r="AP44" s="881"/>
      <c r="AQ44" s="881"/>
      <c r="AR44" s="881"/>
      <c r="AS44" s="881"/>
      <c r="AT44" s="881"/>
      <c r="AU44" s="881"/>
      <c r="AV44" s="881"/>
      <c r="AW44" s="881"/>
      <c r="AX44" s="881"/>
      <c r="AY44" s="881"/>
      <c r="AZ44" s="881"/>
      <c r="BA44" s="881"/>
      <c r="BB44" s="881"/>
      <c r="BC44" s="881"/>
      <c r="BD44" s="881"/>
      <c r="BE44" s="881"/>
      <c r="BF44" s="881"/>
      <c r="BG44" s="881"/>
      <c r="BH44" s="881"/>
      <c r="BI44" s="881"/>
      <c r="BJ44" s="881"/>
      <c r="BK44" s="881"/>
      <c r="BL44" s="881"/>
      <c r="BM44" s="881"/>
      <c r="BN44" s="881"/>
      <c r="BO44" s="881"/>
      <c r="BP44" s="881"/>
      <c r="BQ44" s="881"/>
      <c r="BR44" s="881"/>
      <c r="BS44" s="881"/>
      <c r="BT44" s="881"/>
      <c r="BU44" s="881"/>
    </row>
    <row r="45" spans="1:73" ht="13.8" thickBot="1" x14ac:dyDescent="0.3">
      <c r="A45" s="881"/>
      <c r="B45" s="978" t="s">
        <v>1216</v>
      </c>
      <c r="C45" s="978"/>
      <c r="D45" s="978"/>
      <c r="E45" s="978"/>
      <c r="F45" s="978"/>
      <c r="G45" s="978"/>
      <c r="H45" s="978"/>
      <c r="I45" s="978"/>
      <c r="J45" s="978"/>
      <c r="K45" s="978"/>
      <c r="L45" s="978"/>
      <c r="M45" s="978"/>
      <c r="N45" s="978"/>
      <c r="O45" s="978"/>
      <c r="P45" s="978"/>
      <c r="Q45" s="978"/>
      <c r="R45" s="978"/>
      <c r="S45" s="978"/>
      <c r="T45" s="978"/>
      <c r="U45" s="978"/>
      <c r="V45" s="978"/>
      <c r="W45" s="978"/>
      <c r="X45" s="978"/>
      <c r="Y45" s="881"/>
      <c r="Z45" s="881"/>
      <c r="AA45" s="881"/>
      <c r="AB45" s="881"/>
      <c r="AC45" s="881"/>
      <c r="AD45" s="881"/>
      <c r="AE45" s="881"/>
      <c r="AF45" s="881"/>
      <c r="AG45" s="881"/>
      <c r="AH45" s="881"/>
      <c r="AI45" s="881"/>
      <c r="AJ45" s="881"/>
      <c r="AK45" s="881"/>
      <c r="AL45" s="881"/>
      <c r="AM45" s="881"/>
      <c r="AN45" s="881"/>
      <c r="AO45" s="881"/>
      <c r="AP45" s="881"/>
      <c r="AQ45" s="881"/>
      <c r="AR45" s="881"/>
      <c r="AS45" s="881"/>
      <c r="AT45" s="881"/>
      <c r="AU45" s="881"/>
      <c r="AV45" s="881"/>
      <c r="AW45" s="881"/>
      <c r="AX45" s="881"/>
      <c r="AY45" s="881"/>
      <c r="AZ45" s="881"/>
      <c r="BA45" s="881"/>
      <c r="BB45" s="881"/>
      <c r="BC45" s="881"/>
      <c r="BD45" s="881"/>
      <c r="BE45" s="881"/>
      <c r="BF45" s="881"/>
      <c r="BG45" s="881"/>
      <c r="BH45" s="881"/>
      <c r="BI45" s="881"/>
      <c r="BJ45" s="881"/>
      <c r="BK45" s="881"/>
      <c r="BL45" s="881"/>
      <c r="BM45" s="881"/>
      <c r="BN45" s="881"/>
      <c r="BO45" s="881"/>
      <c r="BP45" s="881"/>
      <c r="BQ45" s="881"/>
      <c r="BR45" s="881"/>
      <c r="BS45" s="881"/>
      <c r="BT45" s="881"/>
      <c r="BU45" s="881"/>
    </row>
    <row r="46" spans="1:73" ht="13.8" thickTop="1" x14ac:dyDescent="0.25">
      <c r="A46" s="881"/>
      <c r="B46" s="881"/>
      <c r="C46" s="881"/>
      <c r="D46" s="881"/>
      <c r="E46" s="881"/>
      <c r="F46" s="881"/>
      <c r="G46" s="881"/>
      <c r="H46" s="881"/>
      <c r="I46" s="881"/>
      <c r="J46" s="881"/>
      <c r="K46" s="881"/>
      <c r="L46" s="881"/>
      <c r="M46" s="881"/>
      <c r="N46" s="881"/>
      <c r="O46" s="881"/>
      <c r="P46" s="881"/>
      <c r="Q46" s="881"/>
      <c r="R46" s="881"/>
      <c r="S46" s="881"/>
      <c r="T46" s="881"/>
      <c r="U46" s="881"/>
      <c r="V46" s="881"/>
      <c r="W46" s="881"/>
      <c r="X46" s="881"/>
      <c r="Y46" s="881"/>
      <c r="Z46" s="881"/>
      <c r="AA46" s="881"/>
      <c r="AB46" s="881"/>
      <c r="AC46" s="881"/>
      <c r="AD46" s="881"/>
      <c r="AE46" s="881"/>
      <c r="AF46" s="881"/>
      <c r="AG46" s="881"/>
      <c r="AH46" s="881"/>
      <c r="AI46" s="881"/>
      <c r="AJ46" s="881"/>
      <c r="AK46" s="881"/>
      <c r="AL46" s="881"/>
      <c r="AM46" s="881"/>
      <c r="AN46" s="881"/>
      <c r="AO46" s="881"/>
      <c r="AP46" s="881"/>
      <c r="AQ46" s="881"/>
      <c r="AR46" s="881"/>
      <c r="AS46" s="881"/>
      <c r="AT46" s="881"/>
      <c r="AU46" s="881"/>
      <c r="AV46" s="881"/>
      <c r="AW46" s="881"/>
      <c r="AX46" s="881"/>
      <c r="AY46" s="881"/>
      <c r="AZ46" s="881"/>
      <c r="BA46" s="881"/>
      <c r="BB46" s="881"/>
      <c r="BC46" s="881"/>
      <c r="BD46" s="881"/>
      <c r="BE46" s="881"/>
      <c r="BF46" s="881"/>
      <c r="BG46" s="881"/>
      <c r="BH46" s="881"/>
      <c r="BI46" s="881"/>
      <c r="BJ46" s="881"/>
      <c r="BK46" s="881"/>
      <c r="BL46" s="881"/>
      <c r="BM46" s="881"/>
      <c r="BN46" s="881"/>
      <c r="BO46" s="881"/>
      <c r="BP46" s="881"/>
      <c r="BQ46" s="881"/>
      <c r="BR46" s="881"/>
      <c r="BS46" s="881"/>
      <c r="BT46" s="881"/>
      <c r="BU46" s="881"/>
    </row>
    <row r="47" spans="1:73" x14ac:dyDescent="0.25">
      <c r="A47" s="881"/>
      <c r="B47" s="896" t="s">
        <v>1124</v>
      </c>
      <c r="C47" s="881"/>
      <c r="D47" s="881"/>
      <c r="E47" s="881"/>
      <c r="F47" s="881"/>
      <c r="G47" s="881"/>
      <c r="H47" s="881"/>
      <c r="I47" s="881"/>
      <c r="J47" s="881"/>
      <c r="K47" s="881"/>
      <c r="L47" s="881"/>
      <c r="M47" s="881"/>
      <c r="N47" s="881"/>
      <c r="O47" s="881"/>
      <c r="P47" s="881"/>
      <c r="Q47" s="881"/>
      <c r="R47" s="881"/>
      <c r="S47" s="881"/>
      <c r="T47" s="881"/>
      <c r="U47" s="881"/>
      <c r="V47" s="881"/>
      <c r="W47" s="881"/>
      <c r="X47" s="881"/>
      <c r="Y47" s="881"/>
      <c r="Z47" s="881"/>
      <c r="AA47" s="881"/>
      <c r="AB47" s="881"/>
      <c r="AC47" s="881"/>
      <c r="AD47" s="881"/>
      <c r="AE47" s="881"/>
      <c r="AF47" s="881"/>
      <c r="AG47" s="881"/>
      <c r="AH47" s="881"/>
      <c r="AI47" s="881"/>
      <c r="AJ47" s="881"/>
      <c r="AK47" s="881"/>
      <c r="AL47" s="881"/>
      <c r="AM47" s="881"/>
      <c r="AN47" s="881"/>
      <c r="AO47" s="881"/>
      <c r="AP47" s="881"/>
      <c r="AQ47" s="881"/>
      <c r="AR47" s="881"/>
      <c r="AS47" s="881"/>
      <c r="AT47" s="881"/>
      <c r="AU47" s="881"/>
      <c r="AV47" s="881"/>
      <c r="AW47" s="881"/>
      <c r="AX47" s="881"/>
      <c r="AY47" s="881"/>
      <c r="AZ47" s="881"/>
      <c r="BA47" s="881"/>
      <c r="BB47" s="881"/>
      <c r="BC47" s="881"/>
      <c r="BD47" s="881"/>
      <c r="BE47" s="881"/>
      <c r="BF47" s="881"/>
      <c r="BG47" s="881"/>
      <c r="BH47" s="881"/>
      <c r="BI47" s="881"/>
      <c r="BJ47" s="881"/>
      <c r="BK47" s="881"/>
      <c r="BL47" s="881"/>
      <c r="BM47" s="881"/>
      <c r="BN47" s="881"/>
      <c r="BO47" s="881"/>
      <c r="BP47" s="881"/>
      <c r="BQ47" s="881"/>
      <c r="BR47" s="881"/>
      <c r="BS47" s="881"/>
      <c r="BT47" s="881"/>
      <c r="BU47" s="881"/>
    </row>
    <row r="48" spans="1:73" x14ac:dyDescent="0.25">
      <c r="A48" s="881"/>
      <c r="B48" s="884">
        <v>1</v>
      </c>
      <c r="C48" s="886">
        <f t="shared" ref="C48:E48" ca="1" si="5">+OFFSET(C50,$B$48,0)</f>
        <v>1</v>
      </c>
      <c r="D48" s="886">
        <f t="shared" ca="1" si="5"/>
        <v>1</v>
      </c>
      <c r="E48" s="886">
        <f t="shared" ca="1" si="5"/>
        <v>1</v>
      </c>
      <c r="F48" s="886">
        <f ca="1">+OFFSET(F50,$B$48,0)</f>
        <v>1</v>
      </c>
      <c r="G48" s="886">
        <f ca="1">+OFFSET(G50,$B$48,0)</f>
        <v>1</v>
      </c>
      <c r="H48" s="886">
        <f ca="1">+OFFSET(H50,$B$48,0)</f>
        <v>1</v>
      </c>
      <c r="I48" s="886">
        <f ca="1">+OFFSET(I50,$B$48,0)</f>
        <v>1</v>
      </c>
      <c r="J48" s="881"/>
      <c r="K48" s="898">
        <f ca="1">+'Cash Flow Analysis'!F118</f>
        <v>1.8556217638441947</v>
      </c>
      <c r="L48" s="898">
        <f ca="1">+'Cash Flow Analysis'!Q118</f>
        <v>0</v>
      </c>
      <c r="M48" s="898">
        <f ca="1">+'Cash Flow Analysis'!L118</f>
        <v>1.9532336675216178E-3</v>
      </c>
      <c r="N48" s="898">
        <f ca="1">+'Cash Flow Analysis'!H117</f>
        <v>0.19679394037475487</v>
      </c>
      <c r="O48" s="898">
        <f ca="1">+'Cash Flow Analysis'!I117</f>
        <v>2.5148873085919069E-2</v>
      </c>
      <c r="P48" s="898">
        <f ca="1">+'Cash Flow Analysis'!J117</f>
        <v>2.0014216975989454E-2</v>
      </c>
      <c r="Q48" s="898">
        <f ca="1">+'Cash Flow Analysis'!K117</f>
        <v>2.9544401990271528E-3</v>
      </c>
      <c r="R48" s="898">
        <f ca="1">+'Cash Flow Analysis'!M117</f>
        <v>1.9415742333874339E-3</v>
      </c>
      <c r="S48" s="898">
        <f ca="1">+'Cash Flow Analysis'!N117</f>
        <v>0.20583602739814111</v>
      </c>
      <c r="T48" s="898">
        <f ca="1">+'Cash Flow Analysis'!O117</f>
        <v>0.97692148024886449</v>
      </c>
      <c r="U48" s="898">
        <f ca="1">+'Cash Flow Analysis'!P117</f>
        <v>3.7320310600916916E-2</v>
      </c>
      <c r="V48" s="898">
        <f ca="1">+'Cash Flow Analysis'!R117</f>
        <v>0.24744462031205222</v>
      </c>
      <c r="W48" s="898">
        <f ca="1">+'Cash Flow Analysis'!S117</f>
        <v>0.11763260552256523</v>
      </c>
      <c r="X48" s="898">
        <f ca="1">+'Cash Flow Analysis'!X117</f>
        <v>2.02825835365903E-2</v>
      </c>
      <c r="Y48" s="898">
        <f ca="1">+'Cash Flow Analysis'!Z117</f>
        <v>5.2843250235065703E-3</v>
      </c>
      <c r="Z48" s="881"/>
      <c r="AA48" s="881"/>
      <c r="AB48" s="881"/>
      <c r="AC48" s="881"/>
      <c r="AD48" s="881"/>
      <c r="AE48" s="881"/>
      <c r="AF48" s="881"/>
      <c r="AG48" s="881"/>
      <c r="AH48" s="881"/>
      <c r="AI48" s="881"/>
      <c r="AJ48" s="881"/>
      <c r="AK48" s="881"/>
      <c r="AL48" s="881"/>
      <c r="AM48" s="881"/>
      <c r="AN48" s="881"/>
      <c r="AO48" s="881"/>
      <c r="AP48" s="881"/>
      <c r="AQ48" s="881"/>
      <c r="AR48" s="881"/>
      <c r="AS48" s="881"/>
      <c r="AT48" s="881"/>
      <c r="AU48" s="881"/>
      <c r="AV48" s="881"/>
      <c r="AW48" s="881"/>
      <c r="AX48" s="881"/>
      <c r="AY48" s="881"/>
      <c r="AZ48" s="881"/>
      <c r="BA48" s="881"/>
      <c r="BB48" s="881"/>
      <c r="BC48" s="881"/>
      <c r="BD48" s="881"/>
      <c r="BE48" s="881"/>
      <c r="BF48" s="881"/>
      <c r="BG48" s="881"/>
      <c r="BH48" s="881"/>
      <c r="BI48" s="881"/>
      <c r="BJ48" s="881"/>
      <c r="BK48" s="881"/>
      <c r="BL48" s="881"/>
      <c r="BM48" s="881"/>
      <c r="BN48" s="881"/>
      <c r="BO48" s="881"/>
      <c r="BP48" s="881"/>
      <c r="BQ48" s="881"/>
      <c r="BR48" s="881"/>
      <c r="BS48" s="881"/>
      <c r="BT48" s="881"/>
      <c r="BU48" s="881"/>
    </row>
    <row r="49" spans="1:73" x14ac:dyDescent="0.25">
      <c r="A49" s="881"/>
      <c r="B49" s="883"/>
      <c r="C49" s="883"/>
      <c r="D49" s="883"/>
      <c r="E49" s="883"/>
      <c r="F49" s="883"/>
      <c r="G49" s="883"/>
      <c r="H49" s="883"/>
      <c r="I49" s="883"/>
      <c r="J49" s="883"/>
      <c r="K49" s="883"/>
      <c r="L49" s="883"/>
      <c r="M49" s="883"/>
      <c r="N49" s="881"/>
      <c r="O49" s="881"/>
      <c r="P49" s="881"/>
      <c r="Q49" s="881"/>
      <c r="R49" s="881"/>
      <c r="S49" s="881"/>
      <c r="T49" s="881"/>
      <c r="U49" s="881"/>
      <c r="V49" s="881"/>
      <c r="W49" s="881"/>
      <c r="X49" s="881"/>
      <c r="Y49" s="881"/>
      <c r="Z49" s="881"/>
      <c r="AA49" s="881"/>
      <c r="AB49" s="881"/>
      <c r="AC49" s="881"/>
      <c r="AD49" s="881"/>
      <c r="AE49" s="881"/>
      <c r="AF49" s="881"/>
      <c r="AG49" s="881"/>
      <c r="AH49" s="881"/>
      <c r="AI49" s="881"/>
      <c r="AJ49" s="881"/>
      <c r="AK49" s="881"/>
      <c r="AL49" s="881"/>
      <c r="AM49" s="881"/>
      <c r="AN49" s="881"/>
      <c r="AO49" s="881"/>
      <c r="AP49" s="881"/>
      <c r="AQ49" s="881"/>
      <c r="AR49" s="881"/>
      <c r="AS49" s="881"/>
      <c r="AT49" s="881"/>
      <c r="AU49" s="881"/>
      <c r="AV49" s="881"/>
      <c r="AW49" s="881"/>
      <c r="AX49" s="881"/>
      <c r="AY49" s="881"/>
      <c r="AZ49" s="881"/>
      <c r="BA49" s="881"/>
      <c r="BB49" s="881"/>
      <c r="BC49" s="881"/>
      <c r="BD49" s="881"/>
      <c r="BE49" s="881"/>
      <c r="BF49" s="881"/>
      <c r="BG49" s="881"/>
      <c r="BH49" s="881"/>
      <c r="BI49" s="881"/>
      <c r="BJ49" s="881"/>
      <c r="BK49" s="881"/>
      <c r="BL49" s="881"/>
      <c r="BM49" s="881"/>
      <c r="BN49" s="881"/>
      <c r="BO49" s="881"/>
      <c r="BP49" s="881"/>
      <c r="BQ49" s="881"/>
      <c r="BR49" s="881"/>
      <c r="BS49" s="881"/>
      <c r="BT49" s="881"/>
      <c r="BU49" s="881"/>
    </row>
    <row r="50" spans="1:73" ht="52.8" x14ac:dyDescent="0.25">
      <c r="A50" s="881"/>
      <c r="B50" s="892" t="s">
        <v>1108</v>
      </c>
      <c r="C50" s="892" t="s">
        <v>1217</v>
      </c>
      <c r="D50" s="892" t="s">
        <v>1218</v>
      </c>
      <c r="E50" s="892" t="s">
        <v>1219</v>
      </c>
      <c r="F50" s="892" t="s">
        <v>1220</v>
      </c>
      <c r="G50" s="892" t="s">
        <v>1221</v>
      </c>
      <c r="H50" s="892" t="s">
        <v>1237</v>
      </c>
      <c r="I50" s="892" t="s">
        <v>1236</v>
      </c>
      <c r="J50" s="881"/>
      <c r="K50" s="892" t="s">
        <v>1238</v>
      </c>
      <c r="L50" s="892" t="s">
        <v>1222</v>
      </c>
      <c r="M50" s="892" t="s">
        <v>1223</v>
      </c>
      <c r="N50" s="892" t="s">
        <v>1224</v>
      </c>
      <c r="O50" s="892" t="s">
        <v>1225</v>
      </c>
      <c r="P50" s="892" t="s">
        <v>1226</v>
      </c>
      <c r="Q50" s="892" t="s">
        <v>1227</v>
      </c>
      <c r="R50" s="892" t="s">
        <v>1228</v>
      </c>
      <c r="S50" s="892" t="s">
        <v>1229</v>
      </c>
      <c r="T50" s="892" t="s">
        <v>1230</v>
      </c>
      <c r="U50" s="892" t="s">
        <v>1231</v>
      </c>
      <c r="V50" s="892" t="s">
        <v>1232</v>
      </c>
      <c r="W50" s="892" t="s">
        <v>1233</v>
      </c>
      <c r="X50" s="892" t="s">
        <v>1234</v>
      </c>
      <c r="Y50" s="892" t="s">
        <v>1235</v>
      </c>
      <c r="Z50" s="881"/>
      <c r="AA50" s="881"/>
      <c r="AB50" s="881"/>
      <c r="AC50" s="881"/>
      <c r="AD50" s="881"/>
      <c r="AE50" s="881"/>
      <c r="AF50" s="881"/>
      <c r="AG50" s="881"/>
      <c r="AH50" s="881"/>
      <c r="AI50" s="881"/>
      <c r="AJ50" s="881"/>
      <c r="AK50" s="881"/>
      <c r="AL50" s="881"/>
      <c r="AM50" s="881"/>
      <c r="AN50" s="881"/>
      <c r="AO50" s="881"/>
      <c r="AP50" s="881"/>
      <c r="AQ50" s="881"/>
      <c r="AR50" s="881"/>
      <c r="AS50" s="881"/>
      <c r="AT50" s="881"/>
      <c r="AU50" s="881"/>
      <c r="AV50" s="881"/>
      <c r="AW50" s="881"/>
      <c r="AX50" s="881"/>
      <c r="AY50" s="881"/>
      <c r="AZ50" s="881"/>
      <c r="BA50" s="881"/>
      <c r="BB50" s="881"/>
      <c r="BC50" s="881"/>
      <c r="BD50" s="881"/>
      <c r="BE50" s="881"/>
      <c r="BF50" s="881"/>
      <c r="BG50" s="881"/>
      <c r="BH50" s="881"/>
      <c r="BI50" s="881"/>
      <c r="BJ50" s="881"/>
      <c r="BK50" s="881"/>
      <c r="BL50" s="881"/>
      <c r="BM50" s="881"/>
      <c r="BN50" s="881"/>
      <c r="BO50" s="881"/>
      <c r="BP50" s="881"/>
      <c r="BQ50" s="881"/>
      <c r="BR50" s="881"/>
      <c r="BS50" s="881"/>
      <c r="BT50" s="881"/>
      <c r="BU50" s="881"/>
    </row>
    <row r="51" spans="1:73" x14ac:dyDescent="0.25">
      <c r="A51" s="881"/>
      <c r="B51" s="893">
        <v>1</v>
      </c>
      <c r="C51" s="886">
        <v>1</v>
      </c>
      <c r="D51" s="886">
        <v>1</v>
      </c>
      <c r="E51" s="886">
        <v>1</v>
      </c>
      <c r="F51" s="886">
        <v>1</v>
      </c>
      <c r="G51" s="886">
        <v>1</v>
      </c>
      <c r="H51" s="886">
        <v>1</v>
      </c>
      <c r="I51" s="886">
        <v>1</v>
      </c>
      <c r="J51" s="881"/>
      <c r="K51" s="899">
        <v>1.9389370275971565</v>
      </c>
      <c r="L51" s="900">
        <v>0</v>
      </c>
      <c r="M51" s="900">
        <v>1.9532336675216178E-3</v>
      </c>
      <c r="N51" s="900">
        <v>0.19679394037475487</v>
      </c>
      <c r="O51" s="900">
        <v>2.5148873085919069E-2</v>
      </c>
      <c r="P51" s="900">
        <v>2.113041182383766E-2</v>
      </c>
      <c r="Q51" s="900">
        <v>2.9544401990271528E-3</v>
      </c>
      <c r="R51" s="900">
        <v>1.9415742333874339E-3</v>
      </c>
      <c r="S51" s="900">
        <v>0.20583602739814111</v>
      </c>
      <c r="T51" s="900">
        <v>1.058372327657447</v>
      </c>
      <c r="U51" s="900">
        <v>3.7320310600916916E-2</v>
      </c>
      <c r="V51" s="900">
        <v>0.24780594636845787</v>
      </c>
      <c r="W51" s="900">
        <v>0.11763260552256523</v>
      </c>
      <c r="X51" s="900">
        <v>2.0669478976714461E-2</v>
      </c>
      <c r="Y51" s="900">
        <v>5.2843250235065703E-3</v>
      </c>
      <c r="Z51" s="1010"/>
      <c r="AA51" s="881"/>
      <c r="AB51" s="881"/>
      <c r="AC51" s="881"/>
      <c r="AD51" s="881"/>
      <c r="AE51" s="881"/>
      <c r="AF51" s="881"/>
      <c r="AG51" s="881"/>
      <c r="AH51" s="881"/>
      <c r="AI51" s="881"/>
      <c r="AJ51" s="881"/>
      <c r="AK51" s="881"/>
      <c r="AL51" s="881"/>
      <c r="AM51" s="881"/>
      <c r="AN51" s="881"/>
      <c r="AO51" s="881"/>
      <c r="AP51" s="881"/>
      <c r="AQ51" s="881"/>
      <c r="AR51" s="881"/>
      <c r="AS51" s="881"/>
      <c r="AT51" s="881"/>
      <c r="AU51" s="881"/>
      <c r="AV51" s="881"/>
      <c r="AW51" s="881"/>
      <c r="AX51" s="881"/>
      <c r="AY51" s="881"/>
      <c r="AZ51" s="881"/>
      <c r="BA51" s="881"/>
      <c r="BB51" s="881"/>
      <c r="BC51" s="881"/>
      <c r="BD51" s="881"/>
      <c r="BE51" s="881"/>
      <c r="BF51" s="881"/>
      <c r="BG51" s="881"/>
      <c r="BH51" s="881"/>
      <c r="BI51" s="881"/>
      <c r="BJ51" s="881"/>
      <c r="BK51" s="881"/>
      <c r="BL51" s="881"/>
      <c r="BM51" s="881"/>
      <c r="BN51" s="881"/>
      <c r="BO51" s="881"/>
      <c r="BP51" s="881"/>
      <c r="BQ51" s="881"/>
      <c r="BR51" s="881"/>
      <c r="BS51" s="881"/>
      <c r="BT51" s="881"/>
      <c r="BU51" s="881"/>
    </row>
    <row r="52" spans="1:73" x14ac:dyDescent="0.25">
      <c r="A52" s="881"/>
      <c r="B52" s="901">
        <f>+B51+1</f>
        <v>2</v>
      </c>
      <c r="C52" s="902">
        <f>+F3</f>
        <v>1.05</v>
      </c>
      <c r="D52" s="902">
        <v>1</v>
      </c>
      <c r="E52" s="902">
        <v>1</v>
      </c>
      <c r="F52" s="902">
        <v>1</v>
      </c>
      <c r="G52" s="902">
        <v>1</v>
      </c>
      <c r="H52" s="902">
        <v>1</v>
      </c>
      <c r="I52" s="902">
        <v>1</v>
      </c>
      <c r="J52" s="881"/>
      <c r="K52" s="899">
        <v>1.9030958301354877</v>
      </c>
      <c r="L52" s="900">
        <v>0</v>
      </c>
      <c r="M52" s="900">
        <v>1.8602225404967775E-3</v>
      </c>
      <c r="N52" s="900">
        <v>0.18742280035690928</v>
      </c>
      <c r="O52" s="900">
        <v>2.3951307700875293E-2</v>
      </c>
      <c r="P52" s="900">
        <v>2.0880556503119579E-2</v>
      </c>
      <c r="Q52" s="900">
        <v>2.8137525705020489E-3</v>
      </c>
      <c r="R52" s="900">
        <v>1.8491183175118405E-3</v>
      </c>
      <c r="S52" s="900">
        <v>0.1960343118077533</v>
      </c>
      <c r="T52" s="900">
        <v>1.0583723276574468</v>
      </c>
      <c r="U52" s="900">
        <v>3.5543152953254178E-2</v>
      </c>
      <c r="V52" s="900">
        <v>0.2410775956815239</v>
      </c>
      <c r="W52" s="900">
        <v>0.11203105287863349</v>
      </c>
      <c r="X52" s="900">
        <v>1.9947385749875351E-2</v>
      </c>
      <c r="Y52" s="900">
        <v>5.0326904985776837E-3</v>
      </c>
      <c r="Z52" s="1010"/>
      <c r="AA52" s="881"/>
      <c r="AB52" s="881"/>
      <c r="AC52" s="881"/>
      <c r="AD52" s="881"/>
      <c r="AE52" s="881"/>
      <c r="AF52" s="881"/>
      <c r="AG52" s="881"/>
      <c r="AH52" s="881"/>
      <c r="AI52" s="881"/>
      <c r="AJ52" s="881"/>
      <c r="AK52" s="881"/>
      <c r="AL52" s="881"/>
      <c r="AM52" s="881"/>
      <c r="AN52" s="881"/>
      <c r="AO52" s="881"/>
      <c r="AP52" s="881"/>
      <c r="AQ52" s="881"/>
      <c r="AR52" s="881"/>
      <c r="AS52" s="881"/>
      <c r="AT52" s="881"/>
      <c r="AU52" s="881"/>
      <c r="AV52" s="881"/>
      <c r="AW52" s="881"/>
      <c r="AX52" s="881"/>
      <c r="AY52" s="881"/>
      <c r="AZ52" s="881"/>
      <c r="BA52" s="881"/>
      <c r="BB52" s="881"/>
      <c r="BC52" s="881"/>
      <c r="BD52" s="881"/>
      <c r="BE52" s="881"/>
      <c r="BF52" s="881"/>
      <c r="BG52" s="881"/>
      <c r="BH52" s="881"/>
      <c r="BI52" s="881"/>
      <c r="BJ52" s="881"/>
      <c r="BK52" s="881"/>
      <c r="BL52" s="881"/>
      <c r="BM52" s="881"/>
      <c r="BN52" s="881"/>
      <c r="BO52" s="881"/>
      <c r="BP52" s="881"/>
      <c r="BQ52" s="881"/>
      <c r="BR52" s="881"/>
      <c r="BS52" s="881"/>
      <c r="BT52" s="881"/>
      <c r="BU52" s="881"/>
    </row>
    <row r="53" spans="1:73" x14ac:dyDescent="0.25">
      <c r="A53" s="881"/>
      <c r="B53" s="901">
        <f t="shared" ref="B53:B70" si="6">+B52+1</f>
        <v>3</v>
      </c>
      <c r="C53" s="902">
        <f>+G3</f>
        <v>0.95</v>
      </c>
      <c r="D53" s="902">
        <v>1</v>
      </c>
      <c r="E53" s="902">
        <v>1</v>
      </c>
      <c r="F53" s="902">
        <v>1</v>
      </c>
      <c r="G53" s="902">
        <v>1</v>
      </c>
      <c r="H53" s="902">
        <v>1</v>
      </c>
      <c r="I53" s="902">
        <v>1</v>
      </c>
      <c r="J53" s="881"/>
      <c r="K53" s="899">
        <v>1.9785338172436788</v>
      </c>
      <c r="L53" s="900">
        <v>0</v>
      </c>
      <c r="M53" s="900">
        <v>2.0560354394964404E-3</v>
      </c>
      <c r="N53" s="900">
        <v>0.20715151618395253</v>
      </c>
      <c r="O53" s="900">
        <v>2.6472497985177972E-2</v>
      </c>
      <c r="P53" s="900">
        <v>2.1406337660120438E-2</v>
      </c>
      <c r="Q53" s="900">
        <v>3.1099370516075304E-3</v>
      </c>
      <c r="R53" s="900">
        <v>2.0437623509341413E-3</v>
      </c>
      <c r="S53" s="900">
        <v>0.2166695025243591</v>
      </c>
      <c r="T53" s="900">
        <v>1.0583723276574473</v>
      </c>
      <c r="U53" s="900">
        <v>3.9284537474649397E-2</v>
      </c>
      <c r="V53" s="900">
        <v>0.25522568883596869</v>
      </c>
      <c r="W53" s="900">
        <v>0.12382379528691079</v>
      </c>
      <c r="X53" s="900">
        <v>2.1467502278880269E-2</v>
      </c>
      <c r="Y53" s="900">
        <v>5.5624473931648122E-3</v>
      </c>
      <c r="Z53" s="1010"/>
      <c r="AA53" s="881"/>
      <c r="AB53" s="881"/>
      <c r="AC53" s="881"/>
      <c r="AD53" s="881"/>
      <c r="AE53" s="881"/>
      <c r="AF53" s="881"/>
      <c r="AG53" s="881"/>
      <c r="AH53" s="881"/>
      <c r="AI53" s="881"/>
      <c r="AJ53" s="881"/>
      <c r="AK53" s="881"/>
      <c r="AL53" s="881"/>
      <c r="AM53" s="881"/>
      <c r="AN53" s="881"/>
      <c r="AO53" s="881"/>
      <c r="AP53" s="881"/>
      <c r="AQ53" s="881"/>
      <c r="AR53" s="881"/>
      <c r="AS53" s="881"/>
      <c r="AT53" s="881"/>
      <c r="AU53" s="881"/>
      <c r="AV53" s="881"/>
      <c r="AW53" s="881"/>
      <c r="AX53" s="881"/>
      <c r="AY53" s="881"/>
      <c r="AZ53" s="881"/>
      <c r="BA53" s="881"/>
      <c r="BB53" s="881"/>
      <c r="BC53" s="881"/>
      <c r="BD53" s="881"/>
      <c r="BE53" s="881"/>
      <c r="BF53" s="881"/>
      <c r="BG53" s="881"/>
      <c r="BH53" s="881"/>
      <c r="BI53" s="881"/>
      <c r="BJ53" s="881"/>
      <c r="BK53" s="881"/>
      <c r="BL53" s="881"/>
      <c r="BM53" s="881"/>
      <c r="BN53" s="881"/>
      <c r="BO53" s="881"/>
      <c r="BP53" s="881"/>
      <c r="BQ53" s="881"/>
      <c r="BR53" s="881"/>
      <c r="BS53" s="881"/>
      <c r="BT53" s="881"/>
      <c r="BU53" s="881"/>
    </row>
    <row r="54" spans="1:73" x14ac:dyDescent="0.25">
      <c r="A54" s="881"/>
      <c r="B54" s="893">
        <f t="shared" si="6"/>
        <v>4</v>
      </c>
      <c r="C54" s="886">
        <v>1</v>
      </c>
      <c r="D54" s="886">
        <f>+F4</f>
        <v>1.05</v>
      </c>
      <c r="E54" s="886">
        <v>1</v>
      </c>
      <c r="F54" s="886">
        <v>1</v>
      </c>
      <c r="G54" s="886">
        <v>1</v>
      </c>
      <c r="H54" s="886">
        <v>1</v>
      </c>
      <c r="I54" s="886">
        <v>1</v>
      </c>
      <c r="J54" s="881"/>
      <c r="K54" s="899">
        <v>1.9196972653481559</v>
      </c>
      <c r="L54" s="900">
        <v>0</v>
      </c>
      <c r="M54" s="900">
        <v>1.9068196881298842E-3</v>
      </c>
      <c r="N54" s="900">
        <v>0.19211373242097643</v>
      </c>
      <c r="O54" s="900">
        <v>2.455077562610327E-2</v>
      </c>
      <c r="P54" s="900">
        <v>2.0987498453255701E-2</v>
      </c>
      <c r="Q54" s="900">
        <v>2.8938981885642721E-3</v>
      </c>
      <c r="R54" s="900">
        <v>1.8953991776278565E-3</v>
      </c>
      <c r="S54" s="900">
        <v>0.20129300976023867</v>
      </c>
      <c r="T54" s="900">
        <v>1.0583723276574466</v>
      </c>
      <c r="U54" s="900">
        <v>3.7320310600916909E-2</v>
      </c>
      <c r="V54" s="900">
        <v>0.24187751569139676</v>
      </c>
      <c r="W54" s="900">
        <v>0.11483503434256863</v>
      </c>
      <c r="X54" s="900">
        <v>2.0305931373857736E-2</v>
      </c>
      <c r="Y54" s="900">
        <v>5.1586517433320446E-3</v>
      </c>
      <c r="Z54" s="1010"/>
      <c r="AA54" s="881"/>
      <c r="AB54" s="881"/>
      <c r="AC54" s="881"/>
      <c r="AD54" s="881"/>
      <c r="AE54" s="881"/>
      <c r="AF54" s="881"/>
      <c r="AG54" s="881"/>
      <c r="AH54" s="881"/>
      <c r="AI54" s="881"/>
      <c r="AJ54" s="881"/>
      <c r="AK54" s="881"/>
      <c r="AL54" s="881"/>
      <c r="AM54" s="881"/>
      <c r="AN54" s="881"/>
      <c r="AO54" s="881"/>
      <c r="AP54" s="881"/>
      <c r="AQ54" s="881"/>
      <c r="AR54" s="881"/>
      <c r="AS54" s="881"/>
      <c r="AT54" s="881"/>
      <c r="AU54" s="881"/>
      <c r="AV54" s="881"/>
      <c r="AW54" s="881"/>
      <c r="AX54" s="881"/>
      <c r="AY54" s="881"/>
      <c r="AZ54" s="881"/>
      <c r="BA54" s="881"/>
      <c r="BB54" s="881"/>
      <c r="BC54" s="881"/>
      <c r="BD54" s="881"/>
      <c r="BE54" s="881"/>
      <c r="BF54" s="881"/>
      <c r="BG54" s="881"/>
      <c r="BH54" s="881"/>
      <c r="BI54" s="881"/>
      <c r="BJ54" s="881"/>
      <c r="BK54" s="881"/>
      <c r="BL54" s="881"/>
      <c r="BM54" s="881"/>
      <c r="BN54" s="881"/>
      <c r="BO54" s="881"/>
      <c r="BP54" s="881"/>
      <c r="BQ54" s="881"/>
      <c r="BR54" s="881"/>
      <c r="BS54" s="881"/>
      <c r="BT54" s="881"/>
      <c r="BU54" s="881"/>
    </row>
    <row r="55" spans="1:73" x14ac:dyDescent="0.25">
      <c r="A55" s="881"/>
      <c r="B55" s="893">
        <f t="shared" si="6"/>
        <v>5</v>
      </c>
      <c r="C55" s="886">
        <v>1</v>
      </c>
      <c r="D55" s="886">
        <f>+G4</f>
        <v>0.95</v>
      </c>
      <c r="E55" s="886">
        <v>1</v>
      </c>
      <c r="F55" s="886">
        <v>1</v>
      </c>
      <c r="G55" s="886">
        <v>1</v>
      </c>
      <c r="H55" s="886">
        <v>1</v>
      </c>
      <c r="I55" s="886">
        <v>1</v>
      </c>
      <c r="J55" s="881"/>
      <c r="K55" s="899">
        <v>1.9599105035261604</v>
      </c>
      <c r="L55" s="900">
        <v>0</v>
      </c>
      <c r="M55" s="900">
        <v>2.0035986884467554E-3</v>
      </c>
      <c r="N55" s="900">
        <v>0.20187271159335321</v>
      </c>
      <c r="O55" s="900">
        <v>2.5797904110785613E-2</v>
      </c>
      <c r="P55" s="900">
        <v>2.1286779379127516E-2</v>
      </c>
      <c r="Q55" s="900">
        <v>3.0197475006259575E-3</v>
      </c>
      <c r="R55" s="900">
        <v>1.9916815248849371E-3</v>
      </c>
      <c r="S55" s="900">
        <v>0.21075915969750289</v>
      </c>
      <c r="T55" s="900">
        <v>1.0583723276574473</v>
      </c>
      <c r="U55" s="900">
        <v>3.732031060091693E-2</v>
      </c>
      <c r="V55" s="900">
        <v>0.25434006797534392</v>
      </c>
      <c r="W55" s="900">
        <v>0.12066841592485229</v>
      </c>
      <c r="X55" s="900">
        <v>2.1064295696666843E-2</v>
      </c>
      <c r="Y55" s="900">
        <v>5.4207005530985735E-3</v>
      </c>
      <c r="Z55" s="1010"/>
      <c r="AA55" s="881"/>
      <c r="AB55" s="881"/>
      <c r="AC55" s="881"/>
      <c r="AD55" s="881"/>
      <c r="AE55" s="881"/>
      <c r="AF55" s="881"/>
      <c r="AG55" s="881"/>
      <c r="AH55" s="881"/>
      <c r="AI55" s="881"/>
      <c r="AJ55" s="881"/>
      <c r="AK55" s="881"/>
      <c r="AL55" s="881"/>
      <c r="AM55" s="881"/>
      <c r="AN55" s="881"/>
      <c r="AO55" s="881"/>
      <c r="AP55" s="881"/>
      <c r="AQ55" s="881"/>
      <c r="AR55" s="881"/>
      <c r="AS55" s="881"/>
      <c r="AT55" s="881"/>
      <c r="AU55" s="881"/>
      <c r="AV55" s="881"/>
      <c r="AW55" s="881"/>
      <c r="AX55" s="881"/>
      <c r="AY55" s="881"/>
      <c r="AZ55" s="881"/>
      <c r="BA55" s="881"/>
      <c r="BB55" s="881"/>
      <c r="BC55" s="881"/>
      <c r="BD55" s="881"/>
      <c r="BE55" s="881"/>
      <c r="BF55" s="881"/>
      <c r="BG55" s="881"/>
      <c r="BH55" s="881"/>
      <c r="BI55" s="881"/>
      <c r="BJ55" s="881"/>
      <c r="BK55" s="881"/>
      <c r="BL55" s="881"/>
      <c r="BM55" s="881"/>
      <c r="BN55" s="881"/>
      <c r="BO55" s="881"/>
      <c r="BP55" s="881"/>
      <c r="BQ55" s="881"/>
      <c r="BR55" s="881"/>
      <c r="BS55" s="881"/>
      <c r="BT55" s="881"/>
      <c r="BU55" s="881"/>
    </row>
    <row r="56" spans="1:73" x14ac:dyDescent="0.25">
      <c r="A56" s="881"/>
      <c r="B56" s="901">
        <f t="shared" si="6"/>
        <v>6</v>
      </c>
      <c r="C56" s="902">
        <v>1</v>
      </c>
      <c r="D56" s="902">
        <v>1</v>
      </c>
      <c r="E56" s="902">
        <f>+F5</f>
        <v>0.95</v>
      </c>
      <c r="F56" s="902">
        <v>1</v>
      </c>
      <c r="G56" s="902">
        <v>1</v>
      </c>
      <c r="H56" s="902">
        <v>1</v>
      </c>
      <c r="I56" s="902">
        <v>1</v>
      </c>
      <c r="J56" s="881"/>
      <c r="K56" s="899">
        <v>1.9290766913385511</v>
      </c>
      <c r="L56" s="900">
        <v>0</v>
      </c>
      <c r="M56" s="900">
        <v>2.1692177733791062E-3</v>
      </c>
      <c r="N56" s="900">
        <v>0.18701581734574246</v>
      </c>
      <c r="O56" s="900">
        <v>2.5148873085919052E-2</v>
      </c>
      <c r="P56" s="900">
        <v>2.0399899029474824E-2</v>
      </c>
      <c r="Q56" s="900">
        <v>2.8076425908643496E-3</v>
      </c>
      <c r="R56" s="900">
        <v>2.1562690657196139E-3</v>
      </c>
      <c r="S56" s="900">
        <v>0.20583602739814094</v>
      </c>
      <c r="T56" s="900">
        <v>1.0630137048215176</v>
      </c>
      <c r="U56" s="900">
        <v>3.7320310600916888E-2</v>
      </c>
      <c r="V56" s="900">
        <v>0.24780594636845757</v>
      </c>
      <c r="W56" s="900">
        <v>0.1157486873077383</v>
      </c>
      <c r="X56" s="900">
        <v>1.8124077914454931E-2</v>
      </c>
      <c r="Y56" s="900">
        <v>5.8686535829823088E-3</v>
      </c>
      <c r="Z56" s="1010"/>
      <c r="AA56" s="881"/>
      <c r="AB56" s="881"/>
      <c r="AC56" s="881"/>
      <c r="AD56" s="881"/>
      <c r="AE56" s="881"/>
      <c r="AF56" s="881"/>
      <c r="AG56" s="881"/>
      <c r="AH56" s="881"/>
      <c r="AI56" s="881"/>
      <c r="AJ56" s="881"/>
      <c r="AK56" s="881"/>
      <c r="AL56" s="881"/>
      <c r="AM56" s="881"/>
      <c r="AN56" s="881"/>
      <c r="AO56" s="881"/>
      <c r="AP56" s="881"/>
      <c r="AQ56" s="881"/>
      <c r="AR56" s="881"/>
      <c r="AS56" s="881"/>
      <c r="AT56" s="881"/>
      <c r="AU56" s="881"/>
      <c r="AV56" s="881"/>
      <c r="AW56" s="881"/>
      <c r="AX56" s="881"/>
      <c r="AY56" s="881"/>
      <c r="AZ56" s="881"/>
      <c r="BA56" s="881"/>
      <c r="BB56" s="881"/>
      <c r="BC56" s="881"/>
      <c r="BD56" s="881"/>
      <c r="BE56" s="881"/>
      <c r="BF56" s="881"/>
      <c r="BG56" s="881"/>
      <c r="BH56" s="881"/>
      <c r="BI56" s="881"/>
      <c r="BJ56" s="881"/>
      <c r="BK56" s="881"/>
      <c r="BL56" s="881"/>
      <c r="BM56" s="881"/>
      <c r="BN56" s="881"/>
      <c r="BO56" s="881"/>
      <c r="BP56" s="881"/>
      <c r="BQ56" s="881"/>
      <c r="BR56" s="881"/>
      <c r="BS56" s="881"/>
      <c r="BT56" s="881"/>
      <c r="BU56" s="881"/>
    </row>
    <row r="57" spans="1:73" x14ac:dyDescent="0.25">
      <c r="A57" s="881"/>
      <c r="B57" s="901">
        <f t="shared" si="6"/>
        <v>7</v>
      </c>
      <c r="C57" s="902">
        <v>1</v>
      </c>
      <c r="D57" s="902">
        <v>1</v>
      </c>
      <c r="E57" s="902">
        <f>+G5</f>
        <v>1.05</v>
      </c>
      <c r="F57" s="902">
        <v>1</v>
      </c>
      <c r="G57" s="902">
        <v>1</v>
      </c>
      <c r="H57" s="902">
        <v>1</v>
      </c>
      <c r="I57" s="902">
        <v>1</v>
      </c>
      <c r="J57" s="881"/>
      <c r="K57" s="899">
        <v>1.9493013647008546</v>
      </c>
      <c r="L57" s="900">
        <v>0</v>
      </c>
      <c r="M57" s="900">
        <v>1.7573221180087559E-3</v>
      </c>
      <c r="N57" s="900">
        <v>0.20679546825086914</v>
      </c>
      <c r="O57" s="900">
        <v>2.5148873085919104E-2</v>
      </c>
      <c r="P57" s="900">
        <v>2.1851611722266268E-2</v>
      </c>
      <c r="Q57" s="900">
        <v>3.1045917532498734E-3</v>
      </c>
      <c r="R57" s="900">
        <v>1.7468321383262604E-3</v>
      </c>
      <c r="S57" s="900">
        <v>0.20583602739814127</v>
      </c>
      <c r="T57" s="900">
        <v>1.0538282952211235</v>
      </c>
      <c r="U57" s="900">
        <v>3.7320310600916957E-2</v>
      </c>
      <c r="V57" s="900">
        <v>0.24780594636845807</v>
      </c>
      <c r="W57" s="900">
        <v>0.11952372141745268</v>
      </c>
      <c r="X57" s="900">
        <v>2.3342707624673029E-2</v>
      </c>
      <c r="Y57" s="900">
        <v>4.754301237464442E-3</v>
      </c>
      <c r="Z57" s="1010"/>
      <c r="AA57" s="881"/>
      <c r="AB57" s="881"/>
      <c r="AC57" s="881"/>
      <c r="AD57" s="881"/>
      <c r="AE57" s="881"/>
      <c r="AF57" s="881"/>
      <c r="AG57" s="881"/>
      <c r="AH57" s="881"/>
      <c r="AI57" s="881"/>
      <c r="AJ57" s="881"/>
      <c r="AK57" s="881"/>
      <c r="AL57" s="881"/>
      <c r="AM57" s="881"/>
      <c r="AN57" s="881"/>
      <c r="AO57" s="881"/>
      <c r="AP57" s="881"/>
      <c r="AQ57" s="881"/>
      <c r="AR57" s="881"/>
      <c r="AS57" s="881"/>
      <c r="AT57" s="881"/>
      <c r="AU57" s="881"/>
      <c r="AV57" s="881"/>
      <c r="AW57" s="881"/>
      <c r="AX57" s="881"/>
      <c r="AY57" s="881"/>
      <c r="AZ57" s="881"/>
      <c r="BA57" s="881"/>
      <c r="BB57" s="881"/>
      <c r="BC57" s="881"/>
      <c r="BD57" s="881"/>
      <c r="BE57" s="881"/>
      <c r="BF57" s="881"/>
      <c r="BG57" s="881"/>
      <c r="BH57" s="881"/>
      <c r="BI57" s="881"/>
      <c r="BJ57" s="881"/>
      <c r="BK57" s="881"/>
      <c r="BL57" s="881"/>
      <c r="BM57" s="881"/>
      <c r="BN57" s="881"/>
      <c r="BO57" s="881"/>
      <c r="BP57" s="881"/>
      <c r="BQ57" s="881"/>
      <c r="BR57" s="881"/>
      <c r="BS57" s="881"/>
      <c r="BT57" s="881"/>
      <c r="BU57" s="881"/>
    </row>
    <row r="58" spans="1:73" x14ac:dyDescent="0.25">
      <c r="A58" s="881"/>
      <c r="B58" s="893">
        <f t="shared" si="6"/>
        <v>8</v>
      </c>
      <c r="C58" s="886">
        <v>1</v>
      </c>
      <c r="D58" s="886">
        <v>1</v>
      </c>
      <c r="E58" s="886">
        <v>1</v>
      </c>
      <c r="F58" s="886">
        <f>+F6</f>
        <v>0.95</v>
      </c>
      <c r="G58" s="886">
        <v>1</v>
      </c>
      <c r="H58" s="886">
        <v>1</v>
      </c>
      <c r="I58" s="886">
        <v>1</v>
      </c>
      <c r="J58" s="881"/>
      <c r="K58" s="899">
        <v>1.9389370275971565</v>
      </c>
      <c r="L58" s="900">
        <v>0</v>
      </c>
      <c r="M58" s="900">
        <v>1.9532336675216178E-3</v>
      </c>
      <c r="N58" s="900">
        <v>0.19679394037475487</v>
      </c>
      <c r="O58" s="900">
        <v>2.5148873085919069E-2</v>
      </c>
      <c r="P58" s="900">
        <v>2.113041182383766E-2</v>
      </c>
      <c r="Q58" s="900">
        <v>2.9544401990271528E-3</v>
      </c>
      <c r="R58" s="900">
        <v>1.9415742333874339E-3</v>
      </c>
      <c r="S58" s="900">
        <v>0.20583602739814111</v>
      </c>
      <c r="T58" s="900">
        <v>1.058372327657447</v>
      </c>
      <c r="U58" s="900">
        <v>3.7320310600916916E-2</v>
      </c>
      <c r="V58" s="900">
        <v>0.24780594636845787</v>
      </c>
      <c r="W58" s="900">
        <v>0.11763260552256523</v>
      </c>
      <c r="X58" s="900">
        <v>2.0669478976714461E-2</v>
      </c>
      <c r="Y58" s="900">
        <v>5.2843250235065703E-3</v>
      </c>
      <c r="Z58" s="1010"/>
      <c r="AA58" s="881"/>
      <c r="AB58" s="881"/>
      <c r="AC58" s="881"/>
      <c r="AD58" s="881"/>
      <c r="AE58" s="881"/>
      <c r="AF58" s="881"/>
      <c r="AG58" s="881"/>
      <c r="AH58" s="881"/>
      <c r="AI58" s="881"/>
      <c r="AJ58" s="881"/>
      <c r="AK58" s="881"/>
      <c r="AL58" s="881"/>
      <c r="AM58" s="881"/>
      <c r="AN58" s="881"/>
      <c r="AO58" s="881"/>
      <c r="AP58" s="881"/>
      <c r="AQ58" s="881"/>
      <c r="AR58" s="881"/>
      <c r="AS58" s="881"/>
      <c r="AT58" s="881"/>
      <c r="AU58" s="881"/>
      <c r="AV58" s="881"/>
      <c r="AW58" s="881"/>
      <c r="AX58" s="881"/>
      <c r="AY58" s="881"/>
      <c r="AZ58" s="881"/>
      <c r="BA58" s="881"/>
      <c r="BB58" s="881"/>
      <c r="BC58" s="881"/>
      <c r="BD58" s="881"/>
      <c r="BE58" s="881"/>
      <c r="BF58" s="881"/>
      <c r="BG58" s="881"/>
      <c r="BH58" s="881"/>
      <c r="BI58" s="881"/>
      <c r="BJ58" s="881"/>
      <c r="BK58" s="881"/>
      <c r="BL58" s="881"/>
      <c r="BM58" s="881"/>
      <c r="BN58" s="881"/>
      <c r="BO58" s="881"/>
      <c r="BP58" s="881"/>
      <c r="BQ58" s="881"/>
      <c r="BR58" s="881"/>
      <c r="BS58" s="881"/>
      <c r="BT58" s="881"/>
      <c r="BU58" s="881"/>
    </row>
    <row r="59" spans="1:73" x14ac:dyDescent="0.25">
      <c r="A59" s="881"/>
      <c r="B59" s="893">
        <f t="shared" si="6"/>
        <v>9</v>
      </c>
      <c r="C59" s="886">
        <v>1</v>
      </c>
      <c r="D59" s="886">
        <v>1</v>
      </c>
      <c r="E59" s="886">
        <v>1</v>
      </c>
      <c r="F59" s="886">
        <f>+G6</f>
        <v>1.05</v>
      </c>
      <c r="G59" s="886">
        <v>1</v>
      </c>
      <c r="H59" s="886">
        <v>1</v>
      </c>
      <c r="I59" s="886">
        <v>1</v>
      </c>
      <c r="J59" s="881"/>
      <c r="K59" s="899">
        <v>1.9389370275971565</v>
      </c>
      <c r="L59" s="900">
        <v>0</v>
      </c>
      <c r="M59" s="900">
        <v>1.9532336675216178E-3</v>
      </c>
      <c r="N59" s="900">
        <v>0.19679394037475487</v>
      </c>
      <c r="O59" s="900">
        <v>2.5148873085919069E-2</v>
      </c>
      <c r="P59" s="900">
        <v>2.113041182383766E-2</v>
      </c>
      <c r="Q59" s="900">
        <v>2.9544401990271528E-3</v>
      </c>
      <c r="R59" s="900">
        <v>1.9415742333874339E-3</v>
      </c>
      <c r="S59" s="900">
        <v>0.20583602739814111</v>
      </c>
      <c r="T59" s="900">
        <v>1.058372327657447</v>
      </c>
      <c r="U59" s="900">
        <v>3.7320310600916916E-2</v>
      </c>
      <c r="V59" s="900">
        <v>0.24780594636845787</v>
      </c>
      <c r="W59" s="900">
        <v>0.11763260552256523</v>
      </c>
      <c r="X59" s="900">
        <v>2.0669478976714461E-2</v>
      </c>
      <c r="Y59" s="900">
        <v>5.2843250235065703E-3</v>
      </c>
      <c r="Z59" s="1010"/>
      <c r="AA59" s="881"/>
      <c r="AB59" s="881"/>
      <c r="AC59" s="881"/>
      <c r="AD59" s="881"/>
      <c r="AE59" s="881"/>
      <c r="AF59" s="881"/>
      <c r="AG59" s="881"/>
      <c r="AH59" s="881"/>
      <c r="AI59" s="881"/>
      <c r="AJ59" s="881"/>
      <c r="AK59" s="881"/>
      <c r="AL59" s="881"/>
      <c r="AM59" s="881"/>
      <c r="AN59" s="881"/>
      <c r="AO59" s="881"/>
      <c r="AP59" s="881"/>
      <c r="AQ59" s="881"/>
      <c r="AR59" s="881"/>
      <c r="AS59" s="881"/>
      <c r="AT59" s="881"/>
      <c r="AU59" s="881"/>
      <c r="AV59" s="881"/>
      <c r="AW59" s="881"/>
      <c r="AX59" s="881"/>
      <c r="AY59" s="881"/>
      <c r="AZ59" s="881"/>
      <c r="BA59" s="881"/>
      <c r="BB59" s="881"/>
      <c r="BC59" s="881"/>
      <c r="BD59" s="881"/>
      <c r="BE59" s="881"/>
      <c r="BF59" s="881"/>
      <c r="BG59" s="881"/>
      <c r="BH59" s="881"/>
      <c r="BI59" s="881"/>
      <c r="BJ59" s="881"/>
      <c r="BK59" s="881"/>
      <c r="BL59" s="881"/>
      <c r="BM59" s="881"/>
      <c r="BN59" s="881"/>
      <c r="BO59" s="881"/>
      <c r="BP59" s="881"/>
      <c r="BQ59" s="881"/>
      <c r="BR59" s="881"/>
      <c r="BS59" s="881"/>
      <c r="BT59" s="881"/>
      <c r="BU59" s="881"/>
    </row>
    <row r="60" spans="1:73" x14ac:dyDescent="0.25">
      <c r="A60" s="881"/>
      <c r="B60" s="901">
        <f t="shared" si="6"/>
        <v>10</v>
      </c>
      <c r="C60" s="902">
        <v>1</v>
      </c>
      <c r="D60" s="902">
        <v>1</v>
      </c>
      <c r="E60" s="902">
        <v>1</v>
      </c>
      <c r="F60" s="902">
        <v>1</v>
      </c>
      <c r="G60" s="902">
        <f>+F7</f>
        <v>0.95</v>
      </c>
      <c r="H60" s="902">
        <v>1</v>
      </c>
      <c r="I60" s="902">
        <v>1</v>
      </c>
      <c r="J60" s="881"/>
      <c r="K60" s="899">
        <v>1.9389370275971565</v>
      </c>
      <c r="L60" s="900">
        <v>0</v>
      </c>
      <c r="M60" s="900">
        <v>1.9532336675216178E-3</v>
      </c>
      <c r="N60" s="900">
        <v>0.19679394037475487</v>
      </c>
      <c r="O60" s="900">
        <v>2.5148873085919069E-2</v>
      </c>
      <c r="P60" s="900">
        <v>2.113041182383766E-2</v>
      </c>
      <c r="Q60" s="900">
        <v>2.9544401990271528E-3</v>
      </c>
      <c r="R60" s="900">
        <v>1.9415742333874339E-3</v>
      </c>
      <c r="S60" s="900">
        <v>0.20583602739814111</v>
      </c>
      <c r="T60" s="900">
        <v>1.058372327657447</v>
      </c>
      <c r="U60" s="900">
        <v>3.7320310600916916E-2</v>
      </c>
      <c r="V60" s="900">
        <v>0.24780594636845787</v>
      </c>
      <c r="W60" s="900">
        <v>0.11763260552256523</v>
      </c>
      <c r="X60" s="900">
        <v>2.0669478976714461E-2</v>
      </c>
      <c r="Y60" s="900">
        <v>5.2843250235065703E-3</v>
      </c>
      <c r="Z60" s="1010"/>
      <c r="AA60" s="881"/>
      <c r="AB60" s="881"/>
      <c r="AC60" s="881"/>
      <c r="AD60" s="881"/>
      <c r="AE60" s="881"/>
      <c r="AF60" s="881"/>
      <c r="AG60" s="881"/>
      <c r="AH60" s="881"/>
      <c r="AI60" s="881"/>
      <c r="AJ60" s="881"/>
      <c r="AK60" s="881"/>
      <c r="AL60" s="881"/>
      <c r="AM60" s="881"/>
      <c r="AN60" s="881"/>
      <c r="AO60" s="881"/>
      <c r="AP60" s="881"/>
      <c r="AQ60" s="881"/>
      <c r="AR60" s="881"/>
      <c r="AS60" s="881"/>
      <c r="AT60" s="881"/>
      <c r="AU60" s="881"/>
      <c r="AV60" s="881"/>
      <c r="AW60" s="881"/>
      <c r="AX60" s="881"/>
      <c r="AY60" s="881"/>
      <c r="AZ60" s="881"/>
      <c r="BA60" s="881"/>
      <c r="BB60" s="881"/>
      <c r="BC60" s="881"/>
      <c r="BD60" s="881"/>
      <c r="BE60" s="881"/>
      <c r="BF60" s="881"/>
      <c r="BG60" s="881"/>
      <c r="BH60" s="881"/>
      <c r="BI60" s="881"/>
      <c r="BJ60" s="881"/>
      <c r="BK60" s="881"/>
      <c r="BL60" s="881"/>
      <c r="BM60" s="881"/>
      <c r="BN60" s="881"/>
      <c r="BO60" s="881"/>
      <c r="BP60" s="881"/>
      <c r="BQ60" s="881"/>
      <c r="BR60" s="881"/>
      <c r="BS60" s="881"/>
      <c r="BT60" s="881"/>
      <c r="BU60" s="881"/>
    </row>
    <row r="61" spans="1:73" x14ac:dyDescent="0.25">
      <c r="A61" s="881"/>
      <c r="B61" s="901">
        <f t="shared" si="6"/>
        <v>11</v>
      </c>
      <c r="C61" s="902">
        <v>1</v>
      </c>
      <c r="D61" s="902">
        <v>1</v>
      </c>
      <c r="E61" s="902">
        <v>1</v>
      </c>
      <c r="F61" s="902">
        <v>1</v>
      </c>
      <c r="G61" s="902">
        <f>+G6</f>
        <v>1.05</v>
      </c>
      <c r="H61" s="902">
        <v>1</v>
      </c>
      <c r="I61" s="902">
        <v>1</v>
      </c>
      <c r="J61" s="881"/>
      <c r="K61" s="899">
        <v>1.9389370275971565</v>
      </c>
      <c r="L61" s="900">
        <v>0</v>
      </c>
      <c r="M61" s="900">
        <v>1.9532336675216178E-3</v>
      </c>
      <c r="N61" s="900">
        <v>0.19679394037475487</v>
      </c>
      <c r="O61" s="900">
        <v>2.5148873085919069E-2</v>
      </c>
      <c r="P61" s="900">
        <v>2.113041182383766E-2</v>
      </c>
      <c r="Q61" s="900">
        <v>2.9544401990271528E-3</v>
      </c>
      <c r="R61" s="900">
        <v>1.9415742333874339E-3</v>
      </c>
      <c r="S61" s="900">
        <v>0.20583602739814111</v>
      </c>
      <c r="T61" s="900">
        <v>1.058372327657447</v>
      </c>
      <c r="U61" s="900">
        <v>3.7320310600916916E-2</v>
      </c>
      <c r="V61" s="900">
        <v>0.24780594636845787</v>
      </c>
      <c r="W61" s="900">
        <v>0.11763260552256523</v>
      </c>
      <c r="X61" s="900">
        <v>2.0669478976714461E-2</v>
      </c>
      <c r="Y61" s="900">
        <v>5.2843250235065703E-3</v>
      </c>
      <c r="Z61" s="1010"/>
      <c r="AA61" s="881"/>
      <c r="AB61" s="881"/>
      <c r="AC61" s="881"/>
      <c r="AD61" s="881"/>
      <c r="AE61" s="881"/>
      <c r="AF61" s="881"/>
      <c r="AG61" s="881"/>
      <c r="AH61" s="881"/>
      <c r="AI61" s="881"/>
      <c r="AJ61" s="881"/>
      <c r="AK61" s="881"/>
      <c r="AL61" s="881"/>
      <c r="AM61" s="881"/>
      <c r="AN61" s="881"/>
      <c r="AO61" s="881"/>
      <c r="AP61" s="881"/>
      <c r="AQ61" s="881"/>
      <c r="AR61" s="881"/>
      <c r="AS61" s="881"/>
      <c r="AT61" s="881"/>
      <c r="AU61" s="881"/>
      <c r="AV61" s="881"/>
      <c r="AW61" s="881"/>
      <c r="AX61" s="881"/>
      <c r="AY61" s="881"/>
      <c r="AZ61" s="881"/>
      <c r="BA61" s="881"/>
      <c r="BB61" s="881"/>
      <c r="BC61" s="881"/>
      <c r="BD61" s="881"/>
      <c r="BE61" s="881"/>
      <c r="BF61" s="881"/>
      <c r="BG61" s="881"/>
      <c r="BH61" s="881"/>
      <c r="BI61" s="881"/>
      <c r="BJ61" s="881"/>
      <c r="BK61" s="881"/>
      <c r="BL61" s="881"/>
      <c r="BM61" s="881"/>
      <c r="BN61" s="881"/>
      <c r="BO61" s="881"/>
      <c r="BP61" s="881"/>
      <c r="BQ61" s="881"/>
      <c r="BR61" s="881"/>
      <c r="BS61" s="881"/>
      <c r="BT61" s="881"/>
      <c r="BU61" s="881"/>
    </row>
    <row r="62" spans="1:73" x14ac:dyDescent="0.25">
      <c r="A62" s="881"/>
      <c r="B62" s="893">
        <f t="shared" si="6"/>
        <v>12</v>
      </c>
      <c r="C62" s="886">
        <v>1</v>
      </c>
      <c r="D62" s="886">
        <v>1</v>
      </c>
      <c r="E62" s="886">
        <v>1</v>
      </c>
      <c r="F62" s="886">
        <v>1</v>
      </c>
      <c r="G62" s="886">
        <v>1</v>
      </c>
      <c r="H62" s="886">
        <f>+F8</f>
        <v>0.95</v>
      </c>
      <c r="I62" s="886">
        <v>1</v>
      </c>
      <c r="J62" s="881"/>
      <c r="K62" s="899">
        <v>1.9173021997116375</v>
      </c>
      <c r="L62" s="900">
        <v>0</v>
      </c>
      <c r="M62" s="900">
        <v>1.8555719841455364E-3</v>
      </c>
      <c r="N62" s="900">
        <v>0.18689515455203651</v>
      </c>
      <c r="O62" s="900">
        <v>2.5148873085919069E-2</v>
      </c>
      <c r="P62" s="900">
        <v>2.1061353690481666E-2</v>
      </c>
      <c r="Q62" s="900">
        <v>2.9544401990271528E-3</v>
      </c>
      <c r="R62" s="900">
        <v>1.8439125500113519E-3</v>
      </c>
      <c r="S62" s="900">
        <v>0.20077604825678791</v>
      </c>
      <c r="T62" s="900">
        <v>1.058372327657447</v>
      </c>
      <c r="U62" s="900">
        <v>3.7320310600916916E-2</v>
      </c>
      <c r="V62" s="900">
        <v>0.24780594636845787</v>
      </c>
      <c r="W62" s="900">
        <v>0.11171565520580873</v>
      </c>
      <c r="X62" s="900">
        <v>2.0245227413365131E-2</v>
      </c>
      <c r="Y62" s="900">
        <v>5.0185221155221527E-3</v>
      </c>
      <c r="Z62" s="1010"/>
      <c r="AA62" s="881"/>
      <c r="AB62" s="881"/>
      <c r="AC62" s="881"/>
      <c r="AD62" s="881"/>
      <c r="AE62" s="881"/>
      <c r="AF62" s="881"/>
      <c r="AG62" s="881"/>
      <c r="AH62" s="881"/>
      <c r="AI62" s="881"/>
      <c r="AJ62" s="881"/>
      <c r="AK62" s="881"/>
      <c r="AL62" s="881"/>
      <c r="AM62" s="881"/>
      <c r="AN62" s="881"/>
      <c r="AO62" s="881"/>
      <c r="AP62" s="881"/>
      <c r="AQ62" s="881"/>
      <c r="AR62" s="881"/>
      <c r="AS62" s="881"/>
      <c r="AT62" s="881"/>
      <c r="AU62" s="881"/>
      <c r="AV62" s="881"/>
      <c r="AW62" s="881"/>
      <c r="AX62" s="881"/>
      <c r="AY62" s="881"/>
      <c r="AZ62" s="881"/>
      <c r="BA62" s="881"/>
      <c r="BB62" s="881"/>
      <c r="BC62" s="881"/>
      <c r="BD62" s="881"/>
      <c r="BE62" s="881"/>
      <c r="BF62" s="881"/>
      <c r="BG62" s="881"/>
      <c r="BH62" s="881"/>
      <c r="BI62" s="881"/>
      <c r="BJ62" s="881"/>
      <c r="BK62" s="881"/>
      <c r="BL62" s="881"/>
      <c r="BM62" s="881"/>
      <c r="BN62" s="881"/>
      <c r="BO62" s="881"/>
      <c r="BP62" s="881"/>
      <c r="BQ62" s="881"/>
      <c r="BR62" s="881"/>
      <c r="BS62" s="881"/>
      <c r="BT62" s="881"/>
      <c r="BU62" s="881"/>
    </row>
    <row r="63" spans="1:73" x14ac:dyDescent="0.25">
      <c r="A63" s="881"/>
      <c r="B63" s="893">
        <f t="shared" si="6"/>
        <v>13</v>
      </c>
      <c r="C63" s="886">
        <v>1</v>
      </c>
      <c r="D63" s="886">
        <v>1</v>
      </c>
      <c r="E63" s="886">
        <v>1</v>
      </c>
      <c r="F63" s="886">
        <v>1</v>
      </c>
      <c r="G63" s="886">
        <v>1</v>
      </c>
      <c r="H63" s="886">
        <f>+G8</f>
        <v>1.05</v>
      </c>
      <c r="I63" s="886">
        <v>1</v>
      </c>
      <c r="J63" s="881"/>
      <c r="K63" s="899">
        <v>1.960571855482673</v>
      </c>
      <c r="L63" s="900">
        <v>0</v>
      </c>
      <c r="M63" s="900">
        <v>2.0508953508976985E-3</v>
      </c>
      <c r="N63" s="900">
        <v>0.20669272619747317</v>
      </c>
      <c r="O63" s="900">
        <v>2.5148873085919069E-2</v>
      </c>
      <c r="P63" s="900">
        <v>2.1199469957193642E-2</v>
      </c>
      <c r="Q63" s="900">
        <v>2.9544401990271528E-3</v>
      </c>
      <c r="R63" s="900">
        <v>2.039235916763514E-3</v>
      </c>
      <c r="S63" s="900">
        <v>0.21089600653949414</v>
      </c>
      <c r="T63" s="900">
        <v>1.058372327657447</v>
      </c>
      <c r="U63" s="900">
        <v>3.7320310600916916E-2</v>
      </c>
      <c r="V63" s="900">
        <v>0.24780594636845787</v>
      </c>
      <c r="W63" s="900">
        <v>0.12354955583932185</v>
      </c>
      <c r="X63" s="900">
        <v>2.1093730540063891E-2</v>
      </c>
      <c r="Y63" s="900">
        <v>5.5501279314909913E-3</v>
      </c>
      <c r="Z63" s="1010"/>
      <c r="AA63" s="881"/>
      <c r="AB63" s="881"/>
      <c r="AC63" s="881"/>
      <c r="AD63" s="881"/>
      <c r="AE63" s="881"/>
      <c r="AF63" s="881"/>
      <c r="AG63" s="881"/>
      <c r="AH63" s="881"/>
      <c r="AI63" s="881"/>
      <c r="AJ63" s="881"/>
      <c r="AK63" s="881"/>
      <c r="AL63" s="881"/>
      <c r="AM63" s="881"/>
      <c r="AN63" s="881"/>
      <c r="AO63" s="881"/>
      <c r="AP63" s="881"/>
      <c r="AQ63" s="881"/>
      <c r="AR63" s="881"/>
      <c r="AS63" s="881"/>
      <c r="AT63" s="881"/>
      <c r="AU63" s="881"/>
      <c r="AV63" s="881"/>
      <c r="AW63" s="881"/>
      <c r="AX63" s="881"/>
      <c r="AY63" s="881"/>
      <c r="AZ63" s="881"/>
      <c r="BA63" s="881"/>
      <c r="BB63" s="881"/>
      <c r="BC63" s="881"/>
      <c r="BD63" s="881"/>
      <c r="BE63" s="881"/>
      <c r="BF63" s="881"/>
      <c r="BG63" s="881"/>
      <c r="BH63" s="881"/>
      <c r="BI63" s="881"/>
      <c r="BJ63" s="881"/>
      <c r="BK63" s="881"/>
      <c r="BL63" s="881"/>
      <c r="BM63" s="881"/>
      <c r="BN63" s="881"/>
      <c r="BO63" s="881"/>
      <c r="BP63" s="881"/>
      <c r="BQ63" s="881"/>
      <c r="BR63" s="881"/>
      <c r="BS63" s="881"/>
      <c r="BT63" s="881"/>
      <c r="BU63" s="881"/>
    </row>
    <row r="64" spans="1:73" x14ac:dyDescent="0.25">
      <c r="A64" s="881"/>
      <c r="B64" s="901">
        <f t="shared" si="6"/>
        <v>14</v>
      </c>
      <c r="C64" s="886">
        <v>1</v>
      </c>
      <c r="D64" s="886">
        <v>1</v>
      </c>
      <c r="E64" s="886">
        <v>1</v>
      </c>
      <c r="F64" s="886">
        <v>1</v>
      </c>
      <c r="G64" s="886">
        <v>1</v>
      </c>
      <c r="H64" s="886">
        <v>1</v>
      </c>
      <c r="I64" s="886">
        <f>+F9</f>
        <v>0.95</v>
      </c>
      <c r="J64" s="881"/>
      <c r="K64" s="899">
        <v>1.9284560778762152</v>
      </c>
      <c r="L64" s="900">
        <v>0</v>
      </c>
      <c r="M64" s="900">
        <v>1.9532336675216178E-3</v>
      </c>
      <c r="N64" s="900">
        <v>0.19679394037475487</v>
      </c>
      <c r="O64" s="900">
        <v>2.5148873085919069E-2</v>
      </c>
      <c r="P64" s="900">
        <v>2.0989950258360455E-2</v>
      </c>
      <c r="Q64" s="900">
        <v>2.9544401990271528E-3</v>
      </c>
      <c r="R64" s="900">
        <v>1.9415742333874339E-3</v>
      </c>
      <c r="S64" s="900">
        <v>0.19554422602823404</v>
      </c>
      <c r="T64" s="900">
        <v>1.058372327657447</v>
      </c>
      <c r="U64" s="900">
        <v>3.7320310600916916E-2</v>
      </c>
      <c r="V64" s="900">
        <v>0.24780594636845787</v>
      </c>
      <c r="W64" s="900">
        <v>0.11763260552256523</v>
      </c>
      <c r="X64" s="900">
        <v>2.0620792191158525E-2</v>
      </c>
      <c r="Y64" s="900">
        <v>5.2843250235065703E-3</v>
      </c>
      <c r="Z64" s="1010"/>
      <c r="AA64" s="881"/>
      <c r="AB64" s="881"/>
      <c r="AC64" s="881"/>
      <c r="AD64" s="881"/>
      <c r="AE64" s="881"/>
      <c r="AF64" s="881"/>
      <c r="AG64" s="881"/>
      <c r="AH64" s="881"/>
      <c r="AI64" s="881"/>
      <c r="AJ64" s="881"/>
      <c r="AK64" s="881"/>
      <c r="AL64" s="881"/>
      <c r="AM64" s="881"/>
      <c r="AN64" s="881"/>
      <c r="AO64" s="881"/>
      <c r="AP64" s="881"/>
      <c r="AQ64" s="881"/>
      <c r="AR64" s="881"/>
      <c r="AS64" s="881"/>
      <c r="AT64" s="881"/>
      <c r="AU64" s="881"/>
      <c r="AV64" s="881"/>
      <c r="AW64" s="881"/>
      <c r="AX64" s="881"/>
      <c r="AY64" s="881"/>
      <c r="AZ64" s="881"/>
      <c r="BA64" s="881"/>
      <c r="BB64" s="881"/>
      <c r="BC64" s="881"/>
      <c r="BD64" s="881"/>
      <c r="BE64" s="881"/>
      <c r="BF64" s="881"/>
      <c r="BG64" s="881"/>
      <c r="BH64" s="881"/>
      <c r="BI64" s="881"/>
      <c r="BJ64" s="881"/>
      <c r="BK64" s="881"/>
      <c r="BL64" s="881"/>
      <c r="BM64" s="881"/>
      <c r="BN64" s="881"/>
      <c r="BO64" s="881"/>
      <c r="BP64" s="881"/>
      <c r="BQ64" s="881"/>
      <c r="BR64" s="881"/>
      <c r="BS64" s="881"/>
      <c r="BT64" s="881"/>
      <c r="BU64" s="881"/>
    </row>
    <row r="65" spans="1:73" ht="13.8" thickBot="1" x14ac:dyDescent="0.3">
      <c r="A65" s="881"/>
      <c r="B65" s="999">
        <f t="shared" si="6"/>
        <v>15</v>
      </c>
      <c r="C65" s="1000">
        <v>1</v>
      </c>
      <c r="D65" s="1000">
        <v>1</v>
      </c>
      <c r="E65" s="1000">
        <v>1</v>
      </c>
      <c r="F65" s="1000">
        <v>1</v>
      </c>
      <c r="G65" s="1000">
        <v>1</v>
      </c>
      <c r="H65" s="1000">
        <v>1</v>
      </c>
      <c r="I65" s="1000">
        <f>+G9</f>
        <v>1.05</v>
      </c>
      <c r="J65" s="1001"/>
      <c r="K65" s="1002">
        <v>1.949417977318096</v>
      </c>
      <c r="L65" s="1003">
        <v>0</v>
      </c>
      <c r="M65" s="1003">
        <v>1.9532336675216178E-3</v>
      </c>
      <c r="N65" s="1003">
        <v>0.19679394037475487</v>
      </c>
      <c r="O65" s="1003">
        <v>2.5148873085919069E-2</v>
      </c>
      <c r="P65" s="1003">
        <v>2.127087338931484E-2</v>
      </c>
      <c r="Q65" s="1003">
        <v>2.9544401990271528E-3</v>
      </c>
      <c r="R65" s="1003">
        <v>1.9415742333874339E-3</v>
      </c>
      <c r="S65" s="1003">
        <v>0.2161278287680482</v>
      </c>
      <c r="T65" s="1003">
        <v>1.058372327657447</v>
      </c>
      <c r="U65" s="1003">
        <v>3.7320310600916916E-2</v>
      </c>
      <c r="V65" s="1003">
        <v>0.24780594636845787</v>
      </c>
      <c r="W65" s="1003">
        <v>0.11763260552256523</v>
      </c>
      <c r="X65" s="1003">
        <v>2.0718165762270275E-2</v>
      </c>
      <c r="Y65" s="1003">
        <v>5.2843250235065703E-3</v>
      </c>
      <c r="Z65" s="1010"/>
      <c r="AA65" s="881"/>
      <c r="AB65" s="881"/>
      <c r="AC65" s="881"/>
      <c r="AD65" s="881"/>
      <c r="AE65" s="881"/>
      <c r="AF65" s="881"/>
      <c r="AG65" s="881"/>
      <c r="AH65" s="881"/>
      <c r="AI65" s="881"/>
      <c r="AJ65" s="881"/>
      <c r="AK65" s="881"/>
      <c r="AL65" s="881"/>
      <c r="AM65" s="881"/>
      <c r="AN65" s="881"/>
      <c r="AO65" s="881"/>
      <c r="AP65" s="881"/>
      <c r="AQ65" s="881"/>
      <c r="AR65" s="881"/>
      <c r="AS65" s="881"/>
      <c r="AT65" s="881"/>
      <c r="AU65" s="881"/>
      <c r="AV65" s="881"/>
      <c r="AW65" s="881"/>
      <c r="AX65" s="881"/>
      <c r="AY65" s="881"/>
      <c r="AZ65" s="881"/>
      <c r="BA65" s="881"/>
      <c r="BB65" s="881"/>
      <c r="BC65" s="881"/>
      <c r="BD65" s="881"/>
      <c r="BE65" s="881"/>
      <c r="BF65" s="881"/>
      <c r="BG65" s="881"/>
      <c r="BH65" s="881"/>
      <c r="BI65" s="881"/>
      <c r="BJ65" s="881"/>
      <c r="BK65" s="881"/>
      <c r="BL65" s="881"/>
      <c r="BM65" s="881"/>
      <c r="BN65" s="881"/>
      <c r="BO65" s="881"/>
      <c r="BP65" s="881"/>
      <c r="BQ65" s="881"/>
      <c r="BR65" s="881"/>
      <c r="BS65" s="881"/>
      <c r="BT65" s="881"/>
      <c r="BU65" s="881"/>
    </row>
    <row r="66" spans="1:73" ht="13.8" thickTop="1" x14ac:dyDescent="0.25">
      <c r="A66" s="881"/>
      <c r="B66" s="995">
        <f t="shared" si="6"/>
        <v>16</v>
      </c>
      <c r="C66" s="996">
        <f>(C$72=1)*$F$3
+(C$72=2)
+(C$72=3)
+(C$72=4)
+(C$72=5)</f>
        <v>1.05</v>
      </c>
      <c r="D66" s="996">
        <v>1</v>
      </c>
      <c r="E66" s="996">
        <v>1</v>
      </c>
      <c r="F66" s="996">
        <f>(F$72=1)*$F$6
+(F$72=2)
+(F$72=3)
+(F$72=4)
+(F$72=5)</f>
        <v>1</v>
      </c>
      <c r="G66" s="996">
        <f>(G$72=1)*$F$7
+(G$72=2)
+(G$72=3)
+(G$72=4)
+(G$72=5)</f>
        <v>1</v>
      </c>
      <c r="H66" s="996">
        <f>(H$72=1)*$F$8
+(H$72=2)
+(H$72=3)
+(H$72=4)
+(H$72=5)</f>
        <v>1</v>
      </c>
      <c r="I66" s="996">
        <f>(I$72=1)*$F$9
+(I$72=2)
+(I$72=3)
+(I$72=4)
+(I$72=5)</f>
        <v>1</v>
      </c>
      <c r="J66" s="881"/>
      <c r="K66" s="997">
        <v>1.9030958301354877</v>
      </c>
      <c r="L66" s="998">
        <v>0</v>
      </c>
      <c r="M66" s="998">
        <v>1.8602225404967775E-3</v>
      </c>
      <c r="N66" s="998">
        <v>0.18742280035690928</v>
      </c>
      <c r="O66" s="998">
        <v>2.3951307700875293E-2</v>
      </c>
      <c r="P66" s="998">
        <v>2.0880556503119579E-2</v>
      </c>
      <c r="Q66" s="998">
        <v>2.8137525705020489E-3</v>
      </c>
      <c r="R66" s="998">
        <v>1.8491183175118405E-3</v>
      </c>
      <c r="S66" s="998">
        <v>0.1960343118077533</v>
      </c>
      <c r="T66" s="998">
        <v>1.0583723276574468</v>
      </c>
      <c r="U66" s="998">
        <v>3.5543152953254178E-2</v>
      </c>
      <c r="V66" s="998">
        <v>0.2410775956815239</v>
      </c>
      <c r="W66" s="998">
        <v>0.11203105287863349</v>
      </c>
      <c r="X66" s="998">
        <v>1.9947385749875351E-2</v>
      </c>
      <c r="Y66" s="998">
        <v>5.0326904985776837E-3</v>
      </c>
      <c r="Z66" s="1010"/>
      <c r="AA66" s="881"/>
      <c r="AB66" s="881"/>
      <c r="AC66" s="881"/>
      <c r="AD66" s="881"/>
      <c r="AE66" s="881"/>
      <c r="AF66" s="881"/>
      <c r="AG66" s="881"/>
      <c r="AH66" s="881"/>
      <c r="AI66" s="881"/>
      <c r="AJ66" s="881"/>
      <c r="AK66" s="881"/>
      <c r="AL66" s="881"/>
      <c r="AM66" s="881"/>
      <c r="AN66" s="881"/>
      <c r="AO66" s="881"/>
      <c r="AP66" s="881"/>
      <c r="AQ66" s="881"/>
      <c r="AR66" s="881"/>
      <c r="AS66" s="881"/>
      <c r="AT66" s="881"/>
      <c r="AU66" s="881"/>
      <c r="AV66" s="881"/>
      <c r="AW66" s="881"/>
      <c r="AX66" s="881"/>
      <c r="AY66" s="881"/>
      <c r="AZ66" s="881"/>
      <c r="BA66" s="881"/>
      <c r="BB66" s="881"/>
      <c r="BC66" s="881"/>
      <c r="BD66" s="881"/>
      <c r="BE66" s="881"/>
      <c r="BF66" s="881"/>
      <c r="BG66" s="881"/>
      <c r="BH66" s="881"/>
      <c r="BI66" s="881"/>
      <c r="BJ66" s="881"/>
      <c r="BK66" s="881"/>
      <c r="BL66" s="881"/>
      <c r="BM66" s="881"/>
      <c r="BN66" s="881"/>
      <c r="BO66" s="881"/>
      <c r="BP66" s="881"/>
      <c r="BQ66" s="881"/>
      <c r="BR66" s="881"/>
      <c r="BS66" s="881"/>
      <c r="BT66" s="881"/>
      <c r="BU66" s="881"/>
    </row>
    <row r="67" spans="1:73" x14ac:dyDescent="0.25">
      <c r="A67" s="881"/>
      <c r="B67" s="893">
        <f t="shared" si="6"/>
        <v>17</v>
      </c>
      <c r="C67" s="996">
        <f>(C$72=1)*$F$3
+(C$72=2)*$F$3
+(C$72=3)
+(C$72=4)
+(C$72=5)</f>
        <v>1.05</v>
      </c>
      <c r="D67" s="886">
        <v>1</v>
      </c>
      <c r="E67" s="886">
        <v>1</v>
      </c>
      <c r="F67" s="996">
        <f>(F$72=1)*$F$6
+(F$72=2)*$F$6
+(F$72=3)
+(F$72=4)
+(F$72=5)</f>
        <v>1</v>
      </c>
      <c r="G67" s="996">
        <f>(G$72=1)*$F$7
+(G$72=2)*$F$7
+(G$72=3)
+(G$72=4)
+(G$72=5)</f>
        <v>1</v>
      </c>
      <c r="H67" s="996">
        <f>(H$72=1)*$F$8
+(H$72=2)*$F$8
+(H$72=3)
+(H$72=4)
+(H$72=5)</f>
        <v>0.95</v>
      </c>
      <c r="I67" s="996">
        <f>(I$72=1)*$F$9
+(I$72=2)*$F$9
+(I$72=3)
+(I$72=4)
+(I$72=5)</f>
        <v>1</v>
      </c>
      <c r="J67" s="881"/>
      <c r="K67" s="899">
        <v>1.8824912321492788</v>
      </c>
      <c r="L67" s="900">
        <v>0</v>
      </c>
      <c r="M67" s="900">
        <v>1.7672114134719384E-3</v>
      </c>
      <c r="N67" s="900">
        <v>0.17799538528765374</v>
      </c>
      <c r="O67" s="900">
        <v>2.3951307700875293E-2</v>
      </c>
      <c r="P67" s="900">
        <v>2.0814786852304347E-2</v>
      </c>
      <c r="Q67" s="900">
        <v>2.8137525705020489E-3</v>
      </c>
      <c r="R67" s="900">
        <v>1.7561071904870005E-3</v>
      </c>
      <c r="S67" s="900">
        <v>0.19121528405408361</v>
      </c>
      <c r="T67" s="900">
        <v>1.0583723276574468</v>
      </c>
      <c r="U67" s="900">
        <v>3.5543152953254178E-2</v>
      </c>
      <c r="V67" s="900">
        <v>0.2410775956815239</v>
      </c>
      <c r="W67" s="900">
        <v>0.10639586210077016</v>
      </c>
      <c r="X67" s="900">
        <v>1.9543336641923714E-2</v>
      </c>
      <c r="Y67" s="900">
        <v>4.7795448719258563E-3</v>
      </c>
      <c r="Z67" s="1010"/>
      <c r="AA67" s="881"/>
      <c r="AB67" s="881"/>
      <c r="AC67" s="881"/>
      <c r="AD67" s="881"/>
      <c r="AE67" s="881"/>
      <c r="AF67" s="881"/>
      <c r="AG67" s="881"/>
      <c r="AH67" s="881"/>
      <c r="AI67" s="881"/>
      <c r="AJ67" s="881"/>
      <c r="AK67" s="881"/>
      <c r="AL67" s="881"/>
      <c r="AM67" s="881"/>
      <c r="AN67" s="881"/>
      <c r="AO67" s="881"/>
      <c r="AP67" s="881"/>
      <c r="AQ67" s="881"/>
      <c r="AR67" s="881"/>
      <c r="AS67" s="881"/>
      <c r="AT67" s="881"/>
      <c r="AU67" s="881"/>
      <c r="AV67" s="881"/>
      <c r="AW67" s="881"/>
      <c r="AX67" s="881"/>
      <c r="AY67" s="881"/>
      <c r="AZ67" s="881"/>
      <c r="BA67" s="881"/>
      <c r="BB67" s="881"/>
      <c r="BC67" s="881"/>
      <c r="BD67" s="881"/>
      <c r="BE67" s="881"/>
      <c r="BF67" s="881"/>
      <c r="BG67" s="881"/>
      <c r="BH67" s="881"/>
      <c r="BI67" s="881"/>
      <c r="BJ67" s="881"/>
      <c r="BK67" s="881"/>
      <c r="BL67" s="881"/>
      <c r="BM67" s="881"/>
      <c r="BN67" s="881"/>
      <c r="BO67" s="881"/>
      <c r="BP67" s="881"/>
      <c r="BQ67" s="881"/>
      <c r="BR67" s="881"/>
      <c r="BS67" s="881"/>
      <c r="BT67" s="881"/>
      <c r="BU67" s="881"/>
    </row>
    <row r="68" spans="1:73" x14ac:dyDescent="0.25">
      <c r="A68" s="881"/>
      <c r="B68" s="901">
        <f t="shared" si="6"/>
        <v>18</v>
      </c>
      <c r="C68" s="996">
        <f>(C$72=1)*$F$3
+(C$72=2)*$F$3
+(C$72=3)*$F$3
+(C$72=4)
+(C$72=5)</f>
        <v>1.05</v>
      </c>
      <c r="D68" s="886">
        <v>1</v>
      </c>
      <c r="E68" s="886">
        <v>1</v>
      </c>
      <c r="F68" s="996">
        <f>(F$72=1)*$F$6
+(F$72=2)*$F$6
+(F$72=3)*$F$6
+(F$72=4)
+(F$72=5)</f>
        <v>1</v>
      </c>
      <c r="G68" s="996">
        <f>(G$72=1)*$F$7
+(G$72=2)*$F$7
+(G$72=3)*$F$7
+(G$72=4)
+(G$72=5)</f>
        <v>1</v>
      </c>
      <c r="H68" s="996">
        <f>(H$72=1)*$F$8
+(H$72=2)*$F$8
+(H$72=3)*$F$8
+(H$72=4)
+(H$72=5)</f>
        <v>0.95</v>
      </c>
      <c r="I68" s="996">
        <f>(I$72=1)*$F$9
+(I$72=2)*$F$9
+(I$72=3)*$F$9
+(I$72=4)
+(I$72=5)</f>
        <v>0.95</v>
      </c>
      <c r="J68" s="881"/>
      <c r="K68" s="899">
        <v>1.8727547549961832</v>
      </c>
      <c r="L68" s="900">
        <v>0</v>
      </c>
      <c r="M68" s="900">
        <v>1.7672114134719384E-3</v>
      </c>
      <c r="N68" s="900">
        <v>0.17799538528765374</v>
      </c>
      <c r="O68" s="900">
        <v>2.3951307700875293E-2</v>
      </c>
      <c r="P68" s="900">
        <v>2.0684302415343025E-2</v>
      </c>
      <c r="Q68" s="900">
        <v>2.8137525705020489E-3</v>
      </c>
      <c r="R68" s="900">
        <v>1.7561071904870005E-3</v>
      </c>
      <c r="S68" s="900">
        <v>0.18165451985137954</v>
      </c>
      <c r="T68" s="900">
        <v>1.0583723276574468</v>
      </c>
      <c r="U68" s="900">
        <v>3.5543152953254178E-2</v>
      </c>
      <c r="V68" s="900">
        <v>0.2410775956815239</v>
      </c>
      <c r="W68" s="900">
        <v>0.10639586210077016</v>
      </c>
      <c r="X68" s="900">
        <v>1.9498108128492623E-2</v>
      </c>
      <c r="Y68" s="900">
        <v>4.7795448719258563E-3</v>
      </c>
      <c r="Z68" s="1010"/>
      <c r="AA68" s="881"/>
      <c r="AB68" s="881"/>
      <c r="AC68" s="881"/>
      <c r="AD68" s="881"/>
      <c r="AE68" s="881"/>
      <c r="AF68" s="881"/>
      <c r="AG68" s="881"/>
      <c r="AH68" s="881"/>
      <c r="AI68" s="881"/>
      <c r="AJ68" s="881"/>
      <c r="AK68" s="881"/>
      <c r="AL68" s="881"/>
      <c r="AM68" s="881"/>
      <c r="AN68" s="881"/>
      <c r="AO68" s="881"/>
      <c r="AP68" s="881"/>
      <c r="AQ68" s="881"/>
      <c r="AR68" s="881"/>
      <c r="AS68" s="881"/>
      <c r="AT68" s="881"/>
      <c r="AU68" s="881"/>
      <c r="AV68" s="881"/>
      <c r="AW68" s="881"/>
      <c r="AX68" s="881"/>
      <c r="AY68" s="881"/>
      <c r="AZ68" s="881"/>
      <c r="BA68" s="881"/>
      <c r="BB68" s="881"/>
      <c r="BC68" s="881"/>
      <c r="BD68" s="881"/>
      <c r="BE68" s="881"/>
      <c r="BF68" s="881"/>
      <c r="BG68" s="881"/>
      <c r="BH68" s="881"/>
      <c r="BI68" s="881"/>
      <c r="BJ68" s="881"/>
      <c r="BK68" s="881"/>
      <c r="BL68" s="881"/>
      <c r="BM68" s="881"/>
      <c r="BN68" s="881"/>
      <c r="BO68" s="881"/>
      <c r="BP68" s="881"/>
      <c r="BQ68" s="881"/>
      <c r="BR68" s="881"/>
      <c r="BS68" s="881"/>
      <c r="BT68" s="881"/>
      <c r="BU68" s="881"/>
    </row>
    <row r="69" spans="1:73" x14ac:dyDescent="0.25">
      <c r="A69" s="881"/>
      <c r="B69" s="901">
        <f t="shared" si="6"/>
        <v>19</v>
      </c>
      <c r="C69" s="996">
        <f>(C$72=1)*$F$3
+(C$72=2)*$F$3
+(C$72=3)*$F$3
+(C$72=4)*$F$3
+(C$72=5)</f>
        <v>1.05</v>
      </c>
      <c r="D69" s="886">
        <v>1</v>
      </c>
      <c r="E69" s="886">
        <v>1</v>
      </c>
      <c r="F69" s="996">
        <f>(F$72=1)*$F$6
+(F$72=2)*$F$6
+(F$72=3)*$F$6
+(F$72=4)*$F$6
+(F$72=5)</f>
        <v>1</v>
      </c>
      <c r="G69" s="996">
        <f>(G$72=1)*$F$7
+(G$72=2)*$F$7
+(G$72=3)*$F$7
+(G$72=4)*$F$7
+(G$72=5)</f>
        <v>1</v>
      </c>
      <c r="H69" s="996">
        <f>(H$72=1)*$F$8
+(H$72=2)*$F$8
+(H$72=3)*$F$8
+(H$72=4)*$F$8
+(H$72=5)</f>
        <v>0.95</v>
      </c>
      <c r="I69" s="996">
        <f>(I$72=1)*$F$9
+(I$72=2)*$F$9
+(I$72=3)*$F$9
+(I$72=4)*$F$9
+(I$72=5)</f>
        <v>0.95</v>
      </c>
      <c r="J69" s="881"/>
      <c r="K69" s="899">
        <v>1.8727547549961832</v>
      </c>
      <c r="L69" s="900">
        <v>0</v>
      </c>
      <c r="M69" s="900">
        <v>1.7672114134719384E-3</v>
      </c>
      <c r="N69" s="900">
        <v>0.17799538528765374</v>
      </c>
      <c r="O69" s="900">
        <v>2.3951307700875293E-2</v>
      </c>
      <c r="P69" s="900">
        <v>2.0684302415343025E-2</v>
      </c>
      <c r="Q69" s="900">
        <v>2.8137525705020489E-3</v>
      </c>
      <c r="R69" s="900">
        <v>1.7561071904870005E-3</v>
      </c>
      <c r="S69" s="900">
        <v>0.18165451985137954</v>
      </c>
      <c r="T69" s="900">
        <v>1.0583723276574468</v>
      </c>
      <c r="U69" s="900">
        <v>3.5543152953254178E-2</v>
      </c>
      <c r="V69" s="900">
        <v>0.2410775956815239</v>
      </c>
      <c r="W69" s="900">
        <v>0.10639586210077016</v>
      </c>
      <c r="X69" s="900">
        <v>1.9498108128492623E-2</v>
      </c>
      <c r="Y69" s="900">
        <v>4.7795448719258563E-3</v>
      </c>
      <c r="Z69" s="1010"/>
      <c r="AA69" s="881"/>
      <c r="AB69" s="881"/>
      <c r="AC69" s="881"/>
      <c r="AD69" s="881"/>
      <c r="AE69" s="881"/>
      <c r="AF69" s="881"/>
      <c r="AG69" s="881"/>
      <c r="AH69" s="881"/>
      <c r="AI69" s="881"/>
      <c r="AJ69" s="881"/>
      <c r="AK69" s="881"/>
      <c r="AL69" s="881"/>
      <c r="AM69" s="881"/>
      <c r="AN69" s="881"/>
      <c r="AO69" s="881"/>
      <c r="AP69" s="881"/>
      <c r="AQ69" s="881"/>
      <c r="AR69" s="881"/>
      <c r="AS69" s="881"/>
      <c r="AT69" s="881"/>
      <c r="AU69" s="881"/>
      <c r="AV69" s="881"/>
      <c r="AW69" s="881"/>
      <c r="AX69" s="881"/>
      <c r="AY69" s="881"/>
      <c r="AZ69" s="881"/>
      <c r="BA69" s="881"/>
      <c r="BB69" s="881"/>
      <c r="BC69" s="881"/>
      <c r="BD69" s="881"/>
      <c r="BE69" s="881"/>
      <c r="BF69" s="881"/>
      <c r="BG69" s="881"/>
      <c r="BH69" s="881"/>
      <c r="BI69" s="881"/>
      <c r="BJ69" s="881"/>
      <c r="BK69" s="881"/>
      <c r="BL69" s="881"/>
      <c r="BM69" s="881"/>
      <c r="BN69" s="881"/>
      <c r="BO69" s="881"/>
      <c r="BP69" s="881"/>
      <c r="BQ69" s="881"/>
      <c r="BR69" s="881"/>
      <c r="BS69" s="881"/>
      <c r="BT69" s="881"/>
      <c r="BU69" s="881"/>
    </row>
    <row r="70" spans="1:73" x14ac:dyDescent="0.25">
      <c r="A70" s="881"/>
      <c r="B70" s="893">
        <f t="shared" si="6"/>
        <v>20</v>
      </c>
      <c r="C70" s="996">
        <f>(C$72=1)*$F$3
+(C$72=2)*$F$3
+(C$72=3)*$F$3
+(C$72=4)*$F$3
+(C$72=5)*$F$3</f>
        <v>1.05</v>
      </c>
      <c r="D70" s="886">
        <v>1</v>
      </c>
      <c r="E70" s="886">
        <v>1</v>
      </c>
      <c r="F70" s="996">
        <f>(F$72=1)*$F$6
+(F$72=2)*$F$6
+(F$72=3)*$F$6
+(F$72=4)*$F$6
+(F$72=5)*$F$6</f>
        <v>0.95</v>
      </c>
      <c r="G70" s="996">
        <f>(G$72=1)*$F$7
+(G$72=2)*$F$7
+(G$72=3)*$F$7
+(G$72=4)*$F$7
+(G$72=5)*$F$7</f>
        <v>0.95</v>
      </c>
      <c r="H70" s="996">
        <f>(H$72=1)*$F$8
+(H$72=2)*$F$8
+(H$72=3)*$F$8
+(H$72=4)*$F$8
+(H$72=5)*$F$8</f>
        <v>0.95</v>
      </c>
      <c r="I70" s="996">
        <f>(I$72=1)*$F$9
+(I$72=2)*$F$9
+(I$72=3)*$F$9
+(I$72=4)*$F$9
+(I$72=5)*$F$9</f>
        <v>0.95</v>
      </c>
      <c r="J70" s="881"/>
      <c r="K70" s="899">
        <v>1.8727547549961832</v>
      </c>
      <c r="L70" s="900">
        <v>0</v>
      </c>
      <c r="M70" s="900">
        <v>1.7672114134719384E-3</v>
      </c>
      <c r="N70" s="900">
        <v>0.17799538528765374</v>
      </c>
      <c r="O70" s="900">
        <v>2.3951307700875293E-2</v>
      </c>
      <c r="P70" s="900">
        <v>2.0684302415343025E-2</v>
      </c>
      <c r="Q70" s="900">
        <v>2.8137525705020489E-3</v>
      </c>
      <c r="R70" s="900">
        <v>1.7561071904870005E-3</v>
      </c>
      <c r="S70" s="900">
        <v>0.18165451985137954</v>
      </c>
      <c r="T70" s="900">
        <v>1.0583723276574468</v>
      </c>
      <c r="U70" s="900">
        <v>3.5543152953254178E-2</v>
      </c>
      <c r="V70" s="900">
        <v>0.2410775956815239</v>
      </c>
      <c r="W70" s="900">
        <v>0.10639586210077016</v>
      </c>
      <c r="X70" s="900">
        <v>1.9498108128492623E-2</v>
      </c>
      <c r="Y70" s="900">
        <v>4.7795448719258563E-3</v>
      </c>
      <c r="Z70" s="1010"/>
      <c r="AA70" s="881"/>
      <c r="AB70" s="881"/>
      <c r="AC70" s="881"/>
      <c r="AD70" s="881"/>
      <c r="AE70" s="881"/>
      <c r="AF70" s="881"/>
      <c r="AG70" s="881"/>
      <c r="AH70" s="881"/>
      <c r="AI70" s="881"/>
      <c r="AJ70" s="881"/>
      <c r="AK70" s="881"/>
      <c r="AL70" s="881"/>
      <c r="AM70" s="881"/>
      <c r="AN70" s="881"/>
      <c r="AO70" s="881"/>
      <c r="AP70" s="881"/>
      <c r="AQ70" s="881"/>
      <c r="AR70" s="881"/>
      <c r="AS70" s="881"/>
      <c r="AT70" s="881"/>
      <c r="AU70" s="881"/>
      <c r="AV70" s="881"/>
      <c r="AW70" s="881"/>
      <c r="AX70" s="881"/>
      <c r="AY70" s="881"/>
      <c r="AZ70" s="881"/>
      <c r="BA70" s="881"/>
      <c r="BB70" s="881"/>
      <c r="BC70" s="881"/>
      <c r="BD70" s="881"/>
      <c r="BE70" s="881"/>
      <c r="BF70" s="881"/>
      <c r="BG70" s="881"/>
      <c r="BH70" s="881"/>
      <c r="BI70" s="881"/>
      <c r="BJ70" s="881"/>
      <c r="BK70" s="881"/>
      <c r="BL70" s="881"/>
      <c r="BM70" s="881"/>
      <c r="BN70" s="881"/>
      <c r="BO70" s="881"/>
      <c r="BP70" s="881"/>
      <c r="BQ70" s="881"/>
      <c r="BR70" s="881"/>
      <c r="BS70" s="881"/>
      <c r="BT70" s="881"/>
      <c r="BU70" s="881"/>
    </row>
    <row r="71" spans="1:73" x14ac:dyDescent="0.25">
      <c r="A71" s="881"/>
      <c r="B71" s="881"/>
      <c r="C71" s="881"/>
      <c r="D71" s="881"/>
      <c r="E71" s="881"/>
      <c r="F71" s="881"/>
      <c r="G71" s="881"/>
      <c r="H71" s="881"/>
      <c r="I71" s="881"/>
      <c r="J71" s="881"/>
      <c r="K71" s="881"/>
      <c r="L71" s="881"/>
      <c r="M71" s="881"/>
      <c r="N71" s="881"/>
      <c r="O71" s="881"/>
      <c r="P71" s="881"/>
      <c r="Q71" s="881"/>
      <c r="R71" s="881"/>
      <c r="S71" s="881"/>
      <c r="T71" s="881"/>
      <c r="U71" s="881"/>
      <c r="V71" s="881"/>
      <c r="W71" s="881"/>
      <c r="X71" s="881"/>
      <c r="Y71" s="881"/>
      <c r="Z71" s="881"/>
      <c r="AA71" s="881"/>
      <c r="AB71" s="881"/>
      <c r="AC71" s="881"/>
      <c r="AD71" s="881"/>
      <c r="AE71" s="881"/>
      <c r="AF71" s="881"/>
      <c r="AG71" s="881"/>
      <c r="AH71" s="881"/>
      <c r="AI71" s="881"/>
      <c r="AJ71" s="881"/>
      <c r="AK71" s="881"/>
      <c r="AL71" s="881"/>
      <c r="AM71" s="881"/>
      <c r="AN71" s="881"/>
      <c r="AO71" s="881"/>
      <c r="AP71" s="881"/>
      <c r="AQ71" s="881"/>
      <c r="AR71" s="881"/>
      <c r="AS71" s="881"/>
      <c r="AT71" s="881"/>
      <c r="AU71" s="881"/>
      <c r="AV71" s="881"/>
      <c r="AW71" s="881"/>
      <c r="AX71" s="881"/>
      <c r="AY71" s="881"/>
      <c r="AZ71" s="881"/>
      <c r="BA71" s="881"/>
      <c r="BB71" s="881"/>
      <c r="BC71" s="881"/>
      <c r="BD71" s="881"/>
      <c r="BE71" s="881"/>
      <c r="BF71" s="881"/>
      <c r="BG71" s="881"/>
      <c r="BH71" s="881"/>
      <c r="BI71" s="881"/>
      <c r="BJ71" s="881"/>
      <c r="BK71" s="881"/>
      <c r="BL71" s="881"/>
      <c r="BM71" s="881"/>
      <c r="BN71" s="881"/>
      <c r="BO71" s="881"/>
      <c r="BP71" s="881"/>
      <c r="BQ71" s="881"/>
      <c r="BR71" s="881"/>
      <c r="BS71" s="881"/>
      <c r="BT71" s="881"/>
      <c r="BU71" s="881"/>
    </row>
    <row r="72" spans="1:73" x14ac:dyDescent="0.25">
      <c r="A72" s="881"/>
      <c r="B72" s="1004" t="s">
        <v>1154</v>
      </c>
      <c r="C72" s="885">
        <f>6-RANK($N$101,($N$101,$N$104:$N$107))</f>
        <v>1</v>
      </c>
      <c r="D72" s="1005"/>
      <c r="E72" s="1005"/>
      <c r="F72" s="885">
        <f>6-RANK($N$104,($N$101,$N$104:$N$107))</f>
        <v>5</v>
      </c>
      <c r="G72" s="885">
        <f>6-RANK($N$105,($N$101,$N$104:$N$107))</f>
        <v>5</v>
      </c>
      <c r="H72" s="885">
        <f>6-RANK($N$106,($N$101,$N$104:$N$107))</f>
        <v>2</v>
      </c>
      <c r="I72" s="885">
        <f>6-RANK($N$107,($N$101,$N$104:$N$107))</f>
        <v>3</v>
      </c>
      <c r="J72" s="881"/>
      <c r="K72" s="881"/>
      <c r="L72" s="881"/>
      <c r="M72" s="881"/>
      <c r="N72" s="881"/>
      <c r="O72" s="881"/>
      <c r="P72" s="881"/>
      <c r="Q72" s="881"/>
      <c r="R72" s="881"/>
      <c r="S72" s="881"/>
      <c r="T72" s="881"/>
      <c r="U72" s="881"/>
      <c r="V72" s="881"/>
      <c r="W72" s="881"/>
      <c r="X72" s="881"/>
      <c r="Y72" s="881"/>
      <c r="Z72" s="881"/>
      <c r="AA72" s="881"/>
      <c r="AB72" s="881"/>
      <c r="AC72" s="881"/>
      <c r="AD72" s="881"/>
      <c r="AE72" s="881"/>
      <c r="AF72" s="881"/>
      <c r="AG72" s="881"/>
      <c r="AH72" s="881"/>
      <c r="AI72" s="881"/>
      <c r="AJ72" s="881"/>
      <c r="AK72" s="881"/>
      <c r="AL72" s="881"/>
      <c r="AM72" s="881"/>
      <c r="AN72" s="881"/>
      <c r="AO72" s="881"/>
      <c r="AP72" s="881"/>
      <c r="AQ72" s="881"/>
      <c r="AR72" s="881"/>
      <c r="AS72" s="881"/>
      <c r="AT72" s="881"/>
      <c r="AU72" s="881"/>
      <c r="AV72" s="881"/>
      <c r="AW72" s="881"/>
      <c r="AX72" s="881"/>
      <c r="AY72" s="881"/>
      <c r="AZ72" s="881"/>
      <c r="BA72" s="881"/>
      <c r="BB72" s="881"/>
      <c r="BC72" s="881"/>
      <c r="BD72" s="881"/>
      <c r="BE72" s="881"/>
      <c r="BF72" s="881"/>
      <c r="BG72" s="881"/>
      <c r="BH72" s="881"/>
      <c r="BI72" s="881"/>
      <c r="BJ72" s="881"/>
      <c r="BK72" s="881"/>
      <c r="BL72" s="881"/>
      <c r="BM72" s="881"/>
      <c r="BN72" s="881"/>
      <c r="BO72" s="881"/>
      <c r="BP72" s="881"/>
      <c r="BQ72" s="881"/>
      <c r="BR72" s="881"/>
      <c r="BS72" s="881"/>
      <c r="BT72" s="881"/>
      <c r="BU72" s="881"/>
    </row>
    <row r="73" spans="1:73" x14ac:dyDescent="0.25">
      <c r="A73" s="881"/>
      <c r="B73" s="881"/>
      <c r="C73" s="881"/>
      <c r="D73" s="881"/>
      <c r="E73" s="881"/>
      <c r="F73" s="881"/>
      <c r="G73" s="881"/>
      <c r="H73" s="881"/>
      <c r="I73" s="881"/>
      <c r="J73" s="881"/>
      <c r="K73" s="881"/>
      <c r="L73" s="881"/>
      <c r="M73" s="881"/>
      <c r="N73" s="881"/>
      <c r="O73" s="881"/>
      <c r="P73" s="881"/>
      <c r="Q73" s="881"/>
      <c r="R73" s="881"/>
      <c r="S73" s="881"/>
      <c r="T73" s="881"/>
      <c r="U73" s="881"/>
      <c r="V73" s="881"/>
      <c r="W73" s="881"/>
      <c r="X73" s="881"/>
      <c r="Y73" s="881"/>
      <c r="Z73" s="881"/>
      <c r="AA73" s="881"/>
      <c r="AB73" s="881"/>
      <c r="AC73" s="881"/>
      <c r="AD73" s="881"/>
      <c r="AE73" s="881"/>
      <c r="AF73" s="881"/>
      <c r="AG73" s="881"/>
      <c r="AH73" s="881"/>
      <c r="AI73" s="881"/>
      <c r="AJ73" s="881"/>
      <c r="AK73" s="881"/>
      <c r="AL73" s="881"/>
      <c r="AM73" s="881"/>
      <c r="AN73" s="881"/>
      <c r="AO73" s="881"/>
      <c r="AP73" s="881"/>
      <c r="AQ73" s="881"/>
      <c r="AR73" s="881"/>
      <c r="AS73" s="881"/>
      <c r="AT73" s="881"/>
      <c r="AU73" s="881"/>
      <c r="AV73" s="881"/>
      <c r="AW73" s="881"/>
      <c r="AX73" s="881"/>
      <c r="AY73" s="881"/>
      <c r="AZ73" s="881"/>
      <c r="BA73" s="881"/>
      <c r="BB73" s="881"/>
      <c r="BC73" s="881"/>
      <c r="BD73" s="881"/>
      <c r="BE73" s="881"/>
      <c r="BF73" s="881"/>
      <c r="BG73" s="881"/>
      <c r="BH73" s="881"/>
      <c r="BI73" s="881"/>
      <c r="BJ73" s="881"/>
      <c r="BK73" s="881"/>
      <c r="BL73" s="881"/>
      <c r="BM73" s="881"/>
      <c r="BN73" s="881"/>
      <c r="BO73" s="881"/>
      <c r="BP73" s="881"/>
      <c r="BQ73" s="881"/>
      <c r="BR73" s="881"/>
      <c r="BS73" s="881"/>
      <c r="BT73" s="881"/>
      <c r="BU73" s="881"/>
    </row>
    <row r="74" spans="1:73" x14ac:dyDescent="0.25">
      <c r="A74" s="881"/>
      <c r="B74" s="883" t="s">
        <v>1118</v>
      </c>
      <c r="C74" s="881"/>
      <c r="D74" s="881"/>
      <c r="E74" s="881"/>
      <c r="F74" s="881"/>
      <c r="G74" s="881"/>
      <c r="H74" s="881"/>
      <c r="I74" s="881"/>
      <c r="J74" s="881"/>
      <c r="K74" s="881"/>
      <c r="L74" s="881"/>
      <c r="M74" s="881"/>
      <c r="N74" s="881"/>
      <c r="O74" s="881"/>
      <c r="P74" s="881"/>
      <c r="Q74" s="881"/>
      <c r="R74" s="881"/>
      <c r="S74" s="881"/>
      <c r="T74" s="881"/>
      <c r="U74" s="881"/>
      <c r="V74" s="881"/>
      <c r="W74" s="881"/>
      <c r="X74" s="881"/>
      <c r="Y74" s="881"/>
      <c r="Z74" s="881"/>
      <c r="AA74" s="881"/>
      <c r="AB74" s="881"/>
      <c r="AC74" s="881"/>
      <c r="AD74" s="881"/>
      <c r="AE74" s="881"/>
      <c r="AF74" s="881"/>
      <c r="AG74" s="881"/>
      <c r="AH74" s="881"/>
      <c r="AI74" s="881"/>
      <c r="AJ74" s="881"/>
      <c r="AK74" s="881"/>
      <c r="AL74" s="881"/>
      <c r="AM74" s="881"/>
      <c r="AN74" s="881"/>
      <c r="AO74" s="881"/>
      <c r="AP74" s="881"/>
      <c r="AQ74" s="881"/>
      <c r="AR74" s="881"/>
      <c r="AS74" s="881"/>
      <c r="AT74" s="881"/>
      <c r="AU74" s="881"/>
      <c r="AV74" s="881"/>
      <c r="AW74" s="881"/>
      <c r="AX74" s="881"/>
      <c r="AY74" s="881"/>
      <c r="AZ74" s="881"/>
      <c r="BA74" s="881"/>
      <c r="BB74" s="881"/>
      <c r="BC74" s="881"/>
      <c r="BD74" s="881"/>
      <c r="BE74" s="881"/>
      <c r="BF74" s="881"/>
      <c r="BG74" s="881"/>
      <c r="BH74" s="881"/>
      <c r="BI74" s="881"/>
      <c r="BJ74" s="881"/>
      <c r="BK74" s="881"/>
      <c r="BL74" s="881"/>
      <c r="BM74" s="881"/>
      <c r="BN74" s="881"/>
      <c r="BO74" s="881"/>
      <c r="BP74" s="881"/>
      <c r="BQ74" s="881"/>
      <c r="BR74" s="881"/>
      <c r="BS74" s="881"/>
      <c r="BT74" s="881"/>
      <c r="BU74" s="881"/>
    </row>
    <row r="75" spans="1:73" x14ac:dyDescent="0.25">
      <c r="A75" s="881"/>
      <c r="B75" s="881"/>
      <c r="C75" s="881"/>
      <c r="D75" s="881"/>
      <c r="E75" s="881"/>
      <c r="F75" s="881"/>
      <c r="G75" s="881"/>
      <c r="H75" s="881"/>
      <c r="I75" s="881"/>
      <c r="J75" s="881"/>
      <c r="K75" s="881"/>
      <c r="L75" s="881"/>
      <c r="M75" s="881"/>
      <c r="N75" s="881"/>
      <c r="O75" s="881"/>
      <c r="P75" s="881"/>
      <c r="Q75" s="881"/>
      <c r="R75" s="881"/>
      <c r="S75" s="881"/>
      <c r="T75" s="881"/>
      <c r="U75" s="881"/>
      <c r="V75" s="881"/>
      <c r="W75" s="881"/>
      <c r="X75" s="881"/>
      <c r="Y75" s="881"/>
      <c r="Z75" s="881"/>
      <c r="AA75" s="881"/>
      <c r="AB75" s="881"/>
      <c r="AC75" s="881"/>
      <c r="AD75" s="881"/>
      <c r="AE75" s="881"/>
      <c r="AF75" s="881"/>
      <c r="AG75" s="881"/>
      <c r="AH75" s="881"/>
      <c r="AI75" s="881"/>
      <c r="AJ75" s="881"/>
      <c r="AK75" s="881"/>
      <c r="AL75" s="881"/>
      <c r="AM75" s="881"/>
      <c r="AN75" s="881"/>
      <c r="AO75" s="881"/>
      <c r="AP75" s="881"/>
      <c r="AQ75" s="881"/>
      <c r="AR75" s="881"/>
      <c r="AS75" s="881"/>
      <c r="AT75" s="881"/>
      <c r="AU75" s="881"/>
      <c r="AV75" s="881"/>
      <c r="AW75" s="881"/>
      <c r="AX75" s="881"/>
      <c r="AY75" s="881"/>
      <c r="AZ75" s="881"/>
      <c r="BA75" s="881"/>
      <c r="BB75" s="881"/>
      <c r="BC75" s="881"/>
      <c r="BD75" s="881"/>
      <c r="BE75" s="881"/>
      <c r="BF75" s="881"/>
      <c r="BG75" s="881"/>
      <c r="BH75" s="881"/>
      <c r="BI75" s="881"/>
      <c r="BJ75" s="881"/>
      <c r="BK75" s="881"/>
      <c r="BL75" s="881"/>
      <c r="BM75" s="881"/>
      <c r="BN75" s="881"/>
      <c r="BO75" s="881"/>
      <c r="BP75" s="881"/>
      <c r="BQ75" s="881"/>
      <c r="BR75" s="881"/>
      <c r="BS75" s="881"/>
      <c r="BT75" s="881"/>
      <c r="BU75" s="881"/>
    </row>
    <row r="76" spans="1:73" ht="52.8" x14ac:dyDescent="0.25">
      <c r="A76" s="881"/>
      <c r="B76" s="892" t="s">
        <v>1115</v>
      </c>
      <c r="C76" s="892" t="s">
        <v>1116</v>
      </c>
      <c r="D76" s="892" t="s">
        <v>1117</v>
      </c>
      <c r="E76" s="892" t="s">
        <v>1104</v>
      </c>
      <c r="F76" s="892" t="s">
        <v>1105</v>
      </c>
      <c r="G76" s="892" t="s">
        <v>968</v>
      </c>
      <c r="H76" s="892" t="s">
        <v>119</v>
      </c>
      <c r="I76" s="892" t="s">
        <v>120</v>
      </c>
      <c r="J76" s="892" t="s">
        <v>1143</v>
      </c>
      <c r="K76" s="892" t="s">
        <v>132</v>
      </c>
      <c r="L76" s="892" t="s">
        <v>81</v>
      </c>
      <c r="M76" s="892" t="s">
        <v>133</v>
      </c>
      <c r="N76" s="892" t="s">
        <v>1103</v>
      </c>
      <c r="O76" s="892" t="s">
        <v>134</v>
      </c>
      <c r="P76" s="892" t="s">
        <v>135</v>
      </c>
      <c r="Q76" s="892" t="s">
        <v>136</v>
      </c>
      <c r="R76" s="892" t="s">
        <v>1109</v>
      </c>
      <c r="S76" s="892" t="s">
        <v>42</v>
      </c>
      <c r="T76" s="881"/>
      <c r="U76" s="881"/>
      <c r="V76" s="881"/>
      <c r="W76" s="881"/>
      <c r="X76" s="881"/>
      <c r="Y76" s="881"/>
      <c r="Z76" s="881"/>
      <c r="AA76" s="881"/>
      <c r="AB76" s="881"/>
      <c r="AC76" s="881"/>
      <c r="AD76" s="881"/>
      <c r="AE76" s="881"/>
      <c r="AF76" s="881"/>
      <c r="AG76" s="881"/>
      <c r="AH76" s="881"/>
      <c r="AI76" s="881"/>
      <c r="AJ76" s="881"/>
      <c r="AK76" s="881"/>
      <c r="AL76" s="881"/>
      <c r="AM76" s="881"/>
      <c r="AN76" s="881"/>
      <c r="AO76" s="881"/>
      <c r="AP76" s="881"/>
      <c r="AQ76" s="881"/>
      <c r="AR76" s="881"/>
      <c r="AS76" s="881"/>
      <c r="AT76" s="881"/>
      <c r="AU76" s="881"/>
      <c r="AV76" s="881"/>
      <c r="AW76" s="881"/>
      <c r="AX76" s="881"/>
      <c r="AY76" s="881"/>
      <c r="AZ76" s="881"/>
      <c r="BA76" s="881"/>
      <c r="BB76" s="881"/>
      <c r="BC76" s="881"/>
      <c r="BD76" s="881"/>
      <c r="BE76" s="881"/>
      <c r="BF76" s="881"/>
      <c r="BG76" s="881"/>
      <c r="BH76" s="881"/>
      <c r="BI76" s="881"/>
      <c r="BJ76" s="881"/>
      <c r="BK76" s="881"/>
      <c r="BL76" s="881"/>
      <c r="BM76" s="881"/>
      <c r="BN76" s="881"/>
      <c r="BO76" s="881"/>
      <c r="BP76" s="881"/>
      <c r="BQ76" s="881"/>
      <c r="BR76" s="881"/>
      <c r="BS76" s="881"/>
      <c r="BT76" s="881"/>
      <c r="BU76" s="881"/>
    </row>
    <row r="77" spans="1:73" x14ac:dyDescent="0.25">
      <c r="A77" s="881"/>
      <c r="B77" s="885" t="str">
        <f>+$B$3</f>
        <v>Operating Capacity Factor</v>
      </c>
      <c r="C77" s="894">
        <f ca="1">+H3</f>
        <v>0.94500000000000006</v>
      </c>
      <c r="D77" s="894" t="str">
        <f ca="1">+B77&amp;" = "&amp;C77*100&amp;"%"</f>
        <v>Operating Capacity Factor = 94.5%</v>
      </c>
      <c r="E77" s="898">
        <f t="shared" ref="E77:S77" si="7">+K52</f>
        <v>1.9030958301354877</v>
      </c>
      <c r="F77" s="898">
        <f t="shared" si="7"/>
        <v>0</v>
      </c>
      <c r="G77" s="898">
        <f t="shared" si="7"/>
        <v>1.8602225404967775E-3</v>
      </c>
      <c r="H77" s="898">
        <f t="shared" si="7"/>
        <v>0.18742280035690928</v>
      </c>
      <c r="I77" s="898">
        <f t="shared" si="7"/>
        <v>2.3951307700875293E-2</v>
      </c>
      <c r="J77" s="898">
        <f t="shared" si="7"/>
        <v>2.0880556503119579E-2</v>
      </c>
      <c r="K77" s="898">
        <f t="shared" si="7"/>
        <v>2.8137525705020489E-3</v>
      </c>
      <c r="L77" s="898">
        <f t="shared" si="7"/>
        <v>1.8491183175118405E-3</v>
      </c>
      <c r="M77" s="898">
        <f t="shared" si="7"/>
        <v>0.1960343118077533</v>
      </c>
      <c r="N77" s="898">
        <f t="shared" si="7"/>
        <v>1.0583723276574468</v>
      </c>
      <c r="O77" s="898">
        <f t="shared" si="7"/>
        <v>3.5543152953254178E-2</v>
      </c>
      <c r="P77" s="898">
        <f t="shared" si="7"/>
        <v>0.2410775956815239</v>
      </c>
      <c r="Q77" s="898">
        <f t="shared" si="7"/>
        <v>0.11203105287863349</v>
      </c>
      <c r="R77" s="898">
        <f t="shared" si="7"/>
        <v>1.9947385749875351E-2</v>
      </c>
      <c r="S77" s="898">
        <f t="shared" si="7"/>
        <v>5.0326904985776837E-3</v>
      </c>
      <c r="T77" s="881"/>
      <c r="U77" s="881"/>
      <c r="V77" s="881"/>
      <c r="W77" s="881"/>
      <c r="X77" s="881"/>
      <c r="Y77" s="881"/>
      <c r="Z77" s="881"/>
      <c r="AA77" s="881"/>
      <c r="AB77" s="881"/>
      <c r="AC77" s="881"/>
      <c r="AD77" s="881"/>
      <c r="AE77" s="881"/>
      <c r="AF77" s="881"/>
      <c r="AG77" s="881"/>
      <c r="AH77" s="881"/>
      <c r="AI77" s="881"/>
      <c r="AJ77" s="881"/>
      <c r="AK77" s="881"/>
      <c r="AL77" s="881"/>
      <c r="AM77" s="881"/>
      <c r="AN77" s="881"/>
      <c r="AO77" s="881"/>
      <c r="AP77" s="881"/>
      <c r="AQ77" s="881"/>
      <c r="AR77" s="881"/>
      <c r="AS77" s="881"/>
      <c r="AT77" s="881"/>
      <c r="AU77" s="881"/>
      <c r="AV77" s="881"/>
      <c r="AW77" s="881"/>
      <c r="AX77" s="881"/>
      <c r="AY77" s="881"/>
      <c r="AZ77" s="881"/>
      <c r="BA77" s="881"/>
      <c r="BB77" s="881"/>
      <c r="BC77" s="881"/>
      <c r="BD77" s="881"/>
      <c r="BE77" s="881"/>
      <c r="BF77" s="881"/>
      <c r="BG77" s="881"/>
      <c r="BH77" s="881"/>
      <c r="BI77" s="881"/>
      <c r="BJ77" s="881"/>
      <c r="BK77" s="881"/>
      <c r="BL77" s="881"/>
      <c r="BM77" s="881"/>
      <c r="BN77" s="881"/>
      <c r="BO77" s="881"/>
      <c r="BP77" s="881"/>
      <c r="BQ77" s="881"/>
      <c r="BR77" s="881"/>
      <c r="BS77" s="881"/>
      <c r="BT77" s="881"/>
      <c r="BU77" s="881"/>
    </row>
    <row r="78" spans="1:73" x14ac:dyDescent="0.25">
      <c r="A78" s="881"/>
      <c r="B78" s="885" t="str">
        <f t="shared" ref="B78:B79" si="8">+$B$3</f>
        <v>Operating Capacity Factor</v>
      </c>
      <c r="C78" s="894">
        <f ca="1">+C3</f>
        <v>0.9</v>
      </c>
      <c r="D78" s="885" t="str">
        <f t="shared" ref="D78:D79" ca="1" si="9">+B78&amp;" = "&amp;C78*100&amp;"%"</f>
        <v>Operating Capacity Factor = 90%</v>
      </c>
      <c r="E78" s="898">
        <f t="shared" ref="E78:S78" si="10">+K$51</f>
        <v>1.9389370275971565</v>
      </c>
      <c r="F78" s="898">
        <f t="shared" si="10"/>
        <v>0</v>
      </c>
      <c r="G78" s="898">
        <f t="shared" si="10"/>
        <v>1.9532336675216178E-3</v>
      </c>
      <c r="H78" s="898">
        <f t="shared" si="10"/>
        <v>0.19679394037475487</v>
      </c>
      <c r="I78" s="898">
        <f t="shared" si="10"/>
        <v>2.5148873085919069E-2</v>
      </c>
      <c r="J78" s="898">
        <f t="shared" si="10"/>
        <v>2.113041182383766E-2</v>
      </c>
      <c r="K78" s="898">
        <f t="shared" si="10"/>
        <v>2.9544401990271528E-3</v>
      </c>
      <c r="L78" s="898">
        <f t="shared" si="10"/>
        <v>1.9415742333874339E-3</v>
      </c>
      <c r="M78" s="898">
        <f t="shared" si="10"/>
        <v>0.20583602739814111</v>
      </c>
      <c r="N78" s="898">
        <f t="shared" si="10"/>
        <v>1.058372327657447</v>
      </c>
      <c r="O78" s="898">
        <f t="shared" si="10"/>
        <v>3.7320310600916916E-2</v>
      </c>
      <c r="P78" s="898">
        <f t="shared" si="10"/>
        <v>0.24780594636845787</v>
      </c>
      <c r="Q78" s="898">
        <f t="shared" si="10"/>
        <v>0.11763260552256523</v>
      </c>
      <c r="R78" s="898">
        <f t="shared" si="10"/>
        <v>2.0669478976714461E-2</v>
      </c>
      <c r="S78" s="898">
        <f t="shared" si="10"/>
        <v>5.2843250235065703E-3</v>
      </c>
      <c r="T78" s="881"/>
      <c r="U78" s="881"/>
      <c r="V78" s="881"/>
      <c r="W78" s="881"/>
      <c r="X78" s="881"/>
      <c r="Y78" s="881"/>
      <c r="Z78" s="881"/>
      <c r="AA78" s="881"/>
      <c r="AB78" s="881"/>
      <c r="AC78" s="881"/>
      <c r="AD78" s="881"/>
      <c r="AE78" s="881"/>
      <c r="AF78" s="881"/>
      <c r="AG78" s="881"/>
      <c r="AH78" s="881"/>
      <c r="AI78" s="881"/>
      <c r="AJ78" s="881"/>
      <c r="AK78" s="881"/>
      <c r="AL78" s="881"/>
      <c r="AM78" s="881"/>
      <c r="AN78" s="881"/>
      <c r="AO78" s="881"/>
      <c r="AP78" s="881"/>
      <c r="AQ78" s="881"/>
      <c r="AR78" s="881"/>
      <c r="AS78" s="881"/>
      <c r="AT78" s="881"/>
      <c r="AU78" s="881"/>
      <c r="AV78" s="881"/>
      <c r="AW78" s="881"/>
      <c r="AX78" s="881"/>
      <c r="AY78" s="881"/>
      <c r="AZ78" s="881"/>
      <c r="BA78" s="881"/>
      <c r="BB78" s="881"/>
      <c r="BC78" s="881"/>
      <c r="BD78" s="881"/>
      <c r="BE78" s="881"/>
      <c r="BF78" s="881"/>
      <c r="BG78" s="881"/>
      <c r="BH78" s="881"/>
      <c r="BI78" s="881"/>
      <c r="BJ78" s="881"/>
      <c r="BK78" s="881"/>
      <c r="BL78" s="881"/>
      <c r="BM78" s="881"/>
      <c r="BN78" s="881"/>
      <c r="BO78" s="881"/>
      <c r="BP78" s="881"/>
      <c r="BQ78" s="881"/>
      <c r="BR78" s="881"/>
      <c r="BS78" s="881"/>
      <c r="BT78" s="881"/>
      <c r="BU78" s="881"/>
    </row>
    <row r="79" spans="1:73" x14ac:dyDescent="0.25">
      <c r="A79" s="881"/>
      <c r="B79" s="885" t="str">
        <f t="shared" si="8"/>
        <v>Operating Capacity Factor</v>
      </c>
      <c r="C79" s="894">
        <f ca="1">+I3</f>
        <v>0.85499999999999998</v>
      </c>
      <c r="D79" s="885" t="str">
        <f t="shared" ca="1" si="9"/>
        <v>Operating Capacity Factor = 85.5%</v>
      </c>
      <c r="E79" s="898">
        <f t="shared" ref="E79:S80" si="11">+K53</f>
        <v>1.9785338172436788</v>
      </c>
      <c r="F79" s="898">
        <f t="shared" si="11"/>
        <v>0</v>
      </c>
      <c r="G79" s="898">
        <f t="shared" si="11"/>
        <v>2.0560354394964404E-3</v>
      </c>
      <c r="H79" s="898">
        <f t="shared" si="11"/>
        <v>0.20715151618395253</v>
      </c>
      <c r="I79" s="898">
        <f t="shared" si="11"/>
        <v>2.6472497985177972E-2</v>
      </c>
      <c r="J79" s="898">
        <f t="shared" si="11"/>
        <v>2.1406337660120438E-2</v>
      </c>
      <c r="K79" s="898">
        <f t="shared" si="11"/>
        <v>3.1099370516075304E-3</v>
      </c>
      <c r="L79" s="898">
        <f t="shared" si="11"/>
        <v>2.0437623509341413E-3</v>
      </c>
      <c r="M79" s="898">
        <f t="shared" si="11"/>
        <v>0.2166695025243591</v>
      </c>
      <c r="N79" s="898">
        <f t="shared" si="11"/>
        <v>1.0583723276574473</v>
      </c>
      <c r="O79" s="898">
        <f t="shared" si="11"/>
        <v>3.9284537474649397E-2</v>
      </c>
      <c r="P79" s="898">
        <f t="shared" si="11"/>
        <v>0.25522568883596869</v>
      </c>
      <c r="Q79" s="898">
        <f t="shared" si="11"/>
        <v>0.12382379528691079</v>
      </c>
      <c r="R79" s="898">
        <f t="shared" si="11"/>
        <v>2.1467502278880269E-2</v>
      </c>
      <c r="S79" s="898">
        <f t="shared" si="11"/>
        <v>5.5624473931648122E-3</v>
      </c>
      <c r="T79" s="881"/>
      <c r="U79" s="881"/>
      <c r="V79" s="881"/>
      <c r="W79" s="881"/>
      <c r="X79" s="881"/>
      <c r="Y79" s="881"/>
      <c r="Z79" s="881"/>
      <c r="AA79" s="881"/>
      <c r="AB79" s="881"/>
      <c r="AC79" s="881"/>
      <c r="AD79" s="881"/>
      <c r="AE79" s="881"/>
      <c r="AF79" s="881"/>
      <c r="AG79" s="881"/>
      <c r="AH79" s="881"/>
      <c r="AI79" s="881"/>
      <c r="AJ79" s="881"/>
      <c r="AK79" s="881"/>
      <c r="AL79" s="881"/>
      <c r="AM79" s="881"/>
      <c r="AN79" s="881"/>
      <c r="AO79" s="881"/>
      <c r="AP79" s="881"/>
      <c r="AQ79" s="881"/>
      <c r="AR79" s="881"/>
      <c r="AS79" s="881"/>
      <c r="AT79" s="881"/>
      <c r="AU79" s="881"/>
      <c r="AV79" s="881"/>
      <c r="AW79" s="881"/>
      <c r="AX79" s="881"/>
      <c r="AY79" s="881"/>
      <c r="AZ79" s="881"/>
      <c r="BA79" s="881"/>
      <c r="BB79" s="881"/>
      <c r="BC79" s="881"/>
      <c r="BD79" s="881"/>
      <c r="BE79" s="881"/>
      <c r="BF79" s="881"/>
      <c r="BG79" s="881"/>
      <c r="BH79" s="881"/>
      <c r="BI79" s="881"/>
      <c r="BJ79" s="881"/>
      <c r="BK79" s="881"/>
      <c r="BL79" s="881"/>
      <c r="BM79" s="881"/>
      <c r="BN79" s="881"/>
      <c r="BO79" s="881"/>
      <c r="BP79" s="881"/>
      <c r="BQ79" s="881"/>
      <c r="BR79" s="881"/>
      <c r="BS79" s="881"/>
      <c r="BT79" s="881"/>
      <c r="BU79" s="881"/>
    </row>
    <row r="80" spans="1:73" x14ac:dyDescent="0.25">
      <c r="A80" s="881"/>
      <c r="B80" s="885" t="str">
        <f>+$B$4</f>
        <v>Plant Design Capacity (kg of H2/day)</v>
      </c>
      <c r="C80" s="903">
        <f ca="1">ROUND(H4,0)</f>
        <v>507150</v>
      </c>
      <c r="D80" s="885" t="str">
        <f ca="1">+B80&amp;" = "&amp;TEXT(C80,"0,000")</f>
        <v>Plant Design Capacity (kg of H2/day) = 507,150</v>
      </c>
      <c r="E80" s="898">
        <f t="shared" si="11"/>
        <v>1.9196972653481559</v>
      </c>
      <c r="F80" s="898">
        <f t="shared" si="11"/>
        <v>0</v>
      </c>
      <c r="G80" s="898">
        <f t="shared" si="11"/>
        <v>1.9068196881298842E-3</v>
      </c>
      <c r="H80" s="898">
        <f t="shared" si="11"/>
        <v>0.19211373242097643</v>
      </c>
      <c r="I80" s="898">
        <f t="shared" si="11"/>
        <v>2.455077562610327E-2</v>
      </c>
      <c r="J80" s="898">
        <f t="shared" si="11"/>
        <v>2.0987498453255701E-2</v>
      </c>
      <c r="K80" s="898">
        <f t="shared" si="11"/>
        <v>2.8938981885642721E-3</v>
      </c>
      <c r="L80" s="898">
        <f t="shared" si="11"/>
        <v>1.8953991776278565E-3</v>
      </c>
      <c r="M80" s="898">
        <f t="shared" si="11"/>
        <v>0.20129300976023867</v>
      </c>
      <c r="N80" s="898">
        <f t="shared" si="11"/>
        <v>1.0583723276574466</v>
      </c>
      <c r="O80" s="898">
        <f t="shared" si="11"/>
        <v>3.7320310600916909E-2</v>
      </c>
      <c r="P80" s="898">
        <f t="shared" si="11"/>
        <v>0.24187751569139676</v>
      </c>
      <c r="Q80" s="898">
        <f t="shared" si="11"/>
        <v>0.11483503434256863</v>
      </c>
      <c r="R80" s="898">
        <f t="shared" si="11"/>
        <v>2.0305931373857736E-2</v>
      </c>
      <c r="S80" s="898">
        <f t="shared" si="11"/>
        <v>5.1586517433320446E-3</v>
      </c>
      <c r="T80" s="881"/>
      <c r="U80" s="881"/>
      <c r="V80" s="881"/>
      <c r="W80" s="881"/>
      <c r="X80" s="881"/>
      <c r="Y80" s="881"/>
      <c r="Z80" s="881"/>
      <c r="AA80" s="881"/>
      <c r="AB80" s="881"/>
      <c r="AC80" s="881"/>
      <c r="AD80" s="881"/>
      <c r="AE80" s="881"/>
      <c r="AF80" s="881"/>
      <c r="AG80" s="881"/>
      <c r="AH80" s="881"/>
      <c r="AI80" s="881"/>
      <c r="AJ80" s="881"/>
      <c r="AK80" s="881"/>
      <c r="AL80" s="881"/>
      <c r="AM80" s="881"/>
      <c r="AN80" s="881"/>
      <c r="AO80" s="881"/>
      <c r="AP80" s="881"/>
      <c r="AQ80" s="881"/>
      <c r="AR80" s="881"/>
      <c r="AS80" s="881"/>
      <c r="AT80" s="881"/>
      <c r="AU80" s="881"/>
      <c r="AV80" s="881"/>
      <c r="AW80" s="881"/>
      <c r="AX80" s="881"/>
      <c r="AY80" s="881"/>
      <c r="AZ80" s="881"/>
      <c r="BA80" s="881"/>
      <c r="BB80" s="881"/>
      <c r="BC80" s="881"/>
      <c r="BD80" s="881"/>
      <c r="BE80" s="881"/>
      <c r="BF80" s="881"/>
      <c r="BG80" s="881"/>
      <c r="BH80" s="881"/>
      <c r="BI80" s="881"/>
      <c r="BJ80" s="881"/>
      <c r="BK80" s="881"/>
      <c r="BL80" s="881"/>
      <c r="BM80" s="881"/>
      <c r="BN80" s="881"/>
      <c r="BO80" s="881"/>
      <c r="BP80" s="881"/>
      <c r="BQ80" s="881"/>
      <c r="BR80" s="881"/>
      <c r="BS80" s="881"/>
      <c r="BT80" s="881"/>
      <c r="BU80" s="881"/>
    </row>
    <row r="81" spans="1:73" x14ac:dyDescent="0.25">
      <c r="A81" s="881"/>
      <c r="B81" s="885" t="str">
        <f t="shared" ref="B81:B82" si="12">+$B$4</f>
        <v>Plant Design Capacity (kg of H2/day)</v>
      </c>
      <c r="C81" s="903">
        <f ca="1">+ROUND(C4,0)</f>
        <v>483000</v>
      </c>
      <c r="D81" s="885" t="str">
        <f t="shared" ref="D81:D82" ca="1" si="13">+B81&amp;" = "&amp;TEXT(C81,"0,000")</f>
        <v>Plant Design Capacity (kg of H2/day) = 483,000</v>
      </c>
      <c r="E81" s="898">
        <f t="shared" ref="E81:S81" si="14">+K$51</f>
        <v>1.9389370275971565</v>
      </c>
      <c r="F81" s="898">
        <f t="shared" si="14"/>
        <v>0</v>
      </c>
      <c r="G81" s="898">
        <f t="shared" si="14"/>
        <v>1.9532336675216178E-3</v>
      </c>
      <c r="H81" s="898">
        <f t="shared" si="14"/>
        <v>0.19679394037475487</v>
      </c>
      <c r="I81" s="898">
        <f t="shared" si="14"/>
        <v>2.5148873085919069E-2</v>
      </c>
      <c r="J81" s="898">
        <f t="shared" si="14"/>
        <v>2.113041182383766E-2</v>
      </c>
      <c r="K81" s="898">
        <f t="shared" si="14"/>
        <v>2.9544401990271528E-3</v>
      </c>
      <c r="L81" s="898">
        <f t="shared" si="14"/>
        <v>1.9415742333874339E-3</v>
      </c>
      <c r="M81" s="898">
        <f t="shared" si="14"/>
        <v>0.20583602739814111</v>
      </c>
      <c r="N81" s="898">
        <f t="shared" si="14"/>
        <v>1.058372327657447</v>
      </c>
      <c r="O81" s="898">
        <f t="shared" si="14"/>
        <v>3.7320310600916916E-2</v>
      </c>
      <c r="P81" s="898">
        <f t="shared" si="14"/>
        <v>0.24780594636845787</v>
      </c>
      <c r="Q81" s="898">
        <f t="shared" si="14"/>
        <v>0.11763260552256523</v>
      </c>
      <c r="R81" s="898">
        <f t="shared" si="14"/>
        <v>2.0669478976714461E-2</v>
      </c>
      <c r="S81" s="898">
        <f t="shared" si="14"/>
        <v>5.2843250235065703E-3</v>
      </c>
      <c r="T81" s="881"/>
      <c r="U81" s="881"/>
      <c r="V81" s="881"/>
      <c r="W81" s="881"/>
      <c r="X81" s="881"/>
      <c r="Y81" s="881"/>
      <c r="Z81" s="881"/>
      <c r="AA81" s="881"/>
      <c r="AB81" s="881"/>
      <c r="AC81" s="881"/>
      <c r="AD81" s="881"/>
      <c r="AE81" s="881"/>
      <c r="AF81" s="881"/>
      <c r="AG81" s="881"/>
      <c r="AH81" s="881"/>
      <c r="AI81" s="881"/>
      <c r="AJ81" s="881"/>
      <c r="AK81" s="881"/>
      <c r="AL81" s="881"/>
      <c r="AM81" s="881"/>
      <c r="AN81" s="881"/>
      <c r="AO81" s="881"/>
      <c r="AP81" s="881"/>
      <c r="AQ81" s="881"/>
      <c r="AR81" s="881"/>
      <c r="AS81" s="881"/>
      <c r="AT81" s="881"/>
      <c r="AU81" s="881"/>
      <c r="AV81" s="881"/>
      <c r="AW81" s="881"/>
      <c r="AX81" s="881"/>
      <c r="AY81" s="881"/>
      <c r="AZ81" s="881"/>
      <c r="BA81" s="881"/>
      <c r="BB81" s="881"/>
      <c r="BC81" s="881"/>
      <c r="BD81" s="881"/>
      <c r="BE81" s="881"/>
      <c r="BF81" s="881"/>
      <c r="BG81" s="881"/>
      <c r="BH81" s="881"/>
      <c r="BI81" s="881"/>
      <c r="BJ81" s="881"/>
      <c r="BK81" s="881"/>
      <c r="BL81" s="881"/>
      <c r="BM81" s="881"/>
      <c r="BN81" s="881"/>
      <c r="BO81" s="881"/>
      <c r="BP81" s="881"/>
      <c r="BQ81" s="881"/>
      <c r="BR81" s="881"/>
      <c r="BS81" s="881"/>
      <c r="BT81" s="881"/>
      <c r="BU81" s="881"/>
    </row>
    <row r="82" spans="1:73" x14ac:dyDescent="0.25">
      <c r="A82" s="881"/>
      <c r="B82" s="885" t="str">
        <f t="shared" si="12"/>
        <v>Plant Design Capacity (kg of H2/day)</v>
      </c>
      <c r="C82" s="903">
        <f ca="1">ROUND(I4,0)</f>
        <v>458850</v>
      </c>
      <c r="D82" s="885" t="str">
        <f t="shared" ca="1" si="13"/>
        <v>Plant Design Capacity (kg of H2/day) = 458,850</v>
      </c>
      <c r="E82" s="898">
        <f t="shared" ref="E82:S83" si="15">+K55</f>
        <v>1.9599105035261604</v>
      </c>
      <c r="F82" s="898">
        <f t="shared" si="15"/>
        <v>0</v>
      </c>
      <c r="G82" s="898">
        <f t="shared" si="15"/>
        <v>2.0035986884467554E-3</v>
      </c>
      <c r="H82" s="898">
        <f t="shared" si="15"/>
        <v>0.20187271159335321</v>
      </c>
      <c r="I82" s="898">
        <f t="shared" si="15"/>
        <v>2.5797904110785613E-2</v>
      </c>
      <c r="J82" s="898">
        <f t="shared" si="15"/>
        <v>2.1286779379127516E-2</v>
      </c>
      <c r="K82" s="898">
        <f t="shared" si="15"/>
        <v>3.0197475006259575E-3</v>
      </c>
      <c r="L82" s="898">
        <f t="shared" si="15"/>
        <v>1.9916815248849371E-3</v>
      </c>
      <c r="M82" s="898">
        <f t="shared" si="15"/>
        <v>0.21075915969750289</v>
      </c>
      <c r="N82" s="898">
        <f t="shared" si="15"/>
        <v>1.0583723276574473</v>
      </c>
      <c r="O82" s="898">
        <f t="shared" si="15"/>
        <v>3.732031060091693E-2</v>
      </c>
      <c r="P82" s="898">
        <f t="shared" si="15"/>
        <v>0.25434006797534392</v>
      </c>
      <c r="Q82" s="898">
        <f t="shared" si="15"/>
        <v>0.12066841592485229</v>
      </c>
      <c r="R82" s="898">
        <f t="shared" si="15"/>
        <v>2.1064295696666843E-2</v>
      </c>
      <c r="S82" s="898">
        <f t="shared" si="15"/>
        <v>5.4207005530985735E-3</v>
      </c>
      <c r="T82" s="881"/>
      <c r="U82" s="881"/>
      <c r="V82" s="881"/>
      <c r="W82" s="881"/>
      <c r="X82" s="881"/>
      <c r="Y82" s="881"/>
      <c r="Z82" s="881"/>
      <c r="AA82" s="881"/>
      <c r="AB82" s="881"/>
      <c r="AC82" s="881"/>
      <c r="AD82" s="881"/>
      <c r="AE82" s="881"/>
      <c r="AF82" s="881"/>
      <c r="AG82" s="881"/>
      <c r="AH82" s="881"/>
      <c r="AI82" s="881"/>
      <c r="AJ82" s="881"/>
      <c r="AK82" s="881"/>
      <c r="AL82" s="881"/>
      <c r="AM82" s="881"/>
      <c r="AN82" s="881"/>
      <c r="AO82" s="881"/>
      <c r="AP82" s="881"/>
      <c r="AQ82" s="881"/>
      <c r="AR82" s="881"/>
      <c r="AS82" s="881"/>
      <c r="AT82" s="881"/>
      <c r="AU82" s="881"/>
      <c r="AV82" s="881"/>
      <c r="AW82" s="881"/>
      <c r="AX82" s="881"/>
      <c r="AY82" s="881"/>
      <c r="AZ82" s="881"/>
      <c r="BA82" s="881"/>
      <c r="BB82" s="881"/>
      <c r="BC82" s="881"/>
      <c r="BD82" s="881"/>
      <c r="BE82" s="881"/>
      <c r="BF82" s="881"/>
      <c r="BG82" s="881"/>
      <c r="BH82" s="881"/>
      <c r="BI82" s="881"/>
      <c r="BJ82" s="881"/>
      <c r="BK82" s="881"/>
      <c r="BL82" s="881"/>
      <c r="BM82" s="881"/>
      <c r="BN82" s="881"/>
      <c r="BO82" s="881"/>
      <c r="BP82" s="881"/>
      <c r="BQ82" s="881"/>
      <c r="BR82" s="881"/>
      <c r="BS82" s="881"/>
      <c r="BT82" s="881"/>
      <c r="BU82" s="881"/>
    </row>
    <row r="83" spans="1:73" x14ac:dyDescent="0.25">
      <c r="A83" s="881"/>
      <c r="B83" s="885" t="str">
        <f>+$B$5</f>
        <v>After-tax Real IRR</v>
      </c>
      <c r="C83" s="894">
        <f ca="1">+ROUND(H5,2)</f>
        <v>0.08</v>
      </c>
      <c r="D83" s="885" t="str">
        <f t="shared" ref="D83:D85" ca="1" si="16">+B83&amp;" = "&amp;C83*100&amp;"%"</f>
        <v>After-tax Real IRR = 8%</v>
      </c>
      <c r="E83" s="898">
        <f t="shared" si="15"/>
        <v>1.9290766913385511</v>
      </c>
      <c r="F83" s="898">
        <f t="shared" si="15"/>
        <v>0</v>
      </c>
      <c r="G83" s="898">
        <f t="shared" si="15"/>
        <v>2.1692177733791062E-3</v>
      </c>
      <c r="H83" s="898">
        <f t="shared" si="15"/>
        <v>0.18701581734574246</v>
      </c>
      <c r="I83" s="898">
        <f t="shared" si="15"/>
        <v>2.5148873085919052E-2</v>
      </c>
      <c r="J83" s="898">
        <f t="shared" si="15"/>
        <v>2.0399899029474824E-2</v>
      </c>
      <c r="K83" s="898">
        <f t="shared" si="15"/>
        <v>2.8076425908643496E-3</v>
      </c>
      <c r="L83" s="898">
        <f t="shared" si="15"/>
        <v>2.1562690657196139E-3</v>
      </c>
      <c r="M83" s="898">
        <f t="shared" si="15"/>
        <v>0.20583602739814094</v>
      </c>
      <c r="N83" s="898">
        <f t="shared" si="15"/>
        <v>1.0630137048215176</v>
      </c>
      <c r="O83" s="898">
        <f t="shared" si="15"/>
        <v>3.7320310600916888E-2</v>
      </c>
      <c r="P83" s="898">
        <f t="shared" si="15"/>
        <v>0.24780594636845757</v>
      </c>
      <c r="Q83" s="898">
        <f t="shared" si="15"/>
        <v>0.1157486873077383</v>
      </c>
      <c r="R83" s="898">
        <f t="shared" si="15"/>
        <v>1.8124077914454931E-2</v>
      </c>
      <c r="S83" s="898">
        <f t="shared" si="15"/>
        <v>5.8686535829823088E-3</v>
      </c>
      <c r="T83" s="881"/>
      <c r="U83" s="881"/>
      <c r="V83" s="881"/>
      <c r="W83" s="881"/>
      <c r="X83" s="881"/>
      <c r="Y83" s="881"/>
      <c r="Z83" s="881"/>
      <c r="AA83" s="881"/>
      <c r="AB83" s="881"/>
      <c r="AC83" s="881"/>
      <c r="AD83" s="881"/>
      <c r="AE83" s="881"/>
      <c r="AF83" s="881"/>
      <c r="AG83" s="881"/>
      <c r="AH83" s="881"/>
      <c r="AI83" s="881"/>
      <c r="AJ83" s="881"/>
      <c r="AK83" s="881"/>
      <c r="AL83" s="881"/>
      <c r="AM83" s="881"/>
      <c r="AN83" s="881"/>
      <c r="AO83" s="881"/>
      <c r="AP83" s="881"/>
      <c r="AQ83" s="881"/>
      <c r="AR83" s="881"/>
      <c r="AS83" s="881"/>
      <c r="AT83" s="881"/>
      <c r="AU83" s="881"/>
      <c r="AV83" s="881"/>
      <c r="AW83" s="881"/>
      <c r="AX83" s="881"/>
      <c r="AY83" s="881"/>
      <c r="AZ83" s="881"/>
      <c r="BA83" s="881"/>
      <c r="BB83" s="881"/>
      <c r="BC83" s="881"/>
      <c r="BD83" s="881"/>
      <c r="BE83" s="881"/>
      <c r="BF83" s="881"/>
      <c r="BG83" s="881"/>
      <c r="BH83" s="881"/>
      <c r="BI83" s="881"/>
      <c r="BJ83" s="881"/>
      <c r="BK83" s="881"/>
      <c r="BL83" s="881"/>
      <c r="BM83" s="881"/>
      <c r="BN83" s="881"/>
      <c r="BO83" s="881"/>
      <c r="BP83" s="881"/>
      <c r="BQ83" s="881"/>
      <c r="BR83" s="881"/>
      <c r="BS83" s="881"/>
      <c r="BT83" s="881"/>
      <c r="BU83" s="881"/>
    </row>
    <row r="84" spans="1:73" x14ac:dyDescent="0.25">
      <c r="A84" s="881"/>
      <c r="B84" s="885" t="str">
        <f t="shared" ref="B84:B85" si="17">+$B$5</f>
        <v>After-tax Real IRR</v>
      </c>
      <c r="C84" s="894">
        <f ca="1">ROUND(C5,2)</f>
        <v>0.08</v>
      </c>
      <c r="D84" s="885" t="str">
        <f t="shared" ca="1" si="16"/>
        <v>After-tax Real IRR = 8%</v>
      </c>
      <c r="E84" s="898">
        <f t="shared" ref="E84:S84" si="18">+K$51</f>
        <v>1.9389370275971565</v>
      </c>
      <c r="F84" s="898">
        <f t="shared" si="18"/>
        <v>0</v>
      </c>
      <c r="G84" s="898">
        <f t="shared" si="18"/>
        <v>1.9532336675216178E-3</v>
      </c>
      <c r="H84" s="898">
        <f t="shared" si="18"/>
        <v>0.19679394037475487</v>
      </c>
      <c r="I84" s="898">
        <f t="shared" si="18"/>
        <v>2.5148873085919069E-2</v>
      </c>
      <c r="J84" s="898">
        <f t="shared" si="18"/>
        <v>2.113041182383766E-2</v>
      </c>
      <c r="K84" s="898">
        <f t="shared" si="18"/>
        <v>2.9544401990271528E-3</v>
      </c>
      <c r="L84" s="898">
        <f t="shared" si="18"/>
        <v>1.9415742333874339E-3</v>
      </c>
      <c r="M84" s="898">
        <f t="shared" si="18"/>
        <v>0.20583602739814111</v>
      </c>
      <c r="N84" s="898">
        <f t="shared" si="18"/>
        <v>1.058372327657447</v>
      </c>
      <c r="O84" s="898">
        <f t="shared" si="18"/>
        <v>3.7320310600916916E-2</v>
      </c>
      <c r="P84" s="898">
        <f t="shared" si="18"/>
        <v>0.24780594636845787</v>
      </c>
      <c r="Q84" s="898">
        <f t="shared" si="18"/>
        <v>0.11763260552256523</v>
      </c>
      <c r="R84" s="898">
        <f t="shared" si="18"/>
        <v>2.0669478976714461E-2</v>
      </c>
      <c r="S84" s="898">
        <f t="shared" si="18"/>
        <v>5.2843250235065703E-3</v>
      </c>
      <c r="T84" s="881"/>
      <c r="U84" s="881"/>
      <c r="V84" s="881"/>
      <c r="W84" s="881"/>
      <c r="X84" s="881"/>
      <c r="Y84" s="881"/>
      <c r="Z84" s="881"/>
      <c r="AA84" s="881"/>
      <c r="AB84" s="881"/>
      <c r="AC84" s="881"/>
      <c r="AD84" s="881"/>
      <c r="AE84" s="881"/>
      <c r="AF84" s="881"/>
      <c r="AG84" s="881"/>
      <c r="AH84" s="881"/>
      <c r="AI84" s="881"/>
      <c r="AJ84" s="881"/>
      <c r="AK84" s="881"/>
      <c r="AL84" s="881"/>
      <c r="AM84" s="881"/>
      <c r="AN84" s="881"/>
      <c r="AO84" s="881"/>
      <c r="AP84" s="881"/>
      <c r="AQ84" s="881"/>
      <c r="AR84" s="881"/>
      <c r="AS84" s="881"/>
      <c r="AT84" s="881"/>
      <c r="AU84" s="881"/>
      <c r="AV84" s="881"/>
      <c r="AW84" s="881"/>
      <c r="AX84" s="881"/>
      <c r="AY84" s="881"/>
      <c r="AZ84" s="881"/>
      <c r="BA84" s="881"/>
      <c r="BB84" s="881"/>
      <c r="BC84" s="881"/>
      <c r="BD84" s="881"/>
      <c r="BE84" s="881"/>
      <c r="BF84" s="881"/>
      <c r="BG84" s="881"/>
      <c r="BH84" s="881"/>
      <c r="BI84" s="881"/>
      <c r="BJ84" s="881"/>
      <c r="BK84" s="881"/>
      <c r="BL84" s="881"/>
      <c r="BM84" s="881"/>
      <c r="BN84" s="881"/>
      <c r="BO84" s="881"/>
      <c r="BP84" s="881"/>
      <c r="BQ84" s="881"/>
      <c r="BR84" s="881"/>
      <c r="BS84" s="881"/>
      <c r="BT84" s="881"/>
      <c r="BU84" s="881"/>
    </row>
    <row r="85" spans="1:73" x14ac:dyDescent="0.25">
      <c r="A85" s="881"/>
      <c r="B85" s="885" t="str">
        <f t="shared" si="17"/>
        <v>After-tax Real IRR</v>
      </c>
      <c r="C85" s="894">
        <f ca="1">ROUND(I5,2)</f>
        <v>0.08</v>
      </c>
      <c r="D85" s="885" t="str">
        <f t="shared" ca="1" si="16"/>
        <v>After-tax Real IRR = 8%</v>
      </c>
      <c r="E85" s="898">
        <f t="shared" ref="E85:S86" si="19">+K57</f>
        <v>1.9493013647008546</v>
      </c>
      <c r="F85" s="898">
        <f t="shared" si="19"/>
        <v>0</v>
      </c>
      <c r="G85" s="898">
        <f t="shared" si="19"/>
        <v>1.7573221180087559E-3</v>
      </c>
      <c r="H85" s="898">
        <f t="shared" si="19"/>
        <v>0.20679546825086914</v>
      </c>
      <c r="I85" s="898">
        <f t="shared" si="19"/>
        <v>2.5148873085919104E-2</v>
      </c>
      <c r="J85" s="898">
        <f t="shared" si="19"/>
        <v>2.1851611722266268E-2</v>
      </c>
      <c r="K85" s="898">
        <f t="shared" si="19"/>
        <v>3.1045917532498734E-3</v>
      </c>
      <c r="L85" s="898">
        <f t="shared" si="19"/>
        <v>1.7468321383262604E-3</v>
      </c>
      <c r="M85" s="898">
        <f t="shared" si="19"/>
        <v>0.20583602739814127</v>
      </c>
      <c r="N85" s="898">
        <f t="shared" si="19"/>
        <v>1.0538282952211235</v>
      </c>
      <c r="O85" s="898">
        <f t="shared" si="19"/>
        <v>3.7320310600916957E-2</v>
      </c>
      <c r="P85" s="898">
        <f t="shared" si="19"/>
        <v>0.24780594636845807</v>
      </c>
      <c r="Q85" s="898">
        <f t="shared" si="19"/>
        <v>0.11952372141745268</v>
      </c>
      <c r="R85" s="898">
        <f t="shared" si="19"/>
        <v>2.3342707624673029E-2</v>
      </c>
      <c r="S85" s="898">
        <f t="shared" si="19"/>
        <v>4.754301237464442E-3</v>
      </c>
      <c r="T85" s="881"/>
      <c r="U85" s="881"/>
      <c r="V85" s="881"/>
      <c r="W85" s="881"/>
      <c r="X85" s="881"/>
      <c r="Y85" s="881"/>
      <c r="Z85" s="881"/>
      <c r="AA85" s="881"/>
      <c r="AB85" s="881"/>
      <c r="AC85" s="881"/>
      <c r="AD85" s="881"/>
      <c r="AE85" s="881"/>
      <c r="AF85" s="881"/>
      <c r="AG85" s="881"/>
      <c r="AH85" s="881"/>
      <c r="AI85" s="881"/>
      <c r="AJ85" s="881"/>
      <c r="AK85" s="881"/>
      <c r="AL85" s="881"/>
      <c r="AM85" s="881"/>
      <c r="AN85" s="881"/>
      <c r="AO85" s="881"/>
      <c r="AP85" s="881"/>
      <c r="AQ85" s="881"/>
      <c r="AR85" s="881"/>
      <c r="AS85" s="881"/>
      <c r="AT85" s="881"/>
      <c r="AU85" s="881"/>
      <c r="AV85" s="881"/>
      <c r="AW85" s="881"/>
      <c r="AX85" s="881"/>
      <c r="AY85" s="881"/>
      <c r="AZ85" s="881"/>
      <c r="BA85" s="881"/>
      <c r="BB85" s="881"/>
      <c r="BC85" s="881"/>
      <c r="BD85" s="881"/>
      <c r="BE85" s="881"/>
      <c r="BF85" s="881"/>
      <c r="BG85" s="881"/>
      <c r="BH85" s="881"/>
      <c r="BI85" s="881"/>
      <c r="BJ85" s="881"/>
      <c r="BK85" s="881"/>
      <c r="BL85" s="881"/>
      <c r="BM85" s="881"/>
      <c r="BN85" s="881"/>
      <c r="BO85" s="881"/>
      <c r="BP85" s="881"/>
      <c r="BQ85" s="881"/>
      <c r="BR85" s="881"/>
      <c r="BS85" s="881"/>
      <c r="BT85" s="881"/>
      <c r="BU85" s="881"/>
    </row>
    <row r="86" spans="1:73" x14ac:dyDescent="0.25">
      <c r="A86" s="881"/>
      <c r="B86" s="885" t="str">
        <f>+$B$6</f>
        <v>Feedstock Consumption (% of baseline)</v>
      </c>
      <c r="C86" s="885">
        <f>+ROUND(H6,3)</f>
        <v>0.95</v>
      </c>
      <c r="D86" s="884" t="str">
        <f>+B86&amp;" = "&amp;C86*100&amp;"%"</f>
        <v>Feedstock Consumption (% of baseline) = 95%</v>
      </c>
      <c r="E86" s="906">
        <f t="shared" si="19"/>
        <v>1.9389370275971565</v>
      </c>
      <c r="F86" s="898">
        <f t="shared" si="19"/>
        <v>0</v>
      </c>
      <c r="G86" s="898">
        <f t="shared" si="19"/>
        <v>1.9532336675216178E-3</v>
      </c>
      <c r="H86" s="898">
        <f t="shared" si="19"/>
        <v>0.19679394037475487</v>
      </c>
      <c r="I86" s="898">
        <f t="shared" si="19"/>
        <v>2.5148873085919069E-2</v>
      </c>
      <c r="J86" s="898">
        <f t="shared" si="19"/>
        <v>2.113041182383766E-2</v>
      </c>
      <c r="K86" s="898">
        <f t="shared" si="19"/>
        <v>2.9544401990271528E-3</v>
      </c>
      <c r="L86" s="898">
        <f t="shared" si="19"/>
        <v>1.9415742333874339E-3</v>
      </c>
      <c r="M86" s="898">
        <f t="shared" si="19"/>
        <v>0.20583602739814111</v>
      </c>
      <c r="N86" s="898">
        <f t="shared" si="19"/>
        <v>1.058372327657447</v>
      </c>
      <c r="O86" s="898">
        <f t="shared" si="19"/>
        <v>3.7320310600916916E-2</v>
      </c>
      <c r="P86" s="898">
        <f t="shared" si="19"/>
        <v>0.24780594636845787</v>
      </c>
      <c r="Q86" s="898">
        <f t="shared" si="19"/>
        <v>0.11763260552256523</v>
      </c>
      <c r="R86" s="898">
        <f t="shared" si="19"/>
        <v>2.0669478976714461E-2</v>
      </c>
      <c r="S86" s="898">
        <f t="shared" si="19"/>
        <v>5.2843250235065703E-3</v>
      </c>
      <c r="T86" s="881"/>
      <c r="U86" s="881"/>
      <c r="V86" s="881"/>
      <c r="W86" s="881"/>
      <c r="X86" s="881"/>
      <c r="Y86" s="881"/>
      <c r="Z86" s="881"/>
      <c r="AA86" s="881"/>
      <c r="AB86" s="881"/>
      <c r="AC86" s="881"/>
      <c r="AD86" s="881"/>
      <c r="AE86" s="881"/>
      <c r="AF86" s="881"/>
      <c r="AG86" s="881"/>
      <c r="AH86" s="881"/>
      <c r="AI86" s="881"/>
      <c r="AJ86" s="881"/>
      <c r="AK86" s="881"/>
      <c r="AL86" s="881"/>
      <c r="AM86" s="881"/>
      <c r="AN86" s="881"/>
      <c r="AO86" s="881"/>
      <c r="AP86" s="881"/>
      <c r="AQ86" s="881"/>
      <c r="AR86" s="881"/>
      <c r="AS86" s="881"/>
      <c r="AT86" s="881"/>
      <c r="AU86" s="881"/>
      <c r="AV86" s="881"/>
      <c r="AW86" s="881"/>
      <c r="AX86" s="881"/>
      <c r="AY86" s="881"/>
      <c r="AZ86" s="881"/>
      <c r="BA86" s="881"/>
      <c r="BB86" s="881"/>
      <c r="BC86" s="881"/>
      <c r="BD86" s="881"/>
      <c r="BE86" s="881"/>
      <c r="BF86" s="881"/>
      <c r="BG86" s="881"/>
      <c r="BH86" s="881"/>
      <c r="BI86" s="881"/>
      <c r="BJ86" s="881"/>
      <c r="BK86" s="881"/>
      <c r="BL86" s="881"/>
      <c r="BM86" s="881"/>
      <c r="BN86" s="881"/>
      <c r="BO86" s="881"/>
      <c r="BP86" s="881"/>
      <c r="BQ86" s="881"/>
      <c r="BR86" s="881"/>
      <c r="BS86" s="881"/>
      <c r="BT86" s="881"/>
      <c r="BU86" s="881"/>
    </row>
    <row r="87" spans="1:73" x14ac:dyDescent="0.25">
      <c r="A87" s="881"/>
      <c r="B87" s="885" t="str">
        <f t="shared" ref="B87:B88" si="20">+$B$6</f>
        <v>Feedstock Consumption (% of baseline)</v>
      </c>
      <c r="C87" s="885">
        <f>+ROUND(C6,3)</f>
        <v>1</v>
      </c>
      <c r="D87" s="884" t="str">
        <f>+B87&amp;" = "&amp;C87*100&amp;"%"</f>
        <v>Feedstock Consumption (% of baseline) = 100%</v>
      </c>
      <c r="E87" s="906">
        <f t="shared" ref="E87:S87" si="21">+K$51</f>
        <v>1.9389370275971565</v>
      </c>
      <c r="F87" s="898">
        <f t="shared" si="21"/>
        <v>0</v>
      </c>
      <c r="G87" s="898">
        <f t="shared" si="21"/>
        <v>1.9532336675216178E-3</v>
      </c>
      <c r="H87" s="898">
        <f t="shared" si="21"/>
        <v>0.19679394037475487</v>
      </c>
      <c r="I87" s="898">
        <f t="shared" si="21"/>
        <v>2.5148873085919069E-2</v>
      </c>
      <c r="J87" s="898">
        <f t="shared" si="21"/>
        <v>2.113041182383766E-2</v>
      </c>
      <c r="K87" s="898">
        <f t="shared" si="21"/>
        <v>2.9544401990271528E-3</v>
      </c>
      <c r="L87" s="898">
        <f t="shared" si="21"/>
        <v>1.9415742333874339E-3</v>
      </c>
      <c r="M87" s="898">
        <f t="shared" si="21"/>
        <v>0.20583602739814111</v>
      </c>
      <c r="N87" s="898">
        <f t="shared" si="21"/>
        <v>1.058372327657447</v>
      </c>
      <c r="O87" s="898">
        <f t="shared" si="21"/>
        <v>3.7320310600916916E-2</v>
      </c>
      <c r="P87" s="898">
        <f t="shared" si="21"/>
        <v>0.24780594636845787</v>
      </c>
      <c r="Q87" s="898">
        <f t="shared" si="21"/>
        <v>0.11763260552256523</v>
      </c>
      <c r="R87" s="898">
        <f t="shared" si="21"/>
        <v>2.0669478976714461E-2</v>
      </c>
      <c r="S87" s="898">
        <f t="shared" si="21"/>
        <v>5.2843250235065703E-3</v>
      </c>
      <c r="T87" s="881"/>
      <c r="U87" s="881"/>
      <c r="V87" s="881"/>
      <c r="W87" s="881"/>
      <c r="X87" s="881"/>
      <c r="Y87" s="881"/>
      <c r="Z87" s="881"/>
      <c r="AA87" s="881"/>
      <c r="AB87" s="881"/>
      <c r="AC87" s="881"/>
      <c r="AD87" s="881"/>
      <c r="AE87" s="881"/>
      <c r="AF87" s="881"/>
      <c r="AG87" s="881"/>
      <c r="AH87" s="881"/>
      <c r="AI87" s="881"/>
      <c r="AJ87" s="881"/>
      <c r="AK87" s="881"/>
      <c r="AL87" s="881"/>
      <c r="AM87" s="881"/>
      <c r="AN87" s="881"/>
      <c r="AO87" s="881"/>
      <c r="AP87" s="881"/>
      <c r="AQ87" s="881"/>
      <c r="AR87" s="881"/>
      <c r="AS87" s="881"/>
      <c r="AT87" s="881"/>
      <c r="AU87" s="881"/>
      <c r="AV87" s="881"/>
      <c r="AW87" s="881"/>
      <c r="AX87" s="881"/>
      <c r="AY87" s="881"/>
      <c r="AZ87" s="881"/>
      <c r="BA87" s="881"/>
      <c r="BB87" s="881"/>
      <c r="BC87" s="881"/>
      <c r="BD87" s="881"/>
      <c r="BE87" s="881"/>
      <c r="BF87" s="881"/>
      <c r="BG87" s="881"/>
      <c r="BH87" s="881"/>
      <c r="BI87" s="881"/>
      <c r="BJ87" s="881"/>
      <c r="BK87" s="881"/>
      <c r="BL87" s="881"/>
      <c r="BM87" s="881"/>
      <c r="BN87" s="881"/>
      <c r="BO87" s="881"/>
      <c r="BP87" s="881"/>
      <c r="BQ87" s="881"/>
      <c r="BR87" s="881"/>
      <c r="BS87" s="881"/>
      <c r="BT87" s="881"/>
      <c r="BU87" s="881"/>
    </row>
    <row r="88" spans="1:73" x14ac:dyDescent="0.25">
      <c r="A88" s="881"/>
      <c r="B88" s="885" t="str">
        <f t="shared" si="20"/>
        <v>Feedstock Consumption (% of baseline)</v>
      </c>
      <c r="C88" s="885">
        <f>+ROUND(I6,3)</f>
        <v>1.05</v>
      </c>
      <c r="D88" s="884" t="str">
        <f>+B88&amp;" = "&amp;C88*100&amp;"%"</f>
        <v>Feedstock Consumption (% of baseline) = 105%</v>
      </c>
      <c r="E88" s="906">
        <f t="shared" ref="E88:S89" si="22">+K59</f>
        <v>1.9389370275971565</v>
      </c>
      <c r="F88" s="898">
        <f t="shared" si="22"/>
        <v>0</v>
      </c>
      <c r="G88" s="898">
        <f t="shared" si="22"/>
        <v>1.9532336675216178E-3</v>
      </c>
      <c r="H88" s="898">
        <f t="shared" si="22"/>
        <v>0.19679394037475487</v>
      </c>
      <c r="I88" s="898">
        <f t="shared" si="22"/>
        <v>2.5148873085919069E-2</v>
      </c>
      <c r="J88" s="898">
        <f t="shared" si="22"/>
        <v>2.113041182383766E-2</v>
      </c>
      <c r="K88" s="898">
        <f t="shared" si="22"/>
        <v>2.9544401990271528E-3</v>
      </c>
      <c r="L88" s="898">
        <f t="shared" si="22"/>
        <v>1.9415742333874339E-3</v>
      </c>
      <c r="M88" s="898">
        <f t="shared" si="22"/>
        <v>0.20583602739814111</v>
      </c>
      <c r="N88" s="898">
        <f t="shared" si="22"/>
        <v>1.058372327657447</v>
      </c>
      <c r="O88" s="898">
        <f t="shared" si="22"/>
        <v>3.7320310600916916E-2</v>
      </c>
      <c r="P88" s="898">
        <f t="shared" si="22"/>
        <v>0.24780594636845787</v>
      </c>
      <c r="Q88" s="898">
        <f t="shared" si="22"/>
        <v>0.11763260552256523</v>
      </c>
      <c r="R88" s="898">
        <f t="shared" si="22"/>
        <v>2.0669478976714461E-2</v>
      </c>
      <c r="S88" s="898">
        <f t="shared" si="22"/>
        <v>5.2843250235065703E-3</v>
      </c>
      <c r="T88" s="881"/>
      <c r="U88" s="881"/>
      <c r="V88" s="881"/>
      <c r="W88" s="881"/>
      <c r="X88" s="881"/>
      <c r="Y88" s="881"/>
      <c r="Z88" s="881"/>
      <c r="AA88" s="881"/>
      <c r="AB88" s="881"/>
      <c r="AC88" s="881"/>
      <c r="AD88" s="881"/>
      <c r="AE88" s="881"/>
      <c r="AF88" s="881"/>
      <c r="AG88" s="881"/>
      <c r="AH88" s="881"/>
      <c r="AI88" s="881"/>
      <c r="AJ88" s="881"/>
      <c r="AK88" s="881"/>
      <c r="AL88" s="881"/>
      <c r="AM88" s="881"/>
      <c r="AN88" s="881"/>
      <c r="AO88" s="881"/>
      <c r="AP88" s="881"/>
      <c r="AQ88" s="881"/>
      <c r="AR88" s="881"/>
      <c r="AS88" s="881"/>
      <c r="AT88" s="881"/>
      <c r="AU88" s="881"/>
      <c r="AV88" s="881"/>
      <c r="AW88" s="881"/>
      <c r="AX88" s="881"/>
      <c r="AY88" s="881"/>
      <c r="AZ88" s="881"/>
      <c r="BA88" s="881"/>
      <c r="BB88" s="881"/>
      <c r="BC88" s="881"/>
      <c r="BD88" s="881"/>
      <c r="BE88" s="881"/>
      <c r="BF88" s="881"/>
      <c r="BG88" s="881"/>
      <c r="BH88" s="881"/>
      <c r="BI88" s="881"/>
      <c r="BJ88" s="881"/>
      <c r="BK88" s="881"/>
      <c r="BL88" s="881"/>
      <c r="BM88" s="881"/>
      <c r="BN88" s="881"/>
      <c r="BO88" s="881"/>
      <c r="BP88" s="881"/>
      <c r="BQ88" s="881"/>
      <c r="BR88" s="881"/>
      <c r="BS88" s="881"/>
      <c r="BT88" s="881"/>
      <c r="BU88" s="881"/>
    </row>
    <row r="89" spans="1:73" x14ac:dyDescent="0.25">
      <c r="A89" s="881"/>
      <c r="B89" s="885" t="str">
        <f>+$B$7</f>
        <v>Utilities Consumption (% of baseline)</v>
      </c>
      <c r="C89" s="885">
        <f>+ROUND(H7,3)</f>
        <v>0.95</v>
      </c>
      <c r="D89" s="884" t="str">
        <f t="shared" ref="D89:D91" si="23">+B89&amp;" = "&amp;C89*100&amp;"%"</f>
        <v>Utilities Consumption (% of baseline) = 95%</v>
      </c>
      <c r="E89" s="906">
        <f t="shared" si="22"/>
        <v>1.9389370275971565</v>
      </c>
      <c r="F89" s="906">
        <f t="shared" si="22"/>
        <v>0</v>
      </c>
      <c r="G89" s="906">
        <f t="shared" si="22"/>
        <v>1.9532336675216178E-3</v>
      </c>
      <c r="H89" s="906">
        <f t="shared" si="22"/>
        <v>0.19679394037475487</v>
      </c>
      <c r="I89" s="906">
        <f t="shared" si="22"/>
        <v>2.5148873085919069E-2</v>
      </c>
      <c r="J89" s="906">
        <f t="shared" si="22"/>
        <v>2.113041182383766E-2</v>
      </c>
      <c r="K89" s="906">
        <f t="shared" si="22"/>
        <v>2.9544401990271528E-3</v>
      </c>
      <c r="L89" s="906">
        <f t="shared" si="22"/>
        <v>1.9415742333874339E-3</v>
      </c>
      <c r="M89" s="906">
        <f t="shared" si="22"/>
        <v>0.20583602739814111</v>
      </c>
      <c r="N89" s="906">
        <f t="shared" si="22"/>
        <v>1.058372327657447</v>
      </c>
      <c r="O89" s="906">
        <f t="shared" si="22"/>
        <v>3.7320310600916916E-2</v>
      </c>
      <c r="P89" s="906">
        <f t="shared" si="22"/>
        <v>0.24780594636845787</v>
      </c>
      <c r="Q89" s="906">
        <f t="shared" si="22"/>
        <v>0.11763260552256523</v>
      </c>
      <c r="R89" s="906">
        <f t="shared" si="22"/>
        <v>2.0669478976714461E-2</v>
      </c>
      <c r="S89" s="906">
        <f t="shared" si="22"/>
        <v>5.2843250235065703E-3</v>
      </c>
      <c r="T89" s="881"/>
      <c r="U89" s="881"/>
      <c r="V89" s="881"/>
      <c r="W89" s="881"/>
      <c r="X89" s="881"/>
      <c r="Y89" s="881"/>
      <c r="Z89" s="881"/>
      <c r="AA89" s="881"/>
      <c r="AB89" s="881"/>
      <c r="AC89" s="881"/>
      <c r="AD89" s="881"/>
      <c r="AE89" s="881"/>
      <c r="AF89" s="881"/>
      <c r="AG89" s="881"/>
      <c r="AH89" s="881"/>
      <c r="AI89" s="881"/>
      <c r="AJ89" s="881"/>
      <c r="AK89" s="881"/>
      <c r="AL89" s="881"/>
      <c r="AM89" s="881"/>
      <c r="AN89" s="881"/>
      <c r="AO89" s="881"/>
      <c r="AP89" s="881"/>
      <c r="AQ89" s="881"/>
      <c r="AR89" s="881"/>
      <c r="AS89" s="881"/>
      <c r="AT89" s="881"/>
      <c r="AU89" s="881"/>
      <c r="AV89" s="881"/>
      <c r="AW89" s="881"/>
      <c r="AX89" s="881"/>
      <c r="AY89" s="881"/>
      <c r="AZ89" s="881"/>
      <c r="BA89" s="881"/>
      <c r="BB89" s="881"/>
      <c r="BC89" s="881"/>
      <c r="BD89" s="881"/>
      <c r="BE89" s="881"/>
      <c r="BF89" s="881"/>
      <c r="BG89" s="881"/>
      <c r="BH89" s="881"/>
      <c r="BI89" s="881"/>
      <c r="BJ89" s="881"/>
      <c r="BK89" s="881"/>
      <c r="BL89" s="881"/>
      <c r="BM89" s="881"/>
      <c r="BN89" s="881"/>
      <c r="BO89" s="881"/>
      <c r="BP89" s="881"/>
      <c r="BQ89" s="881"/>
      <c r="BR89" s="881"/>
      <c r="BS89" s="881"/>
      <c r="BT89" s="881"/>
      <c r="BU89" s="881"/>
    </row>
    <row r="90" spans="1:73" x14ac:dyDescent="0.25">
      <c r="A90" s="881"/>
      <c r="B90" s="885" t="str">
        <f t="shared" ref="B90:B91" si="24">+$B$7</f>
        <v>Utilities Consumption (% of baseline)</v>
      </c>
      <c r="C90" s="885">
        <f>+ROUND(C7,3)</f>
        <v>1</v>
      </c>
      <c r="D90" s="884" t="str">
        <f t="shared" si="23"/>
        <v>Utilities Consumption (% of baseline) = 100%</v>
      </c>
      <c r="E90" s="906">
        <f>+K$51</f>
        <v>1.9389370275971565</v>
      </c>
      <c r="F90" s="906">
        <f t="shared" ref="F90:S90" si="25">+L$51</f>
        <v>0</v>
      </c>
      <c r="G90" s="906">
        <f t="shared" si="25"/>
        <v>1.9532336675216178E-3</v>
      </c>
      <c r="H90" s="906">
        <f t="shared" si="25"/>
        <v>0.19679394037475487</v>
      </c>
      <c r="I90" s="906">
        <f t="shared" si="25"/>
        <v>2.5148873085919069E-2</v>
      </c>
      <c r="J90" s="906">
        <f t="shared" si="25"/>
        <v>2.113041182383766E-2</v>
      </c>
      <c r="K90" s="906">
        <f t="shared" si="25"/>
        <v>2.9544401990271528E-3</v>
      </c>
      <c r="L90" s="906">
        <f t="shared" si="25"/>
        <v>1.9415742333874339E-3</v>
      </c>
      <c r="M90" s="906">
        <f t="shared" si="25"/>
        <v>0.20583602739814111</v>
      </c>
      <c r="N90" s="906">
        <f t="shared" si="25"/>
        <v>1.058372327657447</v>
      </c>
      <c r="O90" s="906">
        <f t="shared" si="25"/>
        <v>3.7320310600916916E-2</v>
      </c>
      <c r="P90" s="906">
        <f t="shared" si="25"/>
        <v>0.24780594636845787</v>
      </c>
      <c r="Q90" s="906">
        <f t="shared" si="25"/>
        <v>0.11763260552256523</v>
      </c>
      <c r="R90" s="906">
        <f t="shared" si="25"/>
        <v>2.0669478976714461E-2</v>
      </c>
      <c r="S90" s="906">
        <f t="shared" si="25"/>
        <v>5.2843250235065703E-3</v>
      </c>
      <c r="T90" s="881"/>
      <c r="U90" s="881"/>
      <c r="V90" s="881"/>
      <c r="W90" s="881"/>
      <c r="X90" s="881"/>
      <c r="Y90" s="881"/>
      <c r="Z90" s="881"/>
      <c r="AA90" s="881"/>
      <c r="AB90" s="881"/>
      <c r="AC90" s="881"/>
      <c r="AD90" s="881"/>
      <c r="AE90" s="881"/>
      <c r="AF90" s="881"/>
      <c r="AG90" s="881"/>
      <c r="AH90" s="881"/>
      <c r="AI90" s="881"/>
      <c r="AJ90" s="881"/>
      <c r="AK90" s="881"/>
      <c r="AL90" s="881"/>
      <c r="AM90" s="881"/>
      <c r="AN90" s="881"/>
      <c r="AO90" s="881"/>
      <c r="AP90" s="881"/>
      <c r="AQ90" s="881"/>
      <c r="AR90" s="881"/>
      <c r="AS90" s="881"/>
      <c r="AT90" s="881"/>
      <c r="AU90" s="881"/>
      <c r="AV90" s="881"/>
      <c r="AW90" s="881"/>
      <c r="AX90" s="881"/>
      <c r="AY90" s="881"/>
      <c r="AZ90" s="881"/>
      <c r="BA90" s="881"/>
      <c r="BB90" s="881"/>
      <c r="BC90" s="881"/>
      <c r="BD90" s="881"/>
      <c r="BE90" s="881"/>
      <c r="BF90" s="881"/>
      <c r="BG90" s="881"/>
      <c r="BH90" s="881"/>
      <c r="BI90" s="881"/>
      <c r="BJ90" s="881"/>
      <c r="BK90" s="881"/>
      <c r="BL90" s="881"/>
      <c r="BM90" s="881"/>
      <c r="BN90" s="881"/>
      <c r="BO90" s="881"/>
      <c r="BP90" s="881"/>
      <c r="BQ90" s="881"/>
      <c r="BR90" s="881"/>
      <c r="BS90" s="881"/>
      <c r="BT90" s="881"/>
      <c r="BU90" s="881"/>
    </row>
    <row r="91" spans="1:73" x14ac:dyDescent="0.25">
      <c r="A91" s="881"/>
      <c r="B91" s="885" t="str">
        <f t="shared" si="24"/>
        <v>Utilities Consumption (% of baseline)</v>
      </c>
      <c r="C91" s="885">
        <f>+ROUND(I7,3)</f>
        <v>1.05</v>
      </c>
      <c r="D91" s="884" t="str">
        <f t="shared" si="23"/>
        <v>Utilities Consumption (% of baseline) = 105%</v>
      </c>
      <c r="E91" s="906">
        <f t="shared" ref="E91:S92" si="26">+K61</f>
        <v>1.9389370275971565</v>
      </c>
      <c r="F91" s="906">
        <f t="shared" si="26"/>
        <v>0</v>
      </c>
      <c r="G91" s="906">
        <f t="shared" si="26"/>
        <v>1.9532336675216178E-3</v>
      </c>
      <c r="H91" s="906">
        <f t="shared" si="26"/>
        <v>0.19679394037475487</v>
      </c>
      <c r="I91" s="906">
        <f t="shared" si="26"/>
        <v>2.5148873085919069E-2</v>
      </c>
      <c r="J91" s="906">
        <f t="shared" si="26"/>
        <v>2.113041182383766E-2</v>
      </c>
      <c r="K91" s="906">
        <f t="shared" si="26"/>
        <v>2.9544401990271528E-3</v>
      </c>
      <c r="L91" s="906">
        <f t="shared" si="26"/>
        <v>1.9415742333874339E-3</v>
      </c>
      <c r="M91" s="906">
        <f t="shared" si="26"/>
        <v>0.20583602739814111</v>
      </c>
      <c r="N91" s="906">
        <f t="shared" si="26"/>
        <v>1.058372327657447</v>
      </c>
      <c r="O91" s="906">
        <f t="shared" si="26"/>
        <v>3.7320310600916916E-2</v>
      </c>
      <c r="P91" s="906">
        <f t="shared" si="26"/>
        <v>0.24780594636845787</v>
      </c>
      <c r="Q91" s="906">
        <f t="shared" si="26"/>
        <v>0.11763260552256523</v>
      </c>
      <c r="R91" s="906">
        <f t="shared" si="26"/>
        <v>2.0669478976714461E-2</v>
      </c>
      <c r="S91" s="906">
        <f t="shared" si="26"/>
        <v>5.2843250235065703E-3</v>
      </c>
      <c r="T91" s="881"/>
      <c r="U91" s="881"/>
      <c r="V91" s="881"/>
      <c r="W91" s="881"/>
      <c r="X91" s="881"/>
      <c r="Y91" s="881"/>
      <c r="Z91" s="881"/>
      <c r="AA91" s="881"/>
      <c r="AB91" s="881"/>
      <c r="AC91" s="881"/>
      <c r="AD91" s="881"/>
      <c r="AE91" s="881"/>
      <c r="AF91" s="881"/>
      <c r="AG91" s="881"/>
      <c r="AH91" s="881"/>
      <c r="AI91" s="881"/>
      <c r="AJ91" s="881"/>
      <c r="AK91" s="881"/>
      <c r="AL91" s="881"/>
      <c r="AM91" s="881"/>
      <c r="AN91" s="881"/>
      <c r="AO91" s="881"/>
      <c r="AP91" s="881"/>
      <c r="AQ91" s="881"/>
      <c r="AR91" s="881"/>
      <c r="AS91" s="881"/>
      <c r="AT91" s="881"/>
      <c r="AU91" s="881"/>
      <c r="AV91" s="881"/>
      <c r="AW91" s="881"/>
      <c r="AX91" s="881"/>
      <c r="AY91" s="881"/>
      <c r="AZ91" s="881"/>
      <c r="BA91" s="881"/>
      <c r="BB91" s="881"/>
      <c r="BC91" s="881"/>
      <c r="BD91" s="881"/>
      <c r="BE91" s="881"/>
      <c r="BF91" s="881"/>
      <c r="BG91" s="881"/>
      <c r="BH91" s="881"/>
      <c r="BI91" s="881"/>
      <c r="BJ91" s="881"/>
      <c r="BK91" s="881"/>
      <c r="BL91" s="881"/>
      <c r="BM91" s="881"/>
      <c r="BN91" s="881"/>
      <c r="BO91" s="881"/>
      <c r="BP91" s="881"/>
      <c r="BQ91" s="881"/>
      <c r="BR91" s="881"/>
      <c r="BS91" s="881"/>
      <c r="BT91" s="881"/>
      <c r="BU91" s="881"/>
    </row>
    <row r="92" spans="1:73" x14ac:dyDescent="0.25">
      <c r="A92" s="881"/>
      <c r="B92" s="885" t="str">
        <f>+$B$8</f>
        <v>Total Capital Investment</v>
      </c>
      <c r="C92" s="903">
        <f ca="1">+ROUND(H8,0)</f>
        <v>762701914</v>
      </c>
      <c r="D92" s="885" t="str">
        <f t="shared" ref="D92:D97" ca="1" si="27">+B92&amp;" = "&amp;TEXT(C92/1000,"$0,000K")</f>
        <v>Total Capital Investment = $762,702K</v>
      </c>
      <c r="E92" s="898">
        <f t="shared" si="26"/>
        <v>1.9173021997116375</v>
      </c>
      <c r="F92" s="898">
        <f t="shared" si="26"/>
        <v>0</v>
      </c>
      <c r="G92" s="898">
        <f t="shared" si="26"/>
        <v>1.8555719841455364E-3</v>
      </c>
      <c r="H92" s="898">
        <f t="shared" si="26"/>
        <v>0.18689515455203651</v>
      </c>
      <c r="I92" s="898">
        <f t="shared" si="26"/>
        <v>2.5148873085919069E-2</v>
      </c>
      <c r="J92" s="898">
        <f t="shared" si="26"/>
        <v>2.1061353690481666E-2</v>
      </c>
      <c r="K92" s="898">
        <f t="shared" si="26"/>
        <v>2.9544401990271528E-3</v>
      </c>
      <c r="L92" s="898">
        <f t="shared" si="26"/>
        <v>1.8439125500113519E-3</v>
      </c>
      <c r="M92" s="898">
        <f t="shared" si="26"/>
        <v>0.20077604825678791</v>
      </c>
      <c r="N92" s="898">
        <f t="shared" si="26"/>
        <v>1.058372327657447</v>
      </c>
      <c r="O92" s="898">
        <f t="shared" si="26"/>
        <v>3.7320310600916916E-2</v>
      </c>
      <c r="P92" s="898">
        <f t="shared" si="26"/>
        <v>0.24780594636845787</v>
      </c>
      <c r="Q92" s="898">
        <f t="shared" si="26"/>
        <v>0.11171565520580873</v>
      </c>
      <c r="R92" s="898">
        <f t="shared" si="26"/>
        <v>2.0245227413365131E-2</v>
      </c>
      <c r="S92" s="898">
        <f t="shared" si="26"/>
        <v>5.0185221155221527E-3</v>
      </c>
      <c r="T92" s="881"/>
      <c r="U92" s="881"/>
      <c r="V92" s="881"/>
      <c r="W92" s="881"/>
      <c r="X92" s="881"/>
      <c r="Y92" s="881"/>
      <c r="Z92" s="881"/>
      <c r="AA92" s="881"/>
      <c r="AB92" s="881"/>
      <c r="AC92" s="881"/>
      <c r="AD92" s="881"/>
      <c r="AE92" s="881"/>
      <c r="AF92" s="881"/>
      <c r="AG92" s="881"/>
      <c r="AH92" s="881"/>
      <c r="AI92" s="881"/>
      <c r="AJ92" s="881"/>
      <c r="AK92" s="881"/>
      <c r="AL92" s="881"/>
      <c r="AM92" s="881"/>
      <c r="AN92" s="881"/>
      <c r="AO92" s="881"/>
      <c r="AP92" s="881"/>
      <c r="AQ92" s="881"/>
      <c r="AR92" s="881"/>
      <c r="AS92" s="881"/>
      <c r="AT92" s="881"/>
      <c r="AU92" s="881"/>
      <c r="AV92" s="881"/>
      <c r="AW92" s="881"/>
      <c r="AX92" s="881"/>
      <c r="AY92" s="881"/>
      <c r="AZ92" s="881"/>
      <c r="BA92" s="881"/>
      <c r="BB92" s="881"/>
      <c r="BC92" s="881"/>
      <c r="BD92" s="881"/>
      <c r="BE92" s="881"/>
      <c r="BF92" s="881"/>
      <c r="BG92" s="881"/>
      <c r="BH92" s="881"/>
      <c r="BI92" s="881"/>
      <c r="BJ92" s="881"/>
      <c r="BK92" s="881"/>
      <c r="BL92" s="881"/>
      <c r="BM92" s="881"/>
      <c r="BN92" s="881"/>
      <c r="BO92" s="881"/>
      <c r="BP92" s="881"/>
      <c r="BQ92" s="881"/>
      <c r="BR92" s="881"/>
      <c r="BS92" s="881"/>
      <c r="BT92" s="881"/>
      <c r="BU92" s="881"/>
    </row>
    <row r="93" spans="1:73" x14ac:dyDescent="0.25">
      <c r="A93" s="881"/>
      <c r="B93" s="885" t="str">
        <f t="shared" ref="B93:B94" si="28">+$B$8</f>
        <v>Total Capital Investment</v>
      </c>
      <c r="C93" s="903">
        <f ca="1">+ROUND(C8,0)</f>
        <v>802844120</v>
      </c>
      <c r="D93" s="885" t="str">
        <f t="shared" ca="1" si="27"/>
        <v>Total Capital Investment = $802,844K</v>
      </c>
      <c r="E93" s="898">
        <f t="shared" ref="E93:S93" si="29">+K$51</f>
        <v>1.9389370275971565</v>
      </c>
      <c r="F93" s="898">
        <f t="shared" si="29"/>
        <v>0</v>
      </c>
      <c r="G93" s="898">
        <f t="shared" si="29"/>
        <v>1.9532336675216178E-3</v>
      </c>
      <c r="H93" s="898">
        <f t="shared" si="29"/>
        <v>0.19679394037475487</v>
      </c>
      <c r="I93" s="898">
        <f t="shared" si="29"/>
        <v>2.5148873085919069E-2</v>
      </c>
      <c r="J93" s="898">
        <f t="shared" si="29"/>
        <v>2.113041182383766E-2</v>
      </c>
      <c r="K93" s="898">
        <f t="shared" si="29"/>
        <v>2.9544401990271528E-3</v>
      </c>
      <c r="L93" s="898">
        <f t="shared" si="29"/>
        <v>1.9415742333874339E-3</v>
      </c>
      <c r="M93" s="898">
        <f t="shared" si="29"/>
        <v>0.20583602739814111</v>
      </c>
      <c r="N93" s="898">
        <f t="shared" si="29"/>
        <v>1.058372327657447</v>
      </c>
      <c r="O93" s="898">
        <f t="shared" si="29"/>
        <v>3.7320310600916916E-2</v>
      </c>
      <c r="P93" s="898">
        <f t="shared" si="29"/>
        <v>0.24780594636845787</v>
      </c>
      <c r="Q93" s="898">
        <f t="shared" si="29"/>
        <v>0.11763260552256523</v>
      </c>
      <c r="R93" s="898">
        <f t="shared" si="29"/>
        <v>2.0669478976714461E-2</v>
      </c>
      <c r="S93" s="898">
        <f t="shared" si="29"/>
        <v>5.2843250235065703E-3</v>
      </c>
      <c r="T93" s="881"/>
      <c r="U93" s="881"/>
      <c r="V93" s="881"/>
      <c r="W93" s="881"/>
      <c r="X93" s="881"/>
      <c r="Y93" s="881"/>
      <c r="Z93" s="881"/>
      <c r="AA93" s="881"/>
      <c r="AB93" s="881"/>
      <c r="AC93" s="881"/>
      <c r="AD93" s="881"/>
      <c r="AE93" s="881"/>
      <c r="AF93" s="881"/>
      <c r="AG93" s="881"/>
      <c r="AH93" s="881"/>
      <c r="AI93" s="881"/>
      <c r="AJ93" s="881"/>
      <c r="AK93" s="881"/>
      <c r="AL93" s="881"/>
      <c r="AM93" s="881"/>
      <c r="AN93" s="881"/>
      <c r="AO93" s="881"/>
      <c r="AP93" s="881"/>
      <c r="AQ93" s="881"/>
      <c r="AR93" s="881"/>
      <c r="AS93" s="881"/>
      <c r="AT93" s="881"/>
      <c r="AU93" s="881"/>
      <c r="AV93" s="881"/>
      <c r="AW93" s="881"/>
      <c r="AX93" s="881"/>
      <c r="AY93" s="881"/>
      <c r="AZ93" s="881"/>
      <c r="BA93" s="881"/>
      <c r="BB93" s="881"/>
      <c r="BC93" s="881"/>
      <c r="BD93" s="881"/>
      <c r="BE93" s="881"/>
      <c r="BF93" s="881"/>
      <c r="BG93" s="881"/>
      <c r="BH93" s="881"/>
      <c r="BI93" s="881"/>
      <c r="BJ93" s="881"/>
      <c r="BK93" s="881"/>
      <c r="BL93" s="881"/>
      <c r="BM93" s="881"/>
      <c r="BN93" s="881"/>
      <c r="BO93" s="881"/>
      <c r="BP93" s="881"/>
      <c r="BQ93" s="881"/>
      <c r="BR93" s="881"/>
      <c r="BS93" s="881"/>
      <c r="BT93" s="881"/>
      <c r="BU93" s="881"/>
    </row>
    <row r="94" spans="1:73" x14ac:dyDescent="0.25">
      <c r="A94" s="881"/>
      <c r="B94" s="885" t="str">
        <f t="shared" si="28"/>
        <v>Total Capital Investment</v>
      </c>
      <c r="C94" s="903">
        <f ca="1">+ROUND(I8,0)</f>
        <v>842986326</v>
      </c>
      <c r="D94" s="885" t="str">
        <f t="shared" ca="1" si="27"/>
        <v>Total Capital Investment = $842,986K</v>
      </c>
      <c r="E94" s="898">
        <f t="shared" ref="E94:S95" si="30">+K63</f>
        <v>1.960571855482673</v>
      </c>
      <c r="F94" s="898">
        <f t="shared" si="30"/>
        <v>0</v>
      </c>
      <c r="G94" s="898">
        <f t="shared" si="30"/>
        <v>2.0508953508976985E-3</v>
      </c>
      <c r="H94" s="898">
        <f t="shared" si="30"/>
        <v>0.20669272619747317</v>
      </c>
      <c r="I94" s="898">
        <f t="shared" si="30"/>
        <v>2.5148873085919069E-2</v>
      </c>
      <c r="J94" s="898">
        <f t="shared" si="30"/>
        <v>2.1199469957193642E-2</v>
      </c>
      <c r="K94" s="898">
        <f t="shared" si="30"/>
        <v>2.9544401990271528E-3</v>
      </c>
      <c r="L94" s="898">
        <f t="shared" si="30"/>
        <v>2.039235916763514E-3</v>
      </c>
      <c r="M94" s="898">
        <f t="shared" si="30"/>
        <v>0.21089600653949414</v>
      </c>
      <c r="N94" s="898">
        <f t="shared" si="30"/>
        <v>1.058372327657447</v>
      </c>
      <c r="O94" s="898">
        <f t="shared" si="30"/>
        <v>3.7320310600916916E-2</v>
      </c>
      <c r="P94" s="898">
        <f t="shared" si="30"/>
        <v>0.24780594636845787</v>
      </c>
      <c r="Q94" s="898">
        <f t="shared" si="30"/>
        <v>0.12354955583932185</v>
      </c>
      <c r="R94" s="898">
        <f t="shared" si="30"/>
        <v>2.1093730540063891E-2</v>
      </c>
      <c r="S94" s="898">
        <f t="shared" si="30"/>
        <v>5.5501279314909913E-3</v>
      </c>
      <c r="T94" s="881"/>
      <c r="U94" s="881"/>
      <c r="V94" s="881"/>
      <c r="W94" s="881"/>
      <c r="X94" s="881"/>
      <c r="Y94" s="881"/>
      <c r="Z94" s="881"/>
      <c r="AA94" s="881"/>
      <c r="AB94" s="881"/>
      <c r="AC94" s="881"/>
      <c r="AD94" s="881"/>
      <c r="AE94" s="881"/>
      <c r="AF94" s="881"/>
      <c r="AG94" s="881"/>
      <c r="AH94" s="881"/>
      <c r="AI94" s="881"/>
      <c r="AJ94" s="881"/>
      <c r="AK94" s="881"/>
      <c r="AL94" s="881"/>
      <c r="AM94" s="881"/>
      <c r="AN94" s="881"/>
      <c r="AO94" s="881"/>
      <c r="AP94" s="881"/>
      <c r="AQ94" s="881"/>
      <c r="AR94" s="881"/>
      <c r="AS94" s="881"/>
      <c r="AT94" s="881"/>
      <c r="AU94" s="881"/>
      <c r="AV94" s="881"/>
      <c r="AW94" s="881"/>
      <c r="AX94" s="881"/>
      <c r="AY94" s="881"/>
      <c r="AZ94" s="881"/>
      <c r="BA94" s="881"/>
      <c r="BB94" s="881"/>
      <c r="BC94" s="881"/>
      <c r="BD94" s="881"/>
      <c r="BE94" s="881"/>
      <c r="BF94" s="881"/>
      <c r="BG94" s="881"/>
      <c r="BH94" s="881"/>
      <c r="BI94" s="881"/>
      <c r="BJ94" s="881"/>
      <c r="BK94" s="881"/>
      <c r="BL94" s="881"/>
      <c r="BM94" s="881"/>
      <c r="BN94" s="881"/>
      <c r="BO94" s="881"/>
      <c r="BP94" s="881"/>
      <c r="BQ94" s="881"/>
      <c r="BR94" s="881"/>
      <c r="BS94" s="881"/>
      <c r="BT94" s="881"/>
      <c r="BU94" s="881"/>
    </row>
    <row r="95" spans="1:73" x14ac:dyDescent="0.25">
      <c r="A95" s="881"/>
      <c r="B95" s="885" t="str">
        <f>+$B$9</f>
        <v>Total Fixed Operating Cost</v>
      </c>
      <c r="C95" s="903">
        <f ca="1">+ROUND(H9,0)</f>
        <v>31026122</v>
      </c>
      <c r="D95" s="885" t="str">
        <f t="shared" ca="1" si="27"/>
        <v>Total Fixed Operating Cost = $31,026K</v>
      </c>
      <c r="E95" s="898">
        <f t="shared" si="30"/>
        <v>1.9284560778762152</v>
      </c>
      <c r="F95" s="898">
        <f t="shared" si="30"/>
        <v>0</v>
      </c>
      <c r="G95" s="898">
        <f t="shared" si="30"/>
        <v>1.9532336675216178E-3</v>
      </c>
      <c r="H95" s="898">
        <f t="shared" si="30"/>
        <v>0.19679394037475487</v>
      </c>
      <c r="I95" s="898">
        <f t="shared" si="30"/>
        <v>2.5148873085919069E-2</v>
      </c>
      <c r="J95" s="898">
        <f t="shared" si="30"/>
        <v>2.0989950258360455E-2</v>
      </c>
      <c r="K95" s="898">
        <f t="shared" si="30"/>
        <v>2.9544401990271528E-3</v>
      </c>
      <c r="L95" s="898">
        <f t="shared" si="30"/>
        <v>1.9415742333874339E-3</v>
      </c>
      <c r="M95" s="898">
        <f t="shared" si="30"/>
        <v>0.19554422602823404</v>
      </c>
      <c r="N95" s="898">
        <f t="shared" si="30"/>
        <v>1.058372327657447</v>
      </c>
      <c r="O95" s="898">
        <f t="shared" si="30"/>
        <v>3.7320310600916916E-2</v>
      </c>
      <c r="P95" s="898">
        <f t="shared" si="30"/>
        <v>0.24780594636845787</v>
      </c>
      <c r="Q95" s="898">
        <f t="shared" si="30"/>
        <v>0.11763260552256523</v>
      </c>
      <c r="R95" s="898">
        <f t="shared" si="30"/>
        <v>2.0620792191158525E-2</v>
      </c>
      <c r="S95" s="898">
        <f t="shared" si="30"/>
        <v>5.2843250235065703E-3</v>
      </c>
      <c r="T95" s="881"/>
      <c r="U95" s="881"/>
      <c r="V95" s="881"/>
      <c r="W95" s="881"/>
      <c r="X95" s="881"/>
      <c r="Y95" s="881"/>
      <c r="Z95" s="881"/>
      <c r="AA95" s="881"/>
      <c r="AB95" s="881"/>
      <c r="AC95" s="881"/>
      <c r="AD95" s="881"/>
      <c r="AE95" s="881"/>
      <c r="AF95" s="881"/>
      <c r="AG95" s="881"/>
      <c r="AH95" s="881"/>
      <c r="AI95" s="881"/>
      <c r="AJ95" s="881"/>
      <c r="AK95" s="881"/>
      <c r="AL95" s="881"/>
      <c r="AM95" s="881"/>
      <c r="AN95" s="881"/>
      <c r="AO95" s="881"/>
      <c r="AP95" s="881"/>
      <c r="AQ95" s="881"/>
      <c r="AR95" s="881"/>
      <c r="AS95" s="881"/>
      <c r="AT95" s="881"/>
      <c r="AU95" s="881"/>
      <c r="AV95" s="881"/>
      <c r="AW95" s="881"/>
      <c r="AX95" s="881"/>
      <c r="AY95" s="881"/>
      <c r="AZ95" s="881"/>
      <c r="BA95" s="881"/>
      <c r="BB95" s="881"/>
      <c r="BC95" s="881"/>
      <c r="BD95" s="881"/>
      <c r="BE95" s="881"/>
      <c r="BF95" s="881"/>
      <c r="BG95" s="881"/>
      <c r="BH95" s="881"/>
      <c r="BI95" s="881"/>
      <c r="BJ95" s="881"/>
      <c r="BK95" s="881"/>
      <c r="BL95" s="881"/>
      <c r="BM95" s="881"/>
      <c r="BN95" s="881"/>
      <c r="BO95" s="881"/>
      <c r="BP95" s="881"/>
      <c r="BQ95" s="881"/>
      <c r="BR95" s="881"/>
      <c r="BS95" s="881"/>
      <c r="BT95" s="881"/>
      <c r="BU95" s="881"/>
    </row>
    <row r="96" spans="1:73" x14ac:dyDescent="0.25">
      <c r="A96" s="881"/>
      <c r="B96" s="885" t="str">
        <f t="shared" ref="B96:B97" si="31">+$B$9</f>
        <v>Total Fixed Operating Cost</v>
      </c>
      <c r="C96" s="903">
        <f ca="1">+ROUND(C9,0)</f>
        <v>32659076</v>
      </c>
      <c r="D96" s="885" t="str">
        <f t="shared" ca="1" si="27"/>
        <v>Total Fixed Operating Cost = $32,659K</v>
      </c>
      <c r="E96" s="898">
        <f t="shared" ref="E96:S96" si="32">+K$51</f>
        <v>1.9389370275971565</v>
      </c>
      <c r="F96" s="898">
        <f t="shared" si="32"/>
        <v>0</v>
      </c>
      <c r="G96" s="898">
        <f t="shared" si="32"/>
        <v>1.9532336675216178E-3</v>
      </c>
      <c r="H96" s="898">
        <f t="shared" si="32"/>
        <v>0.19679394037475487</v>
      </c>
      <c r="I96" s="898">
        <f t="shared" si="32"/>
        <v>2.5148873085919069E-2</v>
      </c>
      <c r="J96" s="898">
        <f t="shared" si="32"/>
        <v>2.113041182383766E-2</v>
      </c>
      <c r="K96" s="898">
        <f t="shared" si="32"/>
        <v>2.9544401990271528E-3</v>
      </c>
      <c r="L96" s="898">
        <f t="shared" si="32"/>
        <v>1.9415742333874339E-3</v>
      </c>
      <c r="M96" s="898">
        <f t="shared" si="32"/>
        <v>0.20583602739814111</v>
      </c>
      <c r="N96" s="898">
        <f t="shared" si="32"/>
        <v>1.058372327657447</v>
      </c>
      <c r="O96" s="898">
        <f t="shared" si="32"/>
        <v>3.7320310600916916E-2</v>
      </c>
      <c r="P96" s="898">
        <f t="shared" si="32"/>
        <v>0.24780594636845787</v>
      </c>
      <c r="Q96" s="898">
        <f t="shared" si="32"/>
        <v>0.11763260552256523</v>
      </c>
      <c r="R96" s="898">
        <f t="shared" si="32"/>
        <v>2.0669478976714461E-2</v>
      </c>
      <c r="S96" s="898">
        <f t="shared" si="32"/>
        <v>5.2843250235065703E-3</v>
      </c>
      <c r="T96" s="881"/>
      <c r="U96" s="881"/>
      <c r="V96" s="881"/>
      <c r="W96" s="881"/>
      <c r="X96" s="881"/>
      <c r="Y96" s="881"/>
      <c r="Z96" s="881"/>
      <c r="AA96" s="881"/>
      <c r="AB96" s="881"/>
      <c r="AC96" s="881"/>
      <c r="AD96" s="881"/>
      <c r="AE96" s="881"/>
      <c r="AF96" s="881"/>
      <c r="AG96" s="881"/>
      <c r="AH96" s="881"/>
      <c r="AI96" s="881"/>
      <c r="AJ96" s="881"/>
      <c r="AK96" s="881"/>
      <c r="AL96" s="881"/>
      <c r="AM96" s="881"/>
      <c r="AN96" s="881"/>
      <c r="AO96" s="881"/>
      <c r="AP96" s="881"/>
      <c r="AQ96" s="881"/>
      <c r="AR96" s="881"/>
      <c r="AS96" s="881"/>
      <c r="AT96" s="881"/>
      <c r="AU96" s="881"/>
      <c r="AV96" s="881"/>
      <c r="AW96" s="881"/>
      <c r="AX96" s="881"/>
      <c r="AY96" s="881"/>
      <c r="AZ96" s="881"/>
      <c r="BA96" s="881"/>
      <c r="BB96" s="881"/>
      <c r="BC96" s="881"/>
      <c r="BD96" s="881"/>
      <c r="BE96" s="881"/>
      <c r="BF96" s="881"/>
      <c r="BG96" s="881"/>
      <c r="BH96" s="881"/>
      <c r="BI96" s="881"/>
      <c r="BJ96" s="881"/>
      <c r="BK96" s="881"/>
      <c r="BL96" s="881"/>
      <c r="BM96" s="881"/>
      <c r="BN96" s="881"/>
      <c r="BO96" s="881"/>
      <c r="BP96" s="881"/>
      <c r="BQ96" s="881"/>
      <c r="BR96" s="881"/>
      <c r="BS96" s="881"/>
      <c r="BT96" s="881"/>
      <c r="BU96" s="881"/>
    </row>
    <row r="97" spans="1:73" x14ac:dyDescent="0.25">
      <c r="A97" s="881"/>
      <c r="B97" s="885" t="str">
        <f t="shared" si="31"/>
        <v>Total Fixed Operating Cost</v>
      </c>
      <c r="C97" s="903">
        <f ca="1">+ROUND(I9,0)</f>
        <v>34292030</v>
      </c>
      <c r="D97" s="885" t="str">
        <f t="shared" ca="1" si="27"/>
        <v>Total Fixed Operating Cost = $34,292K</v>
      </c>
      <c r="E97" s="898">
        <f t="shared" ref="E97:S97" si="33">+K65</f>
        <v>1.949417977318096</v>
      </c>
      <c r="F97" s="898">
        <f t="shared" si="33"/>
        <v>0</v>
      </c>
      <c r="G97" s="898">
        <f t="shared" si="33"/>
        <v>1.9532336675216178E-3</v>
      </c>
      <c r="H97" s="898">
        <f t="shared" si="33"/>
        <v>0.19679394037475487</v>
      </c>
      <c r="I97" s="898">
        <f t="shared" si="33"/>
        <v>2.5148873085919069E-2</v>
      </c>
      <c r="J97" s="898">
        <f t="shared" si="33"/>
        <v>2.127087338931484E-2</v>
      </c>
      <c r="K97" s="898">
        <f t="shared" si="33"/>
        <v>2.9544401990271528E-3</v>
      </c>
      <c r="L97" s="898">
        <f t="shared" si="33"/>
        <v>1.9415742333874339E-3</v>
      </c>
      <c r="M97" s="898">
        <f t="shared" si="33"/>
        <v>0.2161278287680482</v>
      </c>
      <c r="N97" s="898">
        <f t="shared" si="33"/>
        <v>1.058372327657447</v>
      </c>
      <c r="O97" s="898">
        <f t="shared" si="33"/>
        <v>3.7320310600916916E-2</v>
      </c>
      <c r="P97" s="898">
        <f t="shared" si="33"/>
        <v>0.24780594636845787</v>
      </c>
      <c r="Q97" s="898">
        <f t="shared" si="33"/>
        <v>0.11763260552256523</v>
      </c>
      <c r="R97" s="898">
        <f t="shared" si="33"/>
        <v>2.0718165762270275E-2</v>
      </c>
      <c r="S97" s="898">
        <f t="shared" si="33"/>
        <v>5.2843250235065703E-3</v>
      </c>
      <c r="T97" s="881"/>
      <c r="U97" s="881"/>
      <c r="V97" s="881"/>
      <c r="W97" s="881"/>
      <c r="X97" s="881"/>
      <c r="Y97" s="881"/>
      <c r="Z97" s="881"/>
      <c r="AA97" s="881"/>
      <c r="AB97" s="881"/>
      <c r="AC97" s="881"/>
      <c r="AD97" s="881"/>
      <c r="AE97" s="881"/>
      <c r="AF97" s="881"/>
      <c r="AG97" s="881"/>
      <c r="AH97" s="881"/>
      <c r="AI97" s="881"/>
      <c r="AJ97" s="881"/>
      <c r="AK97" s="881"/>
      <c r="AL97" s="881"/>
      <c r="AM97" s="881"/>
      <c r="AN97" s="881"/>
      <c r="AO97" s="881"/>
      <c r="AP97" s="881"/>
      <c r="AQ97" s="881"/>
      <c r="AR97" s="881"/>
      <c r="AS97" s="881"/>
      <c r="AT97" s="881"/>
      <c r="AU97" s="881"/>
      <c r="AV97" s="881"/>
      <c r="AW97" s="881"/>
      <c r="AX97" s="881"/>
      <c r="AY97" s="881"/>
      <c r="AZ97" s="881"/>
      <c r="BA97" s="881"/>
      <c r="BB97" s="881"/>
      <c r="BC97" s="881"/>
      <c r="BD97" s="881"/>
      <c r="BE97" s="881"/>
      <c r="BF97" s="881"/>
      <c r="BG97" s="881"/>
      <c r="BH97" s="881"/>
      <c r="BI97" s="881"/>
      <c r="BJ97" s="881"/>
      <c r="BK97" s="881"/>
      <c r="BL97" s="881"/>
      <c r="BM97" s="881"/>
      <c r="BN97" s="881"/>
      <c r="BO97" s="881"/>
      <c r="BP97" s="881"/>
      <c r="BQ97" s="881"/>
      <c r="BR97" s="881"/>
      <c r="BS97" s="881"/>
      <c r="BT97" s="881"/>
      <c r="BU97" s="881"/>
    </row>
    <row r="98" spans="1:73" x14ac:dyDescent="0.25">
      <c r="A98" s="881"/>
      <c r="B98" s="881"/>
      <c r="C98" s="881"/>
      <c r="D98" s="881"/>
      <c r="E98" s="881"/>
      <c r="F98" s="881"/>
      <c r="G98" s="881"/>
      <c r="H98" s="881"/>
      <c r="I98" s="881"/>
      <c r="J98" s="881"/>
      <c r="K98" s="881"/>
      <c r="L98" s="881"/>
      <c r="M98" s="881"/>
      <c r="N98" s="881"/>
      <c r="O98" s="881"/>
      <c r="P98" s="881"/>
      <c r="Q98" s="881"/>
      <c r="R98" s="881"/>
      <c r="S98" s="881"/>
      <c r="T98" s="881"/>
      <c r="U98" s="881"/>
      <c r="V98" s="881"/>
      <c r="W98" s="881"/>
      <c r="X98" s="881"/>
      <c r="Y98" s="881"/>
      <c r="Z98" s="881"/>
      <c r="AA98" s="881"/>
      <c r="AB98" s="881"/>
      <c r="AC98" s="881"/>
      <c r="AD98" s="881"/>
      <c r="AE98" s="881"/>
      <c r="AF98" s="881"/>
      <c r="AG98" s="881"/>
      <c r="AH98" s="881"/>
      <c r="AI98" s="881"/>
      <c r="AJ98" s="881"/>
      <c r="AK98" s="881"/>
      <c r="AL98" s="881"/>
      <c r="AM98" s="881"/>
      <c r="AN98" s="881"/>
      <c r="AO98" s="881"/>
      <c r="AP98" s="881"/>
      <c r="AQ98" s="881"/>
      <c r="AR98" s="881"/>
      <c r="AS98" s="881"/>
      <c r="AT98" s="881"/>
      <c r="AU98" s="881"/>
      <c r="AV98" s="881"/>
      <c r="AW98" s="881"/>
      <c r="AX98" s="881"/>
      <c r="AY98" s="881"/>
      <c r="AZ98" s="881"/>
      <c r="BA98" s="881"/>
      <c r="BB98" s="881"/>
      <c r="BC98" s="881"/>
      <c r="BD98" s="881"/>
      <c r="BE98" s="881"/>
      <c r="BF98" s="881"/>
      <c r="BG98" s="881"/>
      <c r="BH98" s="881"/>
      <c r="BI98" s="881"/>
      <c r="BJ98" s="881"/>
      <c r="BK98" s="881"/>
      <c r="BL98" s="881"/>
      <c r="BM98" s="881"/>
      <c r="BN98" s="881"/>
      <c r="BO98" s="881"/>
      <c r="BP98" s="881"/>
      <c r="BQ98" s="881"/>
      <c r="BR98" s="881"/>
      <c r="BS98" s="881"/>
      <c r="BT98" s="881"/>
      <c r="BU98" s="881"/>
    </row>
    <row r="99" spans="1:73" x14ac:dyDescent="0.25">
      <c r="A99" s="881"/>
      <c r="B99" s="881"/>
      <c r="C99" s="881"/>
      <c r="D99" s="881"/>
      <c r="E99" s="881"/>
      <c r="F99" s="881"/>
      <c r="G99" s="881"/>
      <c r="H99" s="881"/>
      <c r="I99" s="881"/>
      <c r="J99" s="881"/>
      <c r="K99" s="881"/>
      <c r="L99" s="881"/>
      <c r="M99" s="881"/>
      <c r="N99" s="881"/>
      <c r="O99" s="881"/>
      <c r="P99" s="881"/>
      <c r="Q99" s="881"/>
      <c r="R99" s="881"/>
      <c r="S99" s="881"/>
      <c r="T99" s="881"/>
      <c r="U99" s="881"/>
      <c r="V99" s="881"/>
      <c r="W99" s="881"/>
      <c r="X99" s="881"/>
      <c r="Y99" s="881"/>
      <c r="Z99" s="881"/>
      <c r="AA99" s="881"/>
      <c r="AB99" s="881"/>
      <c r="AC99" s="881"/>
      <c r="AD99" s="881"/>
      <c r="AE99" s="881"/>
      <c r="AF99" s="881"/>
      <c r="AG99" s="881"/>
      <c r="AH99" s="881"/>
      <c r="AI99" s="881"/>
      <c r="AJ99" s="881"/>
      <c r="AK99" s="881"/>
      <c r="AL99" s="881"/>
      <c r="AM99" s="881"/>
      <c r="AN99" s="881"/>
      <c r="AO99" s="881"/>
      <c r="AP99" s="881"/>
      <c r="AQ99" s="881"/>
      <c r="AR99" s="881"/>
      <c r="AS99" s="881"/>
      <c r="AT99" s="881"/>
      <c r="AU99" s="881"/>
      <c r="AV99" s="881"/>
      <c r="AW99" s="881"/>
      <c r="AX99" s="881"/>
      <c r="AY99" s="881"/>
      <c r="AZ99" s="881"/>
      <c r="BA99" s="881"/>
      <c r="BB99" s="881"/>
      <c r="BC99" s="881"/>
      <c r="BD99" s="881"/>
      <c r="BE99" s="881"/>
      <c r="BF99" s="881"/>
      <c r="BG99" s="881"/>
      <c r="BH99" s="881"/>
      <c r="BI99" s="881"/>
      <c r="BJ99" s="881"/>
      <c r="BK99" s="881"/>
      <c r="BL99" s="881"/>
      <c r="BM99" s="881"/>
      <c r="BN99" s="881"/>
      <c r="BO99" s="881"/>
      <c r="BP99" s="881"/>
      <c r="BQ99" s="881"/>
      <c r="BR99" s="881"/>
      <c r="BS99" s="881"/>
      <c r="BT99" s="881"/>
      <c r="BU99" s="881"/>
    </row>
    <row r="100" spans="1:73" ht="39.6" x14ac:dyDescent="0.25">
      <c r="A100" s="881"/>
      <c r="B100" s="883" t="s">
        <v>1120</v>
      </c>
      <c r="C100" s="904" t="s">
        <v>1119</v>
      </c>
      <c r="D100" s="1" t="s">
        <v>1129</v>
      </c>
      <c r="E100" s="883" t="s">
        <v>1125</v>
      </c>
      <c r="F100" s="883" t="s">
        <v>1126</v>
      </c>
      <c r="G100" s="883" t="s">
        <v>1127</v>
      </c>
      <c r="H100" s="883" t="s">
        <v>1121</v>
      </c>
      <c r="I100" s="883" t="s">
        <v>1122</v>
      </c>
      <c r="J100" s="883" t="s">
        <v>1123</v>
      </c>
      <c r="K100" s="881"/>
      <c r="L100" s="883" t="s">
        <v>1128</v>
      </c>
      <c r="M100" s="892" t="s">
        <v>1131</v>
      </c>
      <c r="N100" s="892" t="s">
        <v>1114</v>
      </c>
      <c r="O100" s="881"/>
      <c r="P100" s="881"/>
      <c r="Q100" s="881"/>
      <c r="R100" s="881"/>
      <c r="S100" s="881"/>
      <c r="T100" s="881"/>
      <c r="U100" s="881"/>
      <c r="V100" s="881"/>
      <c r="W100" s="881"/>
      <c r="X100" s="881"/>
      <c r="Y100" s="881"/>
      <c r="Z100" s="881"/>
      <c r="AA100" s="881"/>
      <c r="AB100" s="881"/>
      <c r="AC100" s="881"/>
      <c r="AD100" s="881"/>
      <c r="AE100" s="881"/>
      <c r="AF100" s="881"/>
      <c r="AG100" s="881"/>
      <c r="AH100" s="881"/>
      <c r="AI100" s="881"/>
      <c r="AJ100" s="881"/>
      <c r="AK100" s="881"/>
      <c r="AL100" s="881"/>
      <c r="AM100" s="881"/>
      <c r="AN100" s="881"/>
      <c r="AO100" s="881"/>
      <c r="AP100" s="881"/>
      <c r="AQ100" s="881"/>
      <c r="AR100" s="881"/>
      <c r="AS100" s="881"/>
      <c r="AT100" s="881"/>
      <c r="AU100" s="881"/>
      <c r="AV100" s="881"/>
      <c r="AW100" s="881"/>
      <c r="AX100" s="881"/>
      <c r="AY100" s="881"/>
      <c r="AZ100" s="881"/>
      <c r="BA100" s="881"/>
      <c r="BB100" s="881"/>
      <c r="BC100" s="881"/>
      <c r="BD100" s="881"/>
      <c r="BE100" s="881"/>
      <c r="BF100" s="881"/>
      <c r="BG100" s="881"/>
      <c r="BH100" s="881"/>
      <c r="BI100" s="881"/>
      <c r="BJ100" s="881"/>
      <c r="BK100" s="881"/>
      <c r="BL100" s="881"/>
      <c r="BM100" s="881"/>
      <c r="BN100" s="881"/>
      <c r="BO100" s="881"/>
      <c r="BP100" s="881"/>
      <c r="BQ100" s="881"/>
      <c r="BR100" s="881"/>
      <c r="BS100" s="881"/>
      <c r="BT100" s="881"/>
      <c r="BU100" s="881"/>
    </row>
    <row r="101" spans="1:73" x14ac:dyDescent="0.25">
      <c r="A101" s="881"/>
      <c r="B101" s="881"/>
      <c r="C101" s="905">
        <v>1</v>
      </c>
      <c r="D101" s="885" t="str">
        <f t="shared" ref="D101:D107" ca="1" si="34">OFFSET(L$100,MATCH($C101,$N$101:$N$107,0),0)</f>
        <v>Operating Capacity Factor
(95%, 90%, 86%)</v>
      </c>
      <c r="E101" s="979">
        <f t="shared" ref="E101:E107" ca="1" si="35">OFFSET(E$76,MATCH($C101,$N$101:$N$107,0)*3-2,0)</f>
        <v>1.9030958301354877</v>
      </c>
      <c r="F101" s="979">
        <f t="shared" ref="F101:F107" si="36">+$K$51</f>
        <v>1.9389370275971565</v>
      </c>
      <c r="G101" s="979">
        <f t="shared" ref="G101:G107" ca="1" si="37">OFFSET(E$76,MATCH($C101,$N$101:$N$107,0)*3,0)</f>
        <v>1.9785338172436788</v>
      </c>
      <c r="H101" s="885">
        <f ca="1">+E101</f>
        <v>1.9030958301354877</v>
      </c>
      <c r="I101" s="885">
        <f ca="1">+F101-E101</f>
        <v>3.5841197461668806E-2</v>
      </c>
      <c r="J101" s="885">
        <f ca="1">+G101-F101</f>
        <v>3.9596789646522357E-2</v>
      </c>
      <c r="K101" s="881"/>
      <c r="L101" s="885" t="str">
        <f ca="1">+B3&amp;"
("&amp;TEXT(H3,"0%, ")&amp;TEXT(C3,"0%, ")&amp;TEXT(I3,"0%)")</f>
        <v>Operating Capacity Factor
(95%, 90%, 86%)</v>
      </c>
      <c r="M101" s="895">
        <f>ABS(K52-K53)+0.000000001</f>
        <v>7.5437988108191162E-2</v>
      </c>
      <c r="N101" s="885">
        <f t="shared" ref="N101:N107" si="38">+RANK(M101,$M$101:$M$107)</f>
        <v>1</v>
      </c>
      <c r="O101" s="892"/>
      <c r="P101" s="881"/>
      <c r="Q101" s="881"/>
      <c r="R101" s="881"/>
      <c r="S101" s="881"/>
      <c r="T101" s="881"/>
      <c r="U101" s="881"/>
      <c r="V101" s="881"/>
      <c r="W101" s="881"/>
      <c r="X101" s="881"/>
      <c r="Y101" s="881"/>
      <c r="Z101" s="881"/>
      <c r="AA101" s="881"/>
      <c r="AB101" s="881"/>
      <c r="AC101" s="881"/>
      <c r="AD101" s="881"/>
      <c r="AE101" s="881"/>
      <c r="AF101" s="881"/>
      <c r="AG101" s="881"/>
      <c r="AH101" s="881"/>
      <c r="AI101" s="881"/>
      <c r="AJ101" s="881"/>
      <c r="AK101" s="881"/>
      <c r="AL101" s="881"/>
      <c r="AM101" s="881"/>
      <c r="AN101" s="881"/>
      <c r="AO101" s="881"/>
      <c r="AP101" s="881"/>
      <c r="AQ101" s="881"/>
      <c r="AR101" s="881"/>
      <c r="AS101" s="881"/>
      <c r="AT101" s="881"/>
      <c r="AU101" s="881"/>
      <c r="AV101" s="881"/>
      <c r="AW101" s="881"/>
      <c r="AX101" s="881"/>
      <c r="AY101" s="881"/>
      <c r="AZ101" s="881"/>
      <c r="BA101" s="881"/>
      <c r="BB101" s="881"/>
      <c r="BC101" s="881"/>
      <c r="BD101" s="881"/>
      <c r="BE101" s="881"/>
      <c r="BF101" s="881"/>
      <c r="BG101" s="881"/>
      <c r="BH101" s="881"/>
      <c r="BI101" s="881"/>
      <c r="BJ101" s="881"/>
      <c r="BK101" s="881"/>
      <c r="BL101" s="881"/>
      <c r="BM101" s="881"/>
      <c r="BN101" s="881"/>
      <c r="BO101" s="881"/>
      <c r="BP101" s="881"/>
      <c r="BQ101" s="881"/>
      <c r="BR101" s="881"/>
      <c r="BS101" s="881"/>
      <c r="BT101" s="881"/>
      <c r="BU101" s="881"/>
    </row>
    <row r="102" spans="1:73" x14ac:dyDescent="0.25">
      <c r="A102" s="881"/>
      <c r="B102" s="881"/>
      <c r="C102" s="905">
        <v>2</v>
      </c>
      <c r="D102" s="885" t="str">
        <f t="shared" ca="1" si="34"/>
        <v xml:space="preserve">Total Capital Investment
($762,702K, $802,844K, $842,986K) </v>
      </c>
      <c r="E102" s="979">
        <f t="shared" ca="1" si="35"/>
        <v>1.9173021997116375</v>
      </c>
      <c r="F102" s="979">
        <f t="shared" si="36"/>
        <v>1.9389370275971565</v>
      </c>
      <c r="G102" s="979">
        <f t="shared" ca="1" si="37"/>
        <v>1.960571855482673</v>
      </c>
      <c r="H102" s="885">
        <f t="shared" ref="H102:H107" ca="1" si="39">+E102</f>
        <v>1.9173021997116375</v>
      </c>
      <c r="I102" s="885">
        <f t="shared" ref="I102:I107" ca="1" si="40">+F102-E102</f>
        <v>2.1634827885518959E-2</v>
      </c>
      <c r="J102" s="885">
        <f t="shared" ref="J102:J107" ca="1" si="41">+G102-F102</f>
        <v>2.1634827885516517E-2</v>
      </c>
      <c r="K102" s="881"/>
      <c r="L102" s="885" t="str">
        <f ca="1">+B4&amp;"
("&amp;TEXT(H4,"0,000")&amp;", "&amp;TEXT(C4,"0,000")&amp;", "&amp;TEXT(I4,"0,000")&amp;") "</f>
        <v xml:space="preserve">Plant Design Capacity (kg of H2/day)
(507,150, 483,000, 458,850) </v>
      </c>
      <c r="M102" s="895">
        <f>+ABS(K54-K55)+0.000000002</f>
        <v>4.0213240178004483E-2</v>
      </c>
      <c r="N102" s="885">
        <f t="shared" si="38"/>
        <v>3</v>
      </c>
      <c r="O102" s="892"/>
      <c r="P102" s="881"/>
      <c r="Q102" s="881"/>
      <c r="R102" s="881"/>
      <c r="S102" s="881"/>
      <c r="T102" s="881"/>
      <c r="U102" s="881"/>
      <c r="V102" s="881"/>
      <c r="W102" s="881"/>
      <c r="X102" s="881"/>
      <c r="Y102" s="881"/>
      <c r="Z102" s="881"/>
      <c r="AA102" s="881"/>
      <c r="AB102" s="881"/>
      <c r="AC102" s="881"/>
      <c r="AD102" s="881"/>
      <c r="AE102" s="881"/>
      <c r="AF102" s="881"/>
      <c r="AG102" s="881"/>
      <c r="AH102" s="881"/>
      <c r="AI102" s="881"/>
      <c r="AJ102" s="881"/>
      <c r="AK102" s="881"/>
      <c r="AL102" s="881"/>
      <c r="AM102" s="881"/>
      <c r="AN102" s="881"/>
      <c r="AO102" s="881"/>
      <c r="AP102" s="881"/>
      <c r="AQ102" s="881"/>
      <c r="AR102" s="881"/>
      <c r="AS102" s="881"/>
      <c r="AT102" s="881"/>
      <c r="AU102" s="881"/>
      <c r="AV102" s="881"/>
      <c r="AW102" s="881"/>
      <c r="AX102" s="881"/>
      <c r="AY102" s="881"/>
      <c r="AZ102" s="881"/>
      <c r="BA102" s="881"/>
      <c r="BB102" s="881"/>
      <c r="BC102" s="881"/>
      <c r="BD102" s="881"/>
      <c r="BE102" s="881"/>
      <c r="BF102" s="881"/>
      <c r="BG102" s="881"/>
      <c r="BH102" s="881"/>
      <c r="BI102" s="881"/>
      <c r="BJ102" s="881"/>
      <c r="BK102" s="881"/>
      <c r="BL102" s="881"/>
      <c r="BM102" s="881"/>
      <c r="BN102" s="881"/>
      <c r="BO102" s="881"/>
      <c r="BP102" s="881"/>
      <c r="BQ102" s="881"/>
      <c r="BR102" s="881"/>
      <c r="BS102" s="881"/>
      <c r="BT102" s="881"/>
      <c r="BU102" s="881"/>
    </row>
    <row r="103" spans="1:73" x14ac:dyDescent="0.25">
      <c r="A103" s="881"/>
      <c r="B103" s="881"/>
      <c r="C103" s="905">
        <v>3</v>
      </c>
      <c r="D103" s="885" t="str">
        <f t="shared" ca="1" si="34"/>
        <v xml:space="preserve">Plant Design Capacity (kg of H2/day)
(507,150, 483,000, 458,850) </v>
      </c>
      <c r="E103" s="979">
        <f t="shared" ca="1" si="35"/>
        <v>1.9196972653481559</v>
      </c>
      <c r="F103" s="979">
        <f t="shared" si="36"/>
        <v>1.9389370275971565</v>
      </c>
      <c r="G103" s="979">
        <f t="shared" ca="1" si="37"/>
        <v>1.9599105035261604</v>
      </c>
      <c r="H103" s="885">
        <f t="shared" ca="1" si="39"/>
        <v>1.9196972653481559</v>
      </c>
      <c r="I103" s="885">
        <f t="shared" ca="1" si="40"/>
        <v>1.9239762249000592E-2</v>
      </c>
      <c r="J103" s="885">
        <f t="shared" ca="1" si="41"/>
        <v>2.0973475929003893E-2</v>
      </c>
      <c r="K103" s="881"/>
      <c r="L103" s="885" t="str">
        <f ca="1">+B5&amp;"
("&amp;TEXT(H5,"0%, ")&amp;TEXT(C5,"0%, ")&amp;TEXT(I5,"0%)")</f>
        <v>After-tax Real IRR
(8%, 8%, 8%)</v>
      </c>
      <c r="M103" s="895">
        <f>+ABS(K56-K57)+0.000000003</f>
        <v>2.022467636230349E-2</v>
      </c>
      <c r="N103" s="885">
        <f t="shared" si="38"/>
        <v>5</v>
      </c>
      <c r="O103" s="892"/>
      <c r="P103" s="881"/>
      <c r="Q103" s="881"/>
      <c r="R103" s="881"/>
      <c r="S103" s="881"/>
      <c r="T103" s="881"/>
      <c r="U103" s="881"/>
      <c r="V103" s="881"/>
      <c r="W103" s="881"/>
      <c r="X103" s="881"/>
      <c r="Y103" s="881"/>
      <c r="Z103" s="881"/>
      <c r="AA103" s="881"/>
      <c r="AB103" s="881"/>
      <c r="AC103" s="881"/>
      <c r="AD103" s="881"/>
      <c r="AE103" s="881"/>
      <c r="AF103" s="881"/>
      <c r="AG103" s="881"/>
      <c r="AH103" s="881"/>
      <c r="AI103" s="881"/>
      <c r="AJ103" s="881"/>
      <c r="AK103" s="881"/>
      <c r="AL103" s="881"/>
      <c r="AM103" s="881"/>
      <c r="AN103" s="881"/>
      <c r="AO103" s="881"/>
      <c r="AP103" s="881"/>
      <c r="AQ103" s="881"/>
      <c r="AR103" s="881"/>
      <c r="AS103" s="881"/>
      <c r="AT103" s="881"/>
      <c r="AU103" s="881"/>
      <c r="AV103" s="881"/>
      <c r="AW103" s="881"/>
      <c r="AX103" s="881"/>
      <c r="AY103" s="881"/>
      <c r="AZ103" s="881"/>
      <c r="BA103" s="881"/>
      <c r="BB103" s="881"/>
      <c r="BC103" s="881"/>
      <c r="BD103" s="881"/>
      <c r="BE103" s="881"/>
      <c r="BF103" s="881"/>
      <c r="BG103" s="881"/>
      <c r="BH103" s="881"/>
      <c r="BI103" s="881"/>
      <c r="BJ103" s="881"/>
      <c r="BK103" s="881"/>
      <c r="BL103" s="881"/>
      <c r="BM103" s="881"/>
      <c r="BN103" s="881"/>
      <c r="BO103" s="881"/>
      <c r="BP103" s="881"/>
      <c r="BQ103" s="881"/>
      <c r="BR103" s="881"/>
      <c r="BS103" s="881"/>
      <c r="BT103" s="881"/>
      <c r="BU103" s="881"/>
    </row>
    <row r="104" spans="1:73" x14ac:dyDescent="0.25">
      <c r="A104" s="881"/>
      <c r="B104" s="881"/>
      <c r="C104" s="905">
        <v>4</v>
      </c>
      <c r="D104" s="885" t="str">
        <f t="shared" ca="1" si="34"/>
        <v xml:space="preserve">Total Fixed Operating Cost
($31,026K, $32,659K, $34,292K) </v>
      </c>
      <c r="E104" s="979">
        <f t="shared" ca="1" si="35"/>
        <v>1.9284560778762152</v>
      </c>
      <c r="F104" s="979">
        <f t="shared" si="36"/>
        <v>1.9389370275971565</v>
      </c>
      <c r="G104" s="979">
        <f t="shared" ca="1" si="37"/>
        <v>1.949417977318096</v>
      </c>
      <c r="H104" s="885">
        <f t="shared" ca="1" si="39"/>
        <v>1.9284560778762152</v>
      </c>
      <c r="I104" s="885">
        <f t="shared" ca="1" si="40"/>
        <v>1.0480949720941268E-2</v>
      </c>
      <c r="J104" s="885">
        <f t="shared" ca="1" si="41"/>
        <v>1.0480949720939492E-2</v>
      </c>
      <c r="K104" s="881"/>
      <c r="L104" s="885" t="str">
        <f>+B6&amp;"
("&amp;TEXT(H6,"0%, ")&amp;TEXT(C6,"0%, ")&amp;TEXT(I6,"0%)")</f>
        <v>Feedstock Consumption (% of baseline)
(95%, 100%, 105%)</v>
      </c>
      <c r="M104" s="895">
        <f>+ABS(K58-K59)+0.000000004</f>
        <v>4.0000000000000002E-9</v>
      </c>
      <c r="N104" s="885">
        <f t="shared" si="38"/>
        <v>6</v>
      </c>
      <c r="O104" s="892"/>
      <c r="P104" s="881"/>
      <c r="Q104" s="881"/>
      <c r="R104" s="881"/>
      <c r="S104" s="881"/>
      <c r="T104" s="881"/>
      <c r="U104" s="881"/>
      <c r="V104" s="881"/>
      <c r="W104" s="881"/>
      <c r="X104" s="881"/>
      <c r="Y104" s="881"/>
      <c r="Z104" s="881"/>
      <c r="AA104" s="881"/>
      <c r="AB104" s="881"/>
      <c r="AC104" s="881"/>
      <c r="AD104" s="881"/>
      <c r="AE104" s="881"/>
      <c r="AF104" s="881"/>
      <c r="AG104" s="881"/>
      <c r="AH104" s="881"/>
      <c r="AI104" s="881"/>
      <c r="AJ104" s="881"/>
      <c r="AK104" s="881"/>
      <c r="AL104" s="881"/>
      <c r="AM104" s="881"/>
      <c r="AN104" s="881"/>
      <c r="AO104" s="881"/>
      <c r="AP104" s="881"/>
      <c r="AQ104" s="881"/>
      <c r="AR104" s="881"/>
      <c r="AS104" s="881"/>
      <c r="AT104" s="881"/>
      <c r="AU104" s="881"/>
      <c r="AV104" s="881"/>
      <c r="AW104" s="881"/>
      <c r="AX104" s="881"/>
      <c r="AY104" s="881"/>
      <c r="AZ104" s="881"/>
      <c r="BA104" s="881"/>
      <c r="BB104" s="881"/>
      <c r="BC104" s="881"/>
      <c r="BD104" s="881"/>
      <c r="BE104" s="881"/>
      <c r="BF104" s="881"/>
      <c r="BG104" s="881"/>
      <c r="BH104" s="881"/>
      <c r="BI104" s="881"/>
      <c r="BJ104" s="881"/>
      <c r="BK104" s="881"/>
      <c r="BL104" s="881"/>
      <c r="BM104" s="881"/>
      <c r="BN104" s="881"/>
      <c r="BO104" s="881"/>
      <c r="BP104" s="881"/>
      <c r="BQ104" s="881"/>
      <c r="BR104" s="881"/>
      <c r="BS104" s="881"/>
      <c r="BT104" s="881"/>
      <c r="BU104" s="881"/>
    </row>
    <row r="105" spans="1:73" x14ac:dyDescent="0.25">
      <c r="A105" s="881"/>
      <c r="B105" s="881"/>
      <c r="C105" s="905">
        <v>5</v>
      </c>
      <c r="D105" s="885" t="str">
        <f t="shared" ca="1" si="34"/>
        <v>After-tax Real IRR
(8%, 8%, 8%)</v>
      </c>
      <c r="E105" s="979">
        <f t="shared" ca="1" si="35"/>
        <v>1.9290766913385511</v>
      </c>
      <c r="F105" s="979">
        <f t="shared" si="36"/>
        <v>1.9389370275971565</v>
      </c>
      <c r="G105" s="979">
        <f t="shared" ca="1" si="37"/>
        <v>1.9493013647008546</v>
      </c>
      <c r="H105" s="885">
        <f t="shared" ref="H105" ca="1" si="42">+E105</f>
        <v>1.9290766913385511</v>
      </c>
      <c r="I105" s="885">
        <f t="shared" ref="I105" ca="1" si="43">+F105-E105</f>
        <v>9.8603362586053844E-3</v>
      </c>
      <c r="J105" s="885">
        <f t="shared" ref="J105" ca="1" si="44">+G105-F105</f>
        <v>1.0364337103698107E-2</v>
      </c>
      <c r="K105" s="881"/>
      <c r="L105" s="885" t="str">
        <f>+B7&amp;"
("&amp;TEXT(H7,"0%, ")&amp;TEXT(C7,"0%, ")&amp;TEXT(I7,"0%)")</f>
        <v>Utilities Consumption (% of baseline)
(95%, 100%, 105%)</v>
      </c>
      <c r="M105" s="895">
        <f>+ABS(K60-K61)+0.000000004</f>
        <v>4.0000000000000002E-9</v>
      </c>
      <c r="N105" s="885">
        <f t="shared" si="38"/>
        <v>6</v>
      </c>
      <c r="O105" s="892"/>
      <c r="P105" s="881"/>
      <c r="Q105" s="881"/>
      <c r="R105" s="881"/>
      <c r="S105" s="881"/>
      <c r="T105" s="881"/>
      <c r="U105" s="881"/>
      <c r="V105" s="881"/>
      <c r="W105" s="881"/>
      <c r="X105" s="881"/>
      <c r="Y105" s="881"/>
      <c r="Z105" s="881"/>
      <c r="AA105" s="881"/>
      <c r="AB105" s="881"/>
      <c r="AC105" s="881"/>
      <c r="AD105" s="881"/>
      <c r="AE105" s="881"/>
      <c r="AF105" s="881"/>
      <c r="AG105" s="881"/>
      <c r="AH105" s="881"/>
      <c r="AI105" s="881"/>
      <c r="AJ105" s="881"/>
      <c r="AK105" s="881"/>
      <c r="AL105" s="881"/>
      <c r="AM105" s="881"/>
      <c r="AN105" s="881"/>
      <c r="AO105" s="881"/>
      <c r="AP105" s="881"/>
      <c r="AQ105" s="881"/>
      <c r="AR105" s="881"/>
      <c r="AS105" s="881"/>
      <c r="AT105" s="881"/>
      <c r="AU105" s="881"/>
      <c r="AV105" s="881"/>
      <c r="AW105" s="881"/>
      <c r="AX105" s="881"/>
      <c r="AY105" s="881"/>
      <c r="AZ105" s="881"/>
      <c r="BA105" s="881"/>
      <c r="BB105" s="881"/>
      <c r="BC105" s="881"/>
      <c r="BD105" s="881"/>
      <c r="BE105" s="881"/>
      <c r="BF105" s="881"/>
      <c r="BG105" s="881"/>
      <c r="BH105" s="881"/>
      <c r="BI105" s="881"/>
      <c r="BJ105" s="881"/>
      <c r="BK105" s="881"/>
      <c r="BL105" s="881"/>
      <c r="BM105" s="881"/>
      <c r="BN105" s="881"/>
      <c r="BO105" s="881"/>
      <c r="BP105" s="881"/>
      <c r="BQ105" s="881"/>
      <c r="BR105" s="881"/>
      <c r="BS105" s="881"/>
      <c r="BT105" s="881"/>
      <c r="BU105" s="881"/>
    </row>
    <row r="106" spans="1:73" x14ac:dyDescent="0.25">
      <c r="A106" s="881"/>
      <c r="B106" s="881"/>
      <c r="C106" s="905">
        <v>6</v>
      </c>
      <c r="D106" s="885" t="str">
        <f t="shared" ca="1" si="34"/>
        <v>Feedstock Consumption (% of baseline)
(95%, 100%, 105%)</v>
      </c>
      <c r="E106" s="979">
        <f t="shared" ca="1" si="35"/>
        <v>1.9389370275971565</v>
      </c>
      <c r="F106" s="979">
        <f t="shared" si="36"/>
        <v>1.9389370275971565</v>
      </c>
      <c r="G106" s="979">
        <f t="shared" ca="1" si="37"/>
        <v>1.9389370275971565</v>
      </c>
      <c r="H106" s="885">
        <f t="shared" ca="1" si="39"/>
        <v>1.9389370275971565</v>
      </c>
      <c r="I106" s="885">
        <f t="shared" ca="1" si="40"/>
        <v>0</v>
      </c>
      <c r="J106" s="885">
        <f t="shared" ca="1" si="41"/>
        <v>0</v>
      </c>
      <c r="K106" s="881"/>
      <c r="L106" s="885" t="str">
        <f ca="1">+B8&amp;"
("&amp;TEXT(H8/1000,"$0,000K")&amp;", "&amp;TEXT(C8/1000,"$0,000K")&amp;", "&amp;TEXT(I8/1000,"$0,000K")&amp;") "</f>
        <v xml:space="preserve">Total Capital Investment
($762,702K, $802,844K, $842,986K) </v>
      </c>
      <c r="M106" s="895">
        <f>+ABS(K62-K63)+0.000000006</f>
        <v>4.3269661771035473E-2</v>
      </c>
      <c r="N106" s="885">
        <f t="shared" si="38"/>
        <v>2</v>
      </c>
      <c r="O106" s="892"/>
      <c r="P106" s="881"/>
      <c r="Q106" s="881"/>
      <c r="R106" s="881"/>
      <c r="S106" s="881"/>
      <c r="T106" s="881"/>
      <c r="U106" s="881"/>
      <c r="V106" s="881"/>
      <c r="W106" s="881"/>
      <c r="X106" s="881"/>
      <c r="Y106" s="881"/>
      <c r="Z106" s="881"/>
      <c r="AA106" s="881"/>
      <c r="AB106" s="881"/>
      <c r="AC106" s="881"/>
      <c r="AD106" s="881"/>
      <c r="AE106" s="881"/>
      <c r="AF106" s="881"/>
      <c r="AG106" s="881"/>
      <c r="AH106" s="881"/>
      <c r="AI106" s="881"/>
      <c r="AJ106" s="881"/>
      <c r="AK106" s="881"/>
      <c r="AL106" s="881"/>
      <c r="AM106" s="881"/>
      <c r="AN106" s="881"/>
      <c r="AO106" s="881"/>
      <c r="AP106" s="881"/>
      <c r="AQ106" s="881"/>
      <c r="AR106" s="881"/>
      <c r="AS106" s="881"/>
      <c r="AT106" s="881"/>
      <c r="AU106" s="881"/>
      <c r="AV106" s="881"/>
      <c r="AW106" s="881"/>
      <c r="AX106" s="881"/>
      <c r="AY106" s="881"/>
      <c r="AZ106" s="881"/>
      <c r="BA106" s="881"/>
      <c r="BB106" s="881"/>
      <c r="BC106" s="881"/>
      <c r="BD106" s="881"/>
      <c r="BE106" s="881"/>
      <c r="BF106" s="881"/>
      <c r="BG106" s="881"/>
      <c r="BH106" s="881"/>
      <c r="BI106" s="881"/>
      <c r="BJ106" s="881"/>
      <c r="BK106" s="881"/>
      <c r="BL106" s="881"/>
      <c r="BM106" s="881"/>
      <c r="BN106" s="881"/>
      <c r="BO106" s="881"/>
      <c r="BP106" s="881"/>
      <c r="BQ106" s="881"/>
      <c r="BR106" s="881"/>
      <c r="BS106" s="881"/>
      <c r="BT106" s="881"/>
      <c r="BU106" s="881"/>
    </row>
    <row r="107" spans="1:73" x14ac:dyDescent="0.25">
      <c r="A107" s="881"/>
      <c r="B107" s="881"/>
      <c r="C107" s="905">
        <v>7</v>
      </c>
      <c r="D107" s="885" t="e">
        <f t="shared" ca="1" si="34"/>
        <v>#N/A</v>
      </c>
      <c r="E107" s="979" t="e">
        <f t="shared" ca="1" si="35"/>
        <v>#N/A</v>
      </c>
      <c r="F107" s="979">
        <f t="shared" si="36"/>
        <v>1.9389370275971565</v>
      </c>
      <c r="G107" s="979" t="e">
        <f t="shared" ca="1" si="37"/>
        <v>#N/A</v>
      </c>
      <c r="H107" s="885" t="e">
        <f t="shared" ca="1" si="39"/>
        <v>#N/A</v>
      </c>
      <c r="I107" s="885" t="e">
        <f t="shared" ca="1" si="40"/>
        <v>#N/A</v>
      </c>
      <c r="J107" s="885" t="e">
        <f t="shared" ca="1" si="41"/>
        <v>#N/A</v>
      </c>
      <c r="K107" s="881"/>
      <c r="L107" s="885" t="str">
        <f ca="1">+B9&amp;"
("&amp;TEXT(H9/1000,"$0,000K")&amp;", "&amp;TEXT(C9/1000,"$0,000K")&amp;", "&amp;TEXT(I9/1000,"$0,000K")&amp;") "</f>
        <v xml:space="preserve">Total Fixed Operating Cost
($31,026K, $32,659K, $34,292K) </v>
      </c>
      <c r="M107" s="895">
        <f>+ABS(K64-K65)+0.00000007</f>
        <v>2.0961969441880762E-2</v>
      </c>
      <c r="N107" s="885">
        <f t="shared" si="38"/>
        <v>4</v>
      </c>
      <c r="O107" s="892"/>
      <c r="P107" s="881"/>
      <c r="Q107" s="881"/>
      <c r="R107" s="881"/>
      <c r="S107" s="881"/>
      <c r="T107" s="881"/>
      <c r="U107" s="881"/>
      <c r="V107" s="881"/>
      <c r="W107" s="881"/>
      <c r="X107" s="881"/>
      <c r="Y107" s="881"/>
      <c r="Z107" s="881"/>
      <c r="AA107" s="881"/>
      <c r="AB107" s="881"/>
      <c r="AC107" s="881"/>
      <c r="AD107" s="881"/>
      <c r="AE107" s="881"/>
      <c r="AF107" s="881"/>
      <c r="AG107" s="881"/>
      <c r="AH107" s="881"/>
      <c r="AI107" s="881"/>
      <c r="AJ107" s="881"/>
      <c r="AK107" s="881"/>
      <c r="AL107" s="881"/>
      <c r="AM107" s="881"/>
      <c r="AN107" s="881"/>
      <c r="AO107" s="881"/>
      <c r="AP107" s="881"/>
      <c r="AQ107" s="881"/>
      <c r="AR107" s="881"/>
      <c r="AS107" s="881"/>
      <c r="AT107" s="881"/>
      <c r="AU107" s="881"/>
      <c r="AV107" s="881"/>
      <c r="AW107" s="881"/>
      <c r="AX107" s="881"/>
      <c r="AY107" s="881"/>
      <c r="AZ107" s="881"/>
      <c r="BA107" s="881"/>
      <c r="BB107" s="881"/>
      <c r="BC107" s="881"/>
      <c r="BD107" s="881"/>
      <c r="BE107" s="881"/>
      <c r="BF107" s="881"/>
      <c r="BG107" s="881"/>
      <c r="BH107" s="881"/>
      <c r="BI107" s="881"/>
      <c r="BJ107" s="881"/>
      <c r="BK107" s="881"/>
      <c r="BL107" s="881"/>
      <c r="BM107" s="881"/>
      <c r="BN107" s="881"/>
      <c r="BO107" s="881"/>
      <c r="BP107" s="881"/>
      <c r="BQ107" s="881"/>
      <c r="BR107" s="881"/>
      <c r="BS107" s="881"/>
      <c r="BT107" s="881"/>
      <c r="BU107" s="881"/>
    </row>
    <row r="108" spans="1:73" x14ac:dyDescent="0.25">
      <c r="A108" s="881"/>
      <c r="B108" s="881"/>
      <c r="C108" s="881"/>
      <c r="D108" s="881"/>
      <c r="E108" s="881"/>
      <c r="F108" s="881"/>
      <c r="G108" s="881"/>
      <c r="H108" s="881"/>
      <c r="I108" s="881"/>
      <c r="J108" s="881"/>
      <c r="K108" s="881"/>
      <c r="L108" s="881"/>
      <c r="M108" s="881"/>
      <c r="N108" s="881"/>
      <c r="O108" s="881"/>
      <c r="P108" s="881"/>
      <c r="Q108" s="881"/>
      <c r="R108" s="881"/>
      <c r="S108" s="881"/>
      <c r="T108" s="881"/>
      <c r="U108" s="881"/>
      <c r="V108" s="881"/>
      <c r="W108" s="881"/>
      <c r="X108" s="881"/>
      <c r="Y108" s="881"/>
      <c r="Z108" s="881"/>
      <c r="AA108" s="881"/>
      <c r="AB108" s="881"/>
      <c r="AC108" s="881"/>
      <c r="AD108" s="881"/>
      <c r="AE108" s="881"/>
      <c r="AF108" s="881"/>
      <c r="AG108" s="881"/>
      <c r="AH108" s="881"/>
      <c r="AI108" s="881"/>
      <c r="AJ108" s="881"/>
      <c r="AK108" s="881"/>
      <c r="AL108" s="881"/>
      <c r="AM108" s="881"/>
      <c r="AN108" s="881"/>
      <c r="AO108" s="881"/>
      <c r="AP108" s="881"/>
      <c r="AQ108" s="881"/>
      <c r="AR108" s="881"/>
      <c r="AS108" s="881"/>
      <c r="AT108" s="881"/>
      <c r="AU108" s="881"/>
      <c r="AV108" s="881"/>
      <c r="AW108" s="881"/>
      <c r="AX108" s="881"/>
      <c r="AY108" s="881"/>
      <c r="AZ108" s="881"/>
      <c r="BA108" s="881"/>
      <c r="BB108" s="881"/>
      <c r="BC108" s="881"/>
      <c r="BD108" s="881"/>
      <c r="BE108" s="881"/>
      <c r="BF108" s="881"/>
      <c r="BG108" s="881"/>
      <c r="BH108" s="881"/>
      <c r="BI108" s="881"/>
      <c r="BJ108" s="881"/>
      <c r="BK108" s="881"/>
      <c r="BL108" s="881"/>
      <c r="BM108" s="881"/>
      <c r="BN108" s="881"/>
      <c r="BO108" s="881"/>
      <c r="BP108" s="881"/>
      <c r="BQ108" s="881"/>
      <c r="BR108" s="881"/>
      <c r="BS108" s="881"/>
      <c r="BT108" s="881"/>
      <c r="BU108" s="881"/>
    </row>
    <row r="109" spans="1:73" x14ac:dyDescent="0.25">
      <c r="A109" s="881"/>
      <c r="B109" s="881"/>
      <c r="C109" s="881"/>
      <c r="D109" s="881"/>
      <c r="E109" s="881"/>
      <c r="F109" s="881"/>
      <c r="G109" s="881"/>
      <c r="H109" s="881"/>
      <c r="I109" s="881"/>
      <c r="J109" s="881"/>
      <c r="K109" s="881"/>
      <c r="L109" s="881"/>
      <c r="M109" s="881"/>
      <c r="N109" s="881"/>
      <c r="O109" s="881"/>
      <c r="P109" s="881"/>
      <c r="Q109" s="881"/>
      <c r="R109" s="881"/>
      <c r="S109" s="881"/>
      <c r="T109" s="881"/>
      <c r="U109" s="881"/>
      <c r="V109" s="881"/>
      <c r="W109" s="881"/>
      <c r="X109" s="881"/>
      <c r="Y109" s="881"/>
      <c r="Z109" s="881"/>
      <c r="AA109" s="881"/>
      <c r="AB109" s="881"/>
      <c r="AC109" s="881"/>
      <c r="AD109" s="881"/>
      <c r="AE109" s="881"/>
      <c r="AF109" s="881"/>
      <c r="AG109" s="881"/>
      <c r="AH109" s="881"/>
      <c r="AI109" s="881"/>
      <c r="AJ109" s="881"/>
      <c r="AK109" s="881"/>
      <c r="AL109" s="881"/>
      <c r="AM109" s="881"/>
      <c r="AN109" s="881"/>
      <c r="AO109" s="881"/>
      <c r="AP109" s="881"/>
      <c r="AQ109" s="881"/>
      <c r="AR109" s="881"/>
      <c r="AS109" s="881"/>
      <c r="AT109" s="881"/>
      <c r="AU109" s="881"/>
      <c r="AV109" s="881"/>
      <c r="AW109" s="881"/>
      <c r="AX109" s="881"/>
      <c r="AY109" s="881"/>
      <c r="AZ109" s="881"/>
      <c r="BA109" s="881"/>
      <c r="BB109" s="881"/>
      <c r="BC109" s="881"/>
      <c r="BD109" s="881"/>
      <c r="BE109" s="881"/>
      <c r="BF109" s="881"/>
      <c r="BG109" s="881"/>
      <c r="BH109" s="881"/>
      <c r="BI109" s="881"/>
      <c r="BJ109" s="881"/>
      <c r="BK109" s="881"/>
      <c r="BL109" s="881"/>
      <c r="BM109" s="881"/>
      <c r="BN109" s="881"/>
      <c r="BO109" s="881"/>
      <c r="BP109" s="881"/>
      <c r="BQ109" s="881"/>
      <c r="BR109" s="881"/>
      <c r="BS109" s="881"/>
      <c r="BT109" s="881"/>
      <c r="BU109" s="881"/>
    </row>
    <row r="110" spans="1:73" ht="52.8" x14ac:dyDescent="0.25">
      <c r="A110" s="881"/>
      <c r="B110" s="883" t="s">
        <v>1132</v>
      </c>
      <c r="C110" s="904" t="s">
        <v>1119</v>
      </c>
      <c r="D110" s="892" t="str">
        <f t="shared" ref="D110:G110" si="45">+D76</f>
        <v>Chart titles</v>
      </c>
      <c r="E110" s="892" t="s">
        <v>1152</v>
      </c>
      <c r="F110" s="892" t="s">
        <v>1153</v>
      </c>
      <c r="G110" s="892" t="str">
        <f t="shared" si="45"/>
        <v>Salvage Value</v>
      </c>
      <c r="H110" s="892" t="str">
        <f t="shared" ref="H110:S110" si="46">+H76</f>
        <v>Initial Equity Depreciable Capital</v>
      </c>
      <c r="I110" s="892" t="str">
        <f t="shared" si="46"/>
        <v>Yearly Replacement Costs</v>
      </c>
      <c r="J110" s="892" t="str">
        <f t="shared" si="46"/>
        <v>Cash for Working Capital Reserve</v>
      </c>
      <c r="K110" s="892" t="str">
        <f t="shared" si="46"/>
        <v>Other Non-Depreciable Capital Costs</v>
      </c>
      <c r="L110" s="892" t="str">
        <f t="shared" si="46"/>
        <v>Decommissioning Costs</v>
      </c>
      <c r="M110" s="892" t="str">
        <f t="shared" si="46"/>
        <v>Fixed Operating Cost</v>
      </c>
      <c r="N110" s="892" t="str">
        <f t="shared" si="46"/>
        <v>Feedstock Cost</v>
      </c>
      <c r="O110" s="892" t="str">
        <f t="shared" si="46"/>
        <v>Other Raw Material Cost</v>
      </c>
      <c r="P110" s="892" t="str">
        <f t="shared" si="46"/>
        <v>Other Variable Operating Costs</v>
      </c>
      <c r="Q110" s="892" t="str">
        <f t="shared" si="46"/>
        <v>Debt Interest</v>
      </c>
      <c r="R110" s="892" t="str">
        <f t="shared" si="46"/>
        <v>Taxes</v>
      </c>
      <c r="S110" s="892" t="str">
        <f t="shared" si="46"/>
        <v>Principal Payment</v>
      </c>
      <c r="T110" s="881"/>
      <c r="U110" s="881"/>
      <c r="V110" s="881"/>
      <c r="W110" s="881"/>
      <c r="X110" s="881"/>
      <c r="Y110" s="881"/>
      <c r="Z110" s="881"/>
      <c r="AA110" s="881"/>
      <c r="AB110" s="881"/>
      <c r="AC110" s="881"/>
      <c r="AD110" s="881"/>
      <c r="AE110" s="881"/>
      <c r="AF110" s="881"/>
      <c r="AG110" s="881"/>
      <c r="AH110" s="881"/>
      <c r="AI110" s="881"/>
      <c r="AJ110" s="881"/>
      <c r="AK110" s="881"/>
      <c r="AL110" s="881"/>
      <c r="AM110" s="881"/>
      <c r="AN110" s="881"/>
      <c r="AO110" s="881"/>
      <c r="AP110" s="881"/>
      <c r="AQ110" s="881"/>
      <c r="AR110" s="881"/>
      <c r="AS110" s="881"/>
      <c r="AT110" s="881"/>
      <c r="AU110" s="881"/>
      <c r="AV110" s="881"/>
      <c r="AW110" s="881"/>
      <c r="AX110" s="881"/>
      <c r="AY110" s="881"/>
      <c r="AZ110" s="881"/>
      <c r="BA110" s="881"/>
      <c r="BB110" s="881"/>
      <c r="BC110" s="881"/>
      <c r="BD110" s="881"/>
      <c r="BE110" s="881"/>
      <c r="BF110" s="881"/>
      <c r="BG110" s="881"/>
      <c r="BH110" s="881"/>
      <c r="BI110" s="881"/>
      <c r="BJ110" s="881"/>
      <c r="BK110" s="881"/>
      <c r="BL110" s="881"/>
      <c r="BM110" s="881"/>
      <c r="BN110" s="881"/>
      <c r="BO110" s="881"/>
      <c r="BP110" s="881"/>
      <c r="BQ110" s="881"/>
      <c r="BR110" s="881"/>
      <c r="BS110" s="881"/>
      <c r="BT110" s="881"/>
      <c r="BU110" s="881"/>
    </row>
    <row r="111" spans="1:73" x14ac:dyDescent="0.25">
      <c r="A111" s="881"/>
      <c r="B111" s="881"/>
      <c r="C111" s="905">
        <v>1</v>
      </c>
      <c r="D111" s="884" t="s">
        <v>1151</v>
      </c>
      <c r="E111" s="898">
        <f ca="1">OFFSET(E$76,MATCH($C111,$N$101:$N$107,0)*3-1,0)</f>
        <v>1.9389370275971565</v>
      </c>
      <c r="F111" s="898">
        <f ca="1">OFFSET(F$76,MATCH($C111,$N$101:$N$107,0)*3-1,0)</f>
        <v>0</v>
      </c>
      <c r="G111" s="898">
        <f ca="1">OFFSET(G$76,MATCH($C111,$N$101:$N$107,0)*3-1,0)</f>
        <v>1.9532336675216178E-3</v>
      </c>
      <c r="H111" s="885"/>
      <c r="I111" s="885"/>
      <c r="J111" s="885"/>
      <c r="K111" s="885"/>
      <c r="L111" s="885"/>
      <c r="M111" s="885"/>
      <c r="N111" s="885"/>
      <c r="O111" s="885"/>
      <c r="P111" s="885"/>
      <c r="Q111" s="885"/>
      <c r="R111" s="885"/>
      <c r="S111" s="885"/>
      <c r="T111" s="881"/>
      <c r="U111" s="881"/>
      <c r="V111" s="881"/>
      <c r="W111" s="881"/>
      <c r="X111" s="881"/>
      <c r="Y111" s="881"/>
      <c r="Z111" s="881"/>
      <c r="AA111" s="881"/>
      <c r="AB111" s="881"/>
      <c r="AC111" s="881"/>
      <c r="AD111" s="881"/>
      <c r="AE111" s="881"/>
      <c r="AF111" s="881"/>
      <c r="AG111" s="881"/>
      <c r="AH111" s="881"/>
      <c r="AI111" s="881"/>
      <c r="AJ111" s="881"/>
      <c r="AK111" s="881"/>
      <c r="AL111" s="881"/>
      <c r="AM111" s="881"/>
      <c r="AN111" s="881"/>
      <c r="AO111" s="881"/>
      <c r="AP111" s="881"/>
      <c r="AQ111" s="881"/>
      <c r="AR111" s="881"/>
      <c r="AS111" s="881"/>
      <c r="AT111" s="881"/>
      <c r="AU111" s="881"/>
      <c r="AV111" s="881"/>
      <c r="AW111" s="881"/>
      <c r="AX111" s="881"/>
      <c r="AY111" s="881"/>
      <c r="AZ111" s="881"/>
      <c r="BA111" s="881"/>
      <c r="BB111" s="881"/>
      <c r="BC111" s="881"/>
      <c r="BD111" s="881"/>
      <c r="BE111" s="881"/>
      <c r="BF111" s="881"/>
      <c r="BG111" s="881"/>
      <c r="BH111" s="881"/>
      <c r="BI111" s="881"/>
      <c r="BJ111" s="881"/>
      <c r="BK111" s="881"/>
      <c r="BL111" s="881"/>
      <c r="BM111" s="881"/>
      <c r="BN111" s="881"/>
      <c r="BO111" s="881"/>
      <c r="BP111" s="881"/>
      <c r="BQ111" s="881"/>
      <c r="BR111" s="881"/>
      <c r="BS111" s="881"/>
      <c r="BT111" s="881"/>
      <c r="BU111" s="881"/>
    </row>
    <row r="112" spans="1:73" x14ac:dyDescent="0.25">
      <c r="A112" s="881"/>
      <c r="B112" s="883"/>
      <c r="C112" s="982"/>
      <c r="D112" s="983"/>
      <c r="E112" s="984"/>
      <c r="F112" s="984"/>
      <c r="G112" s="984"/>
      <c r="H112" s="898">
        <f t="shared" ref="H112:S112" ca="1" si="47">OFFSET(H$76,MATCH($C111,$N$101:$N$107,0)*3-1,0)</f>
        <v>0.19679394037475487</v>
      </c>
      <c r="I112" s="898">
        <f t="shared" ca="1" si="47"/>
        <v>2.5148873085919069E-2</v>
      </c>
      <c r="J112" s="898">
        <f t="shared" ca="1" si="47"/>
        <v>2.113041182383766E-2</v>
      </c>
      <c r="K112" s="898">
        <f t="shared" ca="1" si="47"/>
        <v>2.9544401990271528E-3</v>
      </c>
      <c r="L112" s="898">
        <f t="shared" ca="1" si="47"/>
        <v>1.9415742333874339E-3</v>
      </c>
      <c r="M112" s="898">
        <f t="shared" ca="1" si="47"/>
        <v>0.20583602739814111</v>
      </c>
      <c r="N112" s="898">
        <f t="shared" ca="1" si="47"/>
        <v>1.058372327657447</v>
      </c>
      <c r="O112" s="898">
        <f t="shared" ca="1" si="47"/>
        <v>3.7320310600916916E-2</v>
      </c>
      <c r="P112" s="898">
        <f t="shared" ca="1" si="47"/>
        <v>0.24780594636845787</v>
      </c>
      <c r="Q112" s="898">
        <f t="shared" ca="1" si="47"/>
        <v>0.11763260552256523</v>
      </c>
      <c r="R112" s="898">
        <f t="shared" ca="1" si="47"/>
        <v>2.0669478976714461E-2</v>
      </c>
      <c r="S112" s="898">
        <f t="shared" ca="1" si="47"/>
        <v>5.2843250235065703E-3</v>
      </c>
      <c r="T112" s="881"/>
      <c r="U112" s="881"/>
      <c r="V112" s="881"/>
      <c r="W112" s="881"/>
      <c r="X112" s="881"/>
      <c r="Y112" s="881"/>
      <c r="Z112" s="881"/>
      <c r="AA112" s="881"/>
      <c r="AB112" s="881"/>
      <c r="AC112" s="881"/>
      <c r="AD112" s="881"/>
      <c r="AE112" s="881"/>
      <c r="AF112" s="881"/>
      <c r="AG112" s="881"/>
      <c r="AH112" s="881"/>
      <c r="AI112" s="881"/>
      <c r="AJ112" s="881"/>
      <c r="AK112" s="881"/>
      <c r="AL112" s="881"/>
      <c r="AM112" s="881"/>
      <c r="AN112" s="881"/>
      <c r="AO112" s="881"/>
      <c r="AP112" s="881"/>
      <c r="AQ112" s="881"/>
      <c r="AR112" s="881"/>
      <c r="AS112" s="881"/>
      <c r="AT112" s="881"/>
      <c r="AU112" s="881"/>
      <c r="AV112" s="881"/>
      <c r="AW112" s="881"/>
      <c r="AX112" s="881"/>
      <c r="AY112" s="881"/>
      <c r="AZ112" s="881"/>
      <c r="BA112" s="881"/>
      <c r="BB112" s="881"/>
      <c r="BC112" s="881"/>
      <c r="BD112" s="881"/>
      <c r="BE112" s="881"/>
      <c r="BF112" s="881"/>
      <c r="BG112" s="881"/>
      <c r="BH112" s="881"/>
      <c r="BI112" s="881"/>
      <c r="BJ112" s="881"/>
      <c r="BK112" s="881"/>
      <c r="BL112" s="881"/>
      <c r="BM112" s="881"/>
      <c r="BN112" s="881"/>
      <c r="BO112" s="881"/>
      <c r="BP112" s="881"/>
      <c r="BQ112" s="881"/>
      <c r="BR112" s="881"/>
      <c r="BS112" s="881"/>
      <c r="BT112" s="881"/>
      <c r="BU112" s="881"/>
    </row>
    <row r="113" spans="1:73" x14ac:dyDescent="0.25">
      <c r="A113" s="881"/>
      <c r="B113" s="883"/>
      <c r="C113" s="982"/>
      <c r="D113" s="983"/>
      <c r="E113" s="984"/>
      <c r="F113" s="984"/>
      <c r="G113" s="984"/>
      <c r="H113" s="898"/>
      <c r="I113" s="898"/>
      <c r="J113" s="898"/>
      <c r="K113" s="898"/>
      <c r="L113" s="898"/>
      <c r="M113" s="898"/>
      <c r="N113" s="898"/>
      <c r="O113" s="898"/>
      <c r="P113" s="898"/>
      <c r="Q113" s="898"/>
      <c r="R113" s="898"/>
      <c r="S113" s="898"/>
      <c r="T113" s="881"/>
      <c r="U113" s="881"/>
      <c r="V113" s="881"/>
      <c r="W113" s="881"/>
      <c r="X113" s="881"/>
      <c r="Y113" s="881"/>
      <c r="Z113" s="881"/>
      <c r="AA113" s="881"/>
      <c r="AB113" s="881"/>
      <c r="AC113" s="881"/>
      <c r="AD113" s="881"/>
      <c r="AE113" s="881"/>
      <c r="AF113" s="881"/>
      <c r="AG113" s="881"/>
      <c r="AH113" s="881"/>
      <c r="AI113" s="881"/>
      <c r="AJ113" s="881"/>
      <c r="AK113" s="881"/>
      <c r="AL113" s="881"/>
      <c r="AM113" s="881"/>
      <c r="AN113" s="881"/>
      <c r="AO113" s="881"/>
      <c r="AP113" s="881"/>
      <c r="AQ113" s="881"/>
      <c r="AR113" s="881"/>
      <c r="AS113" s="881"/>
      <c r="AT113" s="881"/>
      <c r="AU113" s="881"/>
      <c r="AV113" s="881"/>
      <c r="AW113" s="881"/>
      <c r="AX113" s="881"/>
      <c r="AY113" s="881"/>
      <c r="AZ113" s="881"/>
      <c r="BA113" s="881"/>
      <c r="BB113" s="881"/>
      <c r="BC113" s="881"/>
      <c r="BD113" s="881"/>
      <c r="BE113" s="881"/>
      <c r="BF113" s="881"/>
      <c r="BG113" s="881"/>
      <c r="BH113" s="881"/>
      <c r="BI113" s="881"/>
      <c r="BJ113" s="881"/>
      <c r="BK113" s="881"/>
      <c r="BL113" s="881"/>
      <c r="BM113" s="881"/>
      <c r="BN113" s="881"/>
      <c r="BO113" s="881"/>
      <c r="BP113" s="881"/>
      <c r="BQ113" s="881"/>
      <c r="BR113" s="881"/>
      <c r="BS113" s="881"/>
      <c r="BT113" s="881"/>
      <c r="BU113" s="881"/>
    </row>
    <row r="114" spans="1:73" x14ac:dyDescent="0.25">
      <c r="A114" s="881"/>
      <c r="B114" s="883"/>
      <c r="C114" s="982"/>
      <c r="D114" s="984"/>
      <c r="E114" s="984"/>
      <c r="F114" s="984"/>
      <c r="G114" s="984"/>
      <c r="H114" s="984"/>
      <c r="I114" s="984"/>
      <c r="J114" s="984"/>
      <c r="K114" s="984"/>
      <c r="L114" s="984"/>
      <c r="M114" s="984"/>
      <c r="N114" s="984"/>
      <c r="O114" s="984"/>
      <c r="P114" s="984"/>
      <c r="Q114" s="984"/>
      <c r="R114" s="984"/>
      <c r="S114" s="984"/>
      <c r="T114" s="881"/>
      <c r="U114" s="881"/>
      <c r="V114" s="881"/>
      <c r="W114" s="881"/>
      <c r="X114" s="881"/>
      <c r="Y114" s="881"/>
      <c r="Z114" s="881"/>
      <c r="AA114" s="881"/>
      <c r="AB114" s="881"/>
      <c r="AC114" s="881"/>
      <c r="AD114" s="881"/>
      <c r="AE114" s="881"/>
      <c r="AF114" s="881"/>
      <c r="AG114" s="881"/>
      <c r="AH114" s="881"/>
      <c r="AI114" s="881"/>
      <c r="AJ114" s="881"/>
      <c r="AK114" s="881"/>
      <c r="AL114" s="881"/>
      <c r="AM114" s="881"/>
      <c r="AN114" s="881"/>
      <c r="AO114" s="881"/>
      <c r="AP114" s="881"/>
      <c r="AQ114" s="881"/>
      <c r="AR114" s="881"/>
      <c r="AS114" s="881"/>
      <c r="AT114" s="881"/>
      <c r="AU114" s="881"/>
      <c r="AV114" s="881"/>
      <c r="AW114" s="881"/>
      <c r="AX114" s="881"/>
      <c r="AY114" s="881"/>
      <c r="AZ114" s="881"/>
      <c r="BA114" s="881"/>
      <c r="BB114" s="881"/>
      <c r="BC114" s="881"/>
      <c r="BD114" s="881"/>
      <c r="BE114" s="881"/>
      <c r="BF114" s="881"/>
      <c r="BG114" s="881"/>
      <c r="BH114" s="881"/>
      <c r="BI114" s="881"/>
      <c r="BJ114" s="881"/>
      <c r="BK114" s="881"/>
      <c r="BL114" s="881"/>
      <c r="BM114" s="881"/>
      <c r="BN114" s="881"/>
      <c r="BO114" s="881"/>
      <c r="BP114" s="881"/>
      <c r="BQ114" s="881"/>
      <c r="BR114" s="881"/>
      <c r="BS114" s="881"/>
      <c r="BT114" s="881"/>
      <c r="BU114" s="881"/>
    </row>
    <row r="115" spans="1:73" x14ac:dyDescent="0.25">
      <c r="A115" s="881"/>
      <c r="B115" s="883"/>
      <c r="C115" s="905">
        <v>1</v>
      </c>
      <c r="D115" s="885" t="str">
        <f t="shared" ref="D115:G115" ca="1" si="48">OFFSET(D$76,MATCH($C115,$N$101:$N$107,0)*3-2,0)</f>
        <v>Operating Capacity Factor = 94.5%</v>
      </c>
      <c r="E115" s="898">
        <f t="shared" ca="1" si="48"/>
        <v>1.9030958301354877</v>
      </c>
      <c r="F115" s="898">
        <f t="shared" ca="1" si="48"/>
        <v>0</v>
      </c>
      <c r="G115" s="898">
        <f t="shared" ca="1" si="48"/>
        <v>1.8602225404967775E-3</v>
      </c>
      <c r="H115" s="984"/>
      <c r="I115" s="984"/>
      <c r="J115" s="984"/>
      <c r="K115" s="984"/>
      <c r="L115" s="984"/>
      <c r="M115" s="984"/>
      <c r="N115" s="984"/>
      <c r="O115" s="984"/>
      <c r="P115" s="984"/>
      <c r="Q115" s="984"/>
      <c r="R115" s="984"/>
      <c r="S115" s="984"/>
      <c r="T115" s="881"/>
      <c r="U115" s="881"/>
      <c r="V115" s="881"/>
      <c r="W115" s="881"/>
      <c r="X115" s="881"/>
      <c r="Y115" s="881"/>
      <c r="Z115" s="881"/>
      <c r="AA115" s="881"/>
      <c r="AB115" s="881"/>
      <c r="AC115" s="881"/>
      <c r="AD115" s="881"/>
      <c r="AE115" s="881"/>
      <c r="AF115" s="881"/>
      <c r="AG115" s="881"/>
      <c r="AH115" s="881"/>
      <c r="AI115" s="881"/>
      <c r="AJ115" s="881"/>
      <c r="AK115" s="881"/>
      <c r="AL115" s="881"/>
      <c r="AM115" s="881"/>
      <c r="AN115" s="881"/>
      <c r="AO115" s="881"/>
      <c r="AP115" s="881"/>
      <c r="AQ115" s="881"/>
      <c r="AR115" s="881"/>
      <c r="AS115" s="881"/>
      <c r="AT115" s="881"/>
      <c r="AU115" s="881"/>
      <c r="AV115" s="881"/>
      <c r="AW115" s="881"/>
      <c r="AX115" s="881"/>
      <c r="AY115" s="881"/>
      <c r="AZ115" s="881"/>
      <c r="BA115" s="881"/>
      <c r="BB115" s="881"/>
      <c r="BC115" s="881"/>
      <c r="BD115" s="881"/>
      <c r="BE115" s="881"/>
      <c r="BF115" s="881"/>
      <c r="BG115" s="881"/>
      <c r="BH115" s="881"/>
      <c r="BI115" s="881"/>
      <c r="BJ115" s="881"/>
      <c r="BK115" s="881"/>
      <c r="BL115" s="881"/>
      <c r="BM115" s="881"/>
      <c r="BN115" s="881"/>
      <c r="BO115" s="881"/>
      <c r="BP115" s="881"/>
      <c r="BQ115" s="881"/>
      <c r="BR115" s="881"/>
      <c r="BS115" s="881"/>
      <c r="BT115" s="881"/>
      <c r="BU115" s="881"/>
    </row>
    <row r="116" spans="1:73" x14ac:dyDescent="0.25">
      <c r="A116" s="881"/>
      <c r="B116" s="883"/>
      <c r="C116" s="885"/>
      <c r="D116" s="885"/>
      <c r="E116" s="885"/>
      <c r="F116" s="885"/>
      <c r="G116" s="885"/>
      <c r="H116" s="898">
        <f t="shared" ref="H116:S116" ca="1" si="49">OFFSET(H$76,MATCH($C115,$N$101:$N$107,0)*3-2,0)</f>
        <v>0.18742280035690928</v>
      </c>
      <c r="I116" s="898">
        <f t="shared" ca="1" si="49"/>
        <v>2.3951307700875293E-2</v>
      </c>
      <c r="J116" s="898">
        <f t="shared" ca="1" si="49"/>
        <v>2.0880556503119579E-2</v>
      </c>
      <c r="K116" s="898">
        <f t="shared" ca="1" si="49"/>
        <v>2.8137525705020489E-3</v>
      </c>
      <c r="L116" s="898">
        <f t="shared" ca="1" si="49"/>
        <v>1.8491183175118405E-3</v>
      </c>
      <c r="M116" s="898">
        <f t="shared" ca="1" si="49"/>
        <v>0.1960343118077533</v>
      </c>
      <c r="N116" s="898">
        <f t="shared" ca="1" si="49"/>
        <v>1.0583723276574468</v>
      </c>
      <c r="O116" s="898">
        <f t="shared" ca="1" si="49"/>
        <v>3.5543152953254178E-2</v>
      </c>
      <c r="P116" s="898">
        <f t="shared" ca="1" si="49"/>
        <v>0.2410775956815239</v>
      </c>
      <c r="Q116" s="898">
        <f t="shared" ca="1" si="49"/>
        <v>0.11203105287863349</v>
      </c>
      <c r="R116" s="898">
        <f t="shared" ca="1" si="49"/>
        <v>1.9947385749875351E-2</v>
      </c>
      <c r="S116" s="898">
        <f t="shared" ca="1" si="49"/>
        <v>5.0326904985776837E-3</v>
      </c>
      <c r="T116" s="881"/>
      <c r="U116" s="881"/>
      <c r="V116" s="881"/>
      <c r="W116" s="881"/>
      <c r="X116" s="881"/>
      <c r="Y116" s="881"/>
      <c r="Z116" s="881"/>
      <c r="AA116" s="881"/>
      <c r="AB116" s="881"/>
      <c r="AC116" s="881"/>
      <c r="AD116" s="881"/>
      <c r="AE116" s="881"/>
      <c r="AF116" s="881"/>
      <c r="AG116" s="881"/>
      <c r="AH116" s="881"/>
      <c r="AI116" s="881"/>
      <c r="AJ116" s="881"/>
      <c r="AK116" s="881"/>
      <c r="AL116" s="881"/>
      <c r="AM116" s="881"/>
      <c r="AN116" s="881"/>
      <c r="AO116" s="881"/>
      <c r="AP116" s="881"/>
      <c r="AQ116" s="881"/>
      <c r="AR116" s="881"/>
      <c r="AS116" s="881"/>
      <c r="AT116" s="881"/>
      <c r="AU116" s="881"/>
      <c r="AV116" s="881"/>
      <c r="AW116" s="881"/>
      <c r="AX116" s="881"/>
      <c r="AY116" s="881"/>
      <c r="AZ116" s="881"/>
      <c r="BA116" s="881"/>
      <c r="BB116" s="881"/>
      <c r="BC116" s="881"/>
      <c r="BD116" s="881"/>
      <c r="BE116" s="881"/>
      <c r="BF116" s="881"/>
      <c r="BG116" s="881"/>
      <c r="BH116" s="881"/>
      <c r="BI116" s="881"/>
      <c r="BJ116" s="881"/>
      <c r="BK116" s="881"/>
      <c r="BL116" s="881"/>
      <c r="BM116" s="881"/>
      <c r="BN116" s="881"/>
      <c r="BO116" s="881"/>
      <c r="BP116" s="881"/>
      <c r="BQ116" s="881"/>
      <c r="BR116" s="881"/>
      <c r="BS116" s="881"/>
      <c r="BT116" s="881"/>
      <c r="BU116" s="881"/>
    </row>
    <row r="117" spans="1:73" x14ac:dyDescent="0.25">
      <c r="A117" s="881"/>
      <c r="B117" s="883"/>
      <c r="C117" s="905">
        <v>1</v>
      </c>
      <c r="D117" s="885" t="str">
        <f t="shared" ref="D117:G117" ca="1" si="50">OFFSET(D$76,MATCH($C117,$N$101:$N$107,0)*3,0)</f>
        <v>Operating Capacity Factor = 85.5%</v>
      </c>
      <c r="E117" s="898">
        <f t="shared" ca="1" si="50"/>
        <v>1.9785338172436788</v>
      </c>
      <c r="F117" s="898">
        <f t="shared" ca="1" si="50"/>
        <v>0</v>
      </c>
      <c r="G117" s="898">
        <f t="shared" ca="1" si="50"/>
        <v>2.0560354394964404E-3</v>
      </c>
      <c r="H117" s="885"/>
      <c r="I117" s="885"/>
      <c r="J117" s="885"/>
      <c r="K117" s="885"/>
      <c r="L117" s="885"/>
      <c r="M117" s="885"/>
      <c r="N117" s="885"/>
      <c r="O117" s="885"/>
      <c r="P117" s="885"/>
      <c r="Q117" s="885"/>
      <c r="R117" s="885"/>
      <c r="S117" s="885"/>
      <c r="T117" s="881"/>
      <c r="U117" s="881"/>
      <c r="V117" s="881"/>
      <c r="W117" s="881"/>
      <c r="X117" s="881"/>
      <c r="Y117" s="881"/>
      <c r="Z117" s="881"/>
      <c r="AA117" s="881"/>
      <c r="AB117" s="881"/>
      <c r="AC117" s="881"/>
      <c r="AD117" s="881"/>
      <c r="AE117" s="881"/>
      <c r="AF117" s="881"/>
      <c r="AG117" s="881"/>
      <c r="AH117" s="881"/>
      <c r="AI117" s="881"/>
      <c r="AJ117" s="881"/>
      <c r="AK117" s="881"/>
      <c r="AL117" s="881"/>
      <c r="AM117" s="881"/>
      <c r="AN117" s="881"/>
      <c r="AO117" s="881"/>
      <c r="AP117" s="881"/>
      <c r="AQ117" s="881"/>
      <c r="AR117" s="881"/>
      <c r="AS117" s="881"/>
      <c r="AT117" s="881"/>
      <c r="AU117" s="881"/>
      <c r="AV117" s="881"/>
      <c r="AW117" s="881"/>
      <c r="AX117" s="881"/>
      <c r="AY117" s="881"/>
      <c r="AZ117" s="881"/>
      <c r="BA117" s="881"/>
      <c r="BB117" s="881"/>
      <c r="BC117" s="881"/>
      <c r="BD117" s="881"/>
      <c r="BE117" s="881"/>
      <c r="BF117" s="881"/>
      <c r="BG117" s="881"/>
      <c r="BH117" s="881"/>
      <c r="BI117" s="881"/>
      <c r="BJ117" s="881"/>
      <c r="BK117" s="881"/>
      <c r="BL117" s="881"/>
      <c r="BM117" s="881"/>
      <c r="BN117" s="881"/>
      <c r="BO117" s="881"/>
      <c r="BP117" s="881"/>
      <c r="BQ117" s="881"/>
      <c r="BR117" s="881"/>
      <c r="BS117" s="881"/>
      <c r="BT117" s="881"/>
      <c r="BU117" s="881"/>
    </row>
    <row r="118" spans="1:73" x14ac:dyDescent="0.25">
      <c r="A118" s="881"/>
      <c r="B118" s="883"/>
      <c r="C118" s="905"/>
      <c r="D118" s="885"/>
      <c r="E118" s="898"/>
      <c r="F118" s="898"/>
      <c r="G118" s="898"/>
      <c r="H118" s="898">
        <f t="shared" ref="H118:S118" ca="1" si="51">OFFSET(H$76,MATCH($C117,$N$101:$N$107,0)*3,0)</f>
        <v>0.20715151618395253</v>
      </c>
      <c r="I118" s="898">
        <f t="shared" ca="1" si="51"/>
        <v>2.6472497985177972E-2</v>
      </c>
      <c r="J118" s="898">
        <f t="shared" ca="1" si="51"/>
        <v>2.1406337660120438E-2</v>
      </c>
      <c r="K118" s="898">
        <f t="shared" ca="1" si="51"/>
        <v>3.1099370516075304E-3</v>
      </c>
      <c r="L118" s="898">
        <f t="shared" ca="1" si="51"/>
        <v>2.0437623509341413E-3</v>
      </c>
      <c r="M118" s="898">
        <f t="shared" ca="1" si="51"/>
        <v>0.2166695025243591</v>
      </c>
      <c r="N118" s="898">
        <f t="shared" ca="1" si="51"/>
        <v>1.0583723276574473</v>
      </c>
      <c r="O118" s="898">
        <f t="shared" ca="1" si="51"/>
        <v>3.9284537474649397E-2</v>
      </c>
      <c r="P118" s="898">
        <f t="shared" ca="1" si="51"/>
        <v>0.25522568883596869</v>
      </c>
      <c r="Q118" s="898">
        <f t="shared" ca="1" si="51"/>
        <v>0.12382379528691079</v>
      </c>
      <c r="R118" s="898">
        <f t="shared" ca="1" si="51"/>
        <v>2.1467502278880269E-2</v>
      </c>
      <c r="S118" s="898">
        <f t="shared" ca="1" si="51"/>
        <v>5.5624473931648122E-3</v>
      </c>
      <c r="T118" s="881"/>
      <c r="U118" s="881"/>
      <c r="V118" s="881"/>
      <c r="W118" s="881"/>
      <c r="X118" s="881"/>
      <c r="Y118" s="881"/>
      <c r="Z118" s="881"/>
      <c r="AA118" s="881"/>
      <c r="AB118" s="881"/>
      <c r="AC118" s="881"/>
      <c r="AD118" s="881"/>
      <c r="AE118" s="881"/>
      <c r="AF118" s="881"/>
      <c r="AG118" s="881"/>
      <c r="AH118" s="881"/>
      <c r="AI118" s="881"/>
      <c r="AJ118" s="881"/>
      <c r="AK118" s="881"/>
      <c r="AL118" s="881"/>
      <c r="AM118" s="881"/>
      <c r="AN118" s="881"/>
      <c r="AO118" s="881"/>
      <c r="AP118" s="881"/>
      <c r="AQ118" s="881"/>
      <c r="AR118" s="881"/>
      <c r="AS118" s="881"/>
      <c r="AT118" s="881"/>
      <c r="AU118" s="881"/>
      <c r="AV118" s="881"/>
      <c r="AW118" s="881"/>
      <c r="AX118" s="881"/>
      <c r="AY118" s="881"/>
      <c r="AZ118" s="881"/>
      <c r="BA118" s="881"/>
      <c r="BB118" s="881"/>
      <c r="BC118" s="881"/>
      <c r="BD118" s="881"/>
      <c r="BE118" s="881"/>
      <c r="BF118" s="881"/>
      <c r="BG118" s="881"/>
      <c r="BH118" s="881"/>
      <c r="BI118" s="881"/>
      <c r="BJ118" s="881"/>
      <c r="BK118" s="881"/>
      <c r="BL118" s="881"/>
      <c r="BM118" s="881"/>
      <c r="BN118" s="881"/>
      <c r="BO118" s="881"/>
      <c r="BP118" s="881"/>
      <c r="BQ118" s="881"/>
      <c r="BR118" s="881"/>
      <c r="BS118" s="881"/>
      <c r="BT118" s="881"/>
      <c r="BU118" s="881"/>
    </row>
    <row r="119" spans="1:73" x14ac:dyDescent="0.25">
      <c r="A119" s="881"/>
      <c r="B119" s="883"/>
      <c r="C119" s="905"/>
      <c r="D119" s="885"/>
      <c r="E119" s="898"/>
      <c r="F119" s="898"/>
      <c r="G119" s="898"/>
      <c r="H119" s="898"/>
      <c r="I119" s="898"/>
      <c r="J119" s="898"/>
      <c r="K119" s="898"/>
      <c r="L119" s="898"/>
      <c r="M119" s="898"/>
      <c r="N119" s="898"/>
      <c r="O119" s="898"/>
      <c r="P119" s="898"/>
      <c r="Q119" s="898"/>
      <c r="R119" s="898"/>
      <c r="S119" s="898"/>
      <c r="T119" s="881"/>
      <c r="U119" s="881"/>
      <c r="V119" s="881"/>
      <c r="W119" s="881"/>
      <c r="X119" s="881"/>
      <c r="Y119" s="881"/>
      <c r="Z119" s="881"/>
      <c r="AA119" s="881"/>
      <c r="AB119" s="881"/>
      <c r="AC119" s="881"/>
      <c r="AD119" s="881"/>
      <c r="AE119" s="881"/>
      <c r="AF119" s="881"/>
      <c r="AG119" s="881"/>
      <c r="AH119" s="881"/>
      <c r="AI119" s="881"/>
      <c r="AJ119" s="881"/>
      <c r="AK119" s="881"/>
      <c r="AL119" s="881"/>
      <c r="AM119" s="881"/>
      <c r="AN119" s="881"/>
      <c r="AO119" s="881"/>
      <c r="AP119" s="881"/>
      <c r="AQ119" s="881"/>
      <c r="AR119" s="881"/>
      <c r="AS119" s="881"/>
      <c r="AT119" s="881"/>
      <c r="AU119" s="881"/>
      <c r="AV119" s="881"/>
      <c r="AW119" s="881"/>
      <c r="AX119" s="881"/>
      <c r="AY119" s="881"/>
      <c r="AZ119" s="881"/>
      <c r="BA119" s="881"/>
      <c r="BB119" s="881"/>
      <c r="BC119" s="881"/>
      <c r="BD119" s="881"/>
      <c r="BE119" s="881"/>
      <c r="BF119" s="881"/>
      <c r="BG119" s="881"/>
      <c r="BH119" s="881"/>
      <c r="BI119" s="881"/>
      <c r="BJ119" s="881"/>
      <c r="BK119" s="881"/>
      <c r="BL119" s="881"/>
      <c r="BM119" s="881"/>
      <c r="BN119" s="881"/>
      <c r="BO119" s="881"/>
      <c r="BP119" s="881"/>
      <c r="BQ119" s="881"/>
      <c r="BR119" s="881"/>
      <c r="BS119" s="881"/>
      <c r="BT119" s="881"/>
      <c r="BU119" s="881"/>
    </row>
    <row r="120" spans="1:73" x14ac:dyDescent="0.25">
      <c r="A120" s="881"/>
      <c r="B120" s="881"/>
      <c r="C120" s="905">
        <v>2</v>
      </c>
      <c r="D120" s="885" t="str">
        <f t="shared" ref="D120:G120" ca="1" si="52">OFFSET(D$76,MATCH($C120,$N$101:$N$107,0)*3-2,0)</f>
        <v>Total Capital Investment = $762,702K</v>
      </c>
      <c r="E120" s="898">
        <f t="shared" ca="1" si="52"/>
        <v>1.9173021997116375</v>
      </c>
      <c r="F120" s="898">
        <f t="shared" ca="1" si="52"/>
        <v>0</v>
      </c>
      <c r="G120" s="898">
        <f t="shared" ca="1" si="52"/>
        <v>1.8555719841455364E-3</v>
      </c>
      <c r="H120" s="898"/>
      <c r="I120" s="898"/>
      <c r="J120" s="898"/>
      <c r="K120" s="898"/>
      <c r="L120" s="898"/>
      <c r="M120" s="898"/>
      <c r="N120" s="898"/>
      <c r="O120" s="898"/>
      <c r="P120" s="898"/>
      <c r="Q120" s="898"/>
      <c r="R120" s="898"/>
      <c r="S120" s="898"/>
      <c r="T120" s="881"/>
      <c r="U120" s="881"/>
      <c r="V120" s="881"/>
      <c r="W120" s="881"/>
      <c r="X120" s="881"/>
      <c r="Y120" s="881"/>
      <c r="Z120" s="881"/>
      <c r="AA120" s="881"/>
      <c r="AB120" s="881"/>
      <c r="AC120" s="881"/>
      <c r="AD120" s="881"/>
      <c r="AE120" s="881"/>
      <c r="AF120" s="881"/>
      <c r="AG120" s="881"/>
      <c r="AH120" s="881"/>
      <c r="AI120" s="881"/>
      <c r="AJ120" s="881"/>
      <c r="AK120" s="881"/>
      <c r="AL120" s="881"/>
      <c r="AM120" s="881"/>
      <c r="AN120" s="881"/>
      <c r="AO120" s="881"/>
      <c r="AP120" s="881"/>
      <c r="AQ120" s="881"/>
      <c r="AR120" s="881"/>
      <c r="AS120" s="881"/>
      <c r="AT120" s="881"/>
      <c r="AU120" s="881"/>
      <c r="AV120" s="881"/>
      <c r="AW120" s="881"/>
      <c r="AX120" s="881"/>
      <c r="AY120" s="881"/>
      <c r="AZ120" s="881"/>
      <c r="BA120" s="881"/>
      <c r="BB120" s="881"/>
      <c r="BC120" s="881"/>
      <c r="BD120" s="881"/>
      <c r="BE120" s="881"/>
      <c r="BF120" s="881"/>
      <c r="BG120" s="881"/>
      <c r="BH120" s="881"/>
      <c r="BI120" s="881"/>
      <c r="BJ120" s="881"/>
      <c r="BK120" s="881"/>
      <c r="BL120" s="881"/>
      <c r="BM120" s="881"/>
      <c r="BN120" s="881"/>
      <c r="BO120" s="881"/>
      <c r="BP120" s="881"/>
      <c r="BQ120" s="881"/>
      <c r="BR120" s="881"/>
      <c r="BS120" s="881"/>
      <c r="BT120" s="881"/>
      <c r="BU120" s="881"/>
    </row>
    <row r="121" spans="1:73" x14ac:dyDescent="0.25">
      <c r="A121" s="881"/>
      <c r="B121" s="881"/>
      <c r="C121" s="905"/>
      <c r="D121" s="885"/>
      <c r="E121" s="898"/>
      <c r="F121" s="898"/>
      <c r="G121" s="898"/>
      <c r="H121" s="898">
        <f t="shared" ref="H121:S121" ca="1" si="53">OFFSET(H$76,MATCH($C120,$N$101:$N$107,0)*3-2,0)</f>
        <v>0.18689515455203651</v>
      </c>
      <c r="I121" s="898">
        <f t="shared" ca="1" si="53"/>
        <v>2.5148873085919069E-2</v>
      </c>
      <c r="J121" s="898">
        <f t="shared" ca="1" si="53"/>
        <v>2.1061353690481666E-2</v>
      </c>
      <c r="K121" s="898">
        <f t="shared" ca="1" si="53"/>
        <v>2.9544401990271528E-3</v>
      </c>
      <c r="L121" s="898">
        <f t="shared" ca="1" si="53"/>
        <v>1.8439125500113519E-3</v>
      </c>
      <c r="M121" s="898">
        <f t="shared" ca="1" si="53"/>
        <v>0.20077604825678791</v>
      </c>
      <c r="N121" s="898">
        <f t="shared" ca="1" si="53"/>
        <v>1.058372327657447</v>
      </c>
      <c r="O121" s="898">
        <f t="shared" ca="1" si="53"/>
        <v>3.7320310600916916E-2</v>
      </c>
      <c r="P121" s="898">
        <f t="shared" ca="1" si="53"/>
        <v>0.24780594636845787</v>
      </c>
      <c r="Q121" s="898">
        <f t="shared" ca="1" si="53"/>
        <v>0.11171565520580873</v>
      </c>
      <c r="R121" s="898">
        <f t="shared" ca="1" si="53"/>
        <v>2.0245227413365131E-2</v>
      </c>
      <c r="S121" s="898">
        <f t="shared" ca="1" si="53"/>
        <v>5.0185221155221527E-3</v>
      </c>
      <c r="T121" s="881"/>
      <c r="U121" s="881"/>
      <c r="V121" s="881"/>
      <c r="W121" s="881"/>
      <c r="X121" s="881"/>
      <c r="Y121" s="881"/>
      <c r="Z121" s="881"/>
      <c r="AA121" s="881"/>
      <c r="AB121" s="881"/>
      <c r="AC121" s="881"/>
      <c r="AD121" s="881"/>
      <c r="AE121" s="881"/>
      <c r="AF121" s="881"/>
      <c r="AG121" s="881"/>
      <c r="AH121" s="881"/>
      <c r="AI121" s="881"/>
      <c r="AJ121" s="881"/>
      <c r="AK121" s="881"/>
      <c r="AL121" s="881"/>
      <c r="AM121" s="881"/>
      <c r="AN121" s="881"/>
      <c r="AO121" s="881"/>
      <c r="AP121" s="881"/>
      <c r="AQ121" s="881"/>
      <c r="AR121" s="881"/>
      <c r="AS121" s="881"/>
      <c r="AT121" s="881"/>
      <c r="AU121" s="881"/>
      <c r="AV121" s="881"/>
      <c r="AW121" s="881"/>
      <c r="AX121" s="881"/>
      <c r="AY121" s="881"/>
      <c r="AZ121" s="881"/>
      <c r="BA121" s="881"/>
      <c r="BB121" s="881"/>
      <c r="BC121" s="881"/>
      <c r="BD121" s="881"/>
      <c r="BE121" s="881"/>
      <c r="BF121" s="881"/>
      <c r="BG121" s="881"/>
      <c r="BH121" s="881"/>
      <c r="BI121" s="881"/>
      <c r="BJ121" s="881"/>
      <c r="BK121" s="881"/>
      <c r="BL121" s="881"/>
      <c r="BM121" s="881"/>
      <c r="BN121" s="881"/>
      <c r="BO121" s="881"/>
      <c r="BP121" s="881"/>
      <c r="BQ121" s="881"/>
      <c r="BR121" s="881"/>
      <c r="BS121" s="881"/>
      <c r="BT121" s="881"/>
      <c r="BU121" s="881"/>
    </row>
    <row r="122" spans="1:73" x14ac:dyDescent="0.25">
      <c r="A122" s="881"/>
      <c r="B122" s="881"/>
      <c r="C122" s="905">
        <v>2</v>
      </c>
      <c r="D122" s="885" t="str">
        <f t="shared" ref="D122:G122" ca="1" si="54">OFFSET(D$76,MATCH($C122,$N$101:$N$107,0)*3,0)</f>
        <v>Total Capital Investment = $842,986K</v>
      </c>
      <c r="E122" s="898">
        <f t="shared" ca="1" si="54"/>
        <v>1.960571855482673</v>
      </c>
      <c r="F122" s="898">
        <f t="shared" ca="1" si="54"/>
        <v>0</v>
      </c>
      <c r="G122" s="898">
        <f t="shared" ca="1" si="54"/>
        <v>2.0508953508976985E-3</v>
      </c>
      <c r="H122" s="898"/>
      <c r="I122" s="898"/>
      <c r="J122" s="898"/>
      <c r="K122" s="898"/>
      <c r="L122" s="898"/>
      <c r="M122" s="898"/>
      <c r="N122" s="898"/>
      <c r="O122" s="898"/>
      <c r="P122" s="898"/>
      <c r="Q122" s="898"/>
      <c r="R122" s="898"/>
      <c r="S122" s="898"/>
      <c r="T122" s="881"/>
      <c r="U122" s="881"/>
      <c r="V122" s="881"/>
      <c r="W122" s="881"/>
      <c r="X122" s="881"/>
      <c r="Y122" s="881"/>
      <c r="Z122" s="881"/>
      <c r="AA122" s="881"/>
      <c r="AB122" s="881"/>
      <c r="AC122" s="881"/>
      <c r="AD122" s="881"/>
      <c r="AE122" s="881"/>
      <c r="AF122" s="881"/>
      <c r="AG122" s="881"/>
      <c r="AH122" s="881"/>
      <c r="AI122" s="881"/>
      <c r="AJ122" s="881"/>
      <c r="AK122" s="881"/>
      <c r="AL122" s="881"/>
      <c r="AM122" s="881"/>
      <c r="AN122" s="881"/>
      <c r="AO122" s="881"/>
      <c r="AP122" s="881"/>
      <c r="AQ122" s="881"/>
      <c r="AR122" s="881"/>
      <c r="AS122" s="881"/>
      <c r="AT122" s="881"/>
      <c r="AU122" s="881"/>
      <c r="AV122" s="881"/>
      <c r="AW122" s="881"/>
      <c r="AX122" s="881"/>
      <c r="AY122" s="881"/>
      <c r="AZ122" s="881"/>
      <c r="BA122" s="881"/>
      <c r="BB122" s="881"/>
      <c r="BC122" s="881"/>
      <c r="BD122" s="881"/>
      <c r="BE122" s="881"/>
      <c r="BF122" s="881"/>
      <c r="BG122" s="881"/>
      <c r="BH122" s="881"/>
      <c r="BI122" s="881"/>
      <c r="BJ122" s="881"/>
      <c r="BK122" s="881"/>
      <c r="BL122" s="881"/>
      <c r="BM122" s="881"/>
      <c r="BN122" s="881"/>
      <c r="BO122" s="881"/>
      <c r="BP122" s="881"/>
      <c r="BQ122" s="881"/>
      <c r="BR122" s="881"/>
      <c r="BS122" s="881"/>
      <c r="BT122" s="881"/>
      <c r="BU122" s="881"/>
    </row>
    <row r="123" spans="1:73" x14ac:dyDescent="0.25">
      <c r="A123" s="881"/>
      <c r="B123" s="881"/>
      <c r="C123" s="905"/>
      <c r="D123" s="885"/>
      <c r="E123" s="898"/>
      <c r="F123" s="898"/>
      <c r="G123" s="898"/>
      <c r="H123" s="898">
        <f t="shared" ref="H123:S123" ca="1" si="55">OFFSET(H$76,MATCH($C122,$N$101:$N$107,0)*3,0)</f>
        <v>0.20669272619747317</v>
      </c>
      <c r="I123" s="898">
        <f t="shared" ca="1" si="55"/>
        <v>2.5148873085919069E-2</v>
      </c>
      <c r="J123" s="898">
        <f t="shared" ca="1" si="55"/>
        <v>2.1199469957193642E-2</v>
      </c>
      <c r="K123" s="898">
        <f t="shared" ca="1" si="55"/>
        <v>2.9544401990271528E-3</v>
      </c>
      <c r="L123" s="898">
        <f t="shared" ca="1" si="55"/>
        <v>2.039235916763514E-3</v>
      </c>
      <c r="M123" s="898">
        <f t="shared" ca="1" si="55"/>
        <v>0.21089600653949414</v>
      </c>
      <c r="N123" s="898">
        <f t="shared" ca="1" si="55"/>
        <v>1.058372327657447</v>
      </c>
      <c r="O123" s="898">
        <f t="shared" ca="1" si="55"/>
        <v>3.7320310600916916E-2</v>
      </c>
      <c r="P123" s="898">
        <f t="shared" ca="1" si="55"/>
        <v>0.24780594636845787</v>
      </c>
      <c r="Q123" s="898">
        <f t="shared" ca="1" si="55"/>
        <v>0.12354955583932185</v>
      </c>
      <c r="R123" s="898">
        <f t="shared" ca="1" si="55"/>
        <v>2.1093730540063891E-2</v>
      </c>
      <c r="S123" s="898">
        <f t="shared" ca="1" si="55"/>
        <v>5.5501279314909913E-3</v>
      </c>
      <c r="T123" s="881"/>
      <c r="U123" s="881"/>
      <c r="V123" s="881"/>
      <c r="W123" s="881"/>
      <c r="X123" s="881"/>
      <c r="Y123" s="881"/>
      <c r="Z123" s="881"/>
      <c r="AA123" s="881"/>
      <c r="AB123" s="881"/>
      <c r="AC123" s="881"/>
      <c r="AD123" s="881"/>
      <c r="AE123" s="881"/>
      <c r="AF123" s="881"/>
      <c r="AG123" s="881"/>
      <c r="AH123" s="881"/>
      <c r="AI123" s="881"/>
      <c r="AJ123" s="881"/>
      <c r="AK123" s="881"/>
      <c r="AL123" s="881"/>
      <c r="AM123" s="881"/>
      <c r="AN123" s="881"/>
      <c r="AO123" s="881"/>
      <c r="AP123" s="881"/>
      <c r="AQ123" s="881"/>
      <c r="AR123" s="881"/>
      <c r="AS123" s="881"/>
      <c r="AT123" s="881"/>
      <c r="AU123" s="881"/>
      <c r="AV123" s="881"/>
      <c r="AW123" s="881"/>
      <c r="AX123" s="881"/>
      <c r="AY123" s="881"/>
      <c r="AZ123" s="881"/>
      <c r="BA123" s="881"/>
      <c r="BB123" s="881"/>
      <c r="BC123" s="881"/>
      <c r="BD123" s="881"/>
      <c r="BE123" s="881"/>
      <c r="BF123" s="881"/>
      <c r="BG123" s="881"/>
      <c r="BH123" s="881"/>
      <c r="BI123" s="881"/>
      <c r="BJ123" s="881"/>
      <c r="BK123" s="881"/>
      <c r="BL123" s="881"/>
      <c r="BM123" s="881"/>
      <c r="BN123" s="881"/>
      <c r="BO123" s="881"/>
      <c r="BP123" s="881"/>
      <c r="BQ123" s="881"/>
      <c r="BR123" s="881"/>
      <c r="BS123" s="881"/>
      <c r="BT123" s="881"/>
      <c r="BU123" s="881"/>
    </row>
    <row r="124" spans="1:73" x14ac:dyDescent="0.25">
      <c r="A124" s="881"/>
      <c r="B124" s="881"/>
      <c r="C124" s="905"/>
      <c r="D124" s="885"/>
      <c r="E124" s="898"/>
      <c r="F124" s="898"/>
      <c r="G124" s="898"/>
      <c r="H124" s="898"/>
      <c r="I124" s="898"/>
      <c r="J124" s="898"/>
      <c r="K124" s="898"/>
      <c r="L124" s="898"/>
      <c r="M124" s="898"/>
      <c r="N124" s="898"/>
      <c r="O124" s="898"/>
      <c r="P124" s="898"/>
      <c r="Q124" s="898"/>
      <c r="R124" s="898"/>
      <c r="S124" s="898"/>
      <c r="T124" s="881"/>
      <c r="U124" s="881"/>
      <c r="V124" s="881"/>
      <c r="W124" s="881"/>
      <c r="X124" s="881"/>
      <c r="Y124" s="881"/>
      <c r="Z124" s="881"/>
      <c r="AA124" s="881"/>
      <c r="AB124" s="881"/>
      <c r="AC124" s="881"/>
      <c r="AD124" s="881"/>
      <c r="AE124" s="881"/>
      <c r="AF124" s="881"/>
      <c r="AG124" s="881"/>
      <c r="AH124" s="881"/>
      <c r="AI124" s="881"/>
      <c r="AJ124" s="881"/>
      <c r="AK124" s="881"/>
      <c r="AL124" s="881"/>
      <c r="AM124" s="881"/>
      <c r="AN124" s="881"/>
      <c r="AO124" s="881"/>
      <c r="AP124" s="881"/>
      <c r="AQ124" s="881"/>
      <c r="AR124" s="881"/>
      <c r="AS124" s="881"/>
      <c r="AT124" s="881"/>
      <c r="AU124" s="881"/>
      <c r="AV124" s="881"/>
      <c r="AW124" s="881"/>
      <c r="AX124" s="881"/>
      <c r="AY124" s="881"/>
      <c r="AZ124" s="881"/>
      <c r="BA124" s="881"/>
      <c r="BB124" s="881"/>
      <c r="BC124" s="881"/>
      <c r="BD124" s="881"/>
      <c r="BE124" s="881"/>
      <c r="BF124" s="881"/>
      <c r="BG124" s="881"/>
      <c r="BH124" s="881"/>
      <c r="BI124" s="881"/>
      <c r="BJ124" s="881"/>
      <c r="BK124" s="881"/>
      <c r="BL124" s="881"/>
      <c r="BM124" s="881"/>
      <c r="BN124" s="881"/>
      <c r="BO124" s="881"/>
      <c r="BP124" s="881"/>
      <c r="BQ124" s="881"/>
      <c r="BR124" s="881"/>
      <c r="BS124" s="881"/>
      <c r="BT124" s="881"/>
      <c r="BU124" s="881"/>
    </row>
    <row r="125" spans="1:73" x14ac:dyDescent="0.25">
      <c r="A125" s="881"/>
      <c r="B125" s="881"/>
      <c r="C125" s="905">
        <v>3</v>
      </c>
      <c r="D125" s="885" t="str">
        <f t="shared" ref="D125:G125" ca="1" si="56">OFFSET(D$76,MATCH($C125,$N$101:$N$107,0)*3-2,0)</f>
        <v>Plant Design Capacity (kg of H2/day) = 507,150</v>
      </c>
      <c r="E125" s="898">
        <f t="shared" ca="1" si="56"/>
        <v>1.9196972653481559</v>
      </c>
      <c r="F125" s="898">
        <f t="shared" ca="1" si="56"/>
        <v>0</v>
      </c>
      <c r="G125" s="898">
        <f t="shared" ca="1" si="56"/>
        <v>1.9068196881298842E-3</v>
      </c>
      <c r="H125" s="898"/>
      <c r="I125" s="898"/>
      <c r="J125" s="898"/>
      <c r="K125" s="898"/>
      <c r="L125" s="898"/>
      <c r="M125" s="898"/>
      <c r="N125" s="898"/>
      <c r="O125" s="898"/>
      <c r="P125" s="898"/>
      <c r="Q125" s="898"/>
      <c r="R125" s="898"/>
      <c r="S125" s="898"/>
      <c r="T125" s="881"/>
      <c r="U125" s="881"/>
      <c r="V125" s="881"/>
      <c r="W125" s="881"/>
      <c r="X125" s="881"/>
      <c r="Y125" s="881"/>
      <c r="Z125" s="881"/>
      <c r="AA125" s="881"/>
      <c r="AB125" s="881"/>
      <c r="AC125" s="881"/>
      <c r="AD125" s="881"/>
      <c r="AE125" s="881"/>
      <c r="AF125" s="881"/>
      <c r="AG125" s="881"/>
      <c r="AH125" s="881"/>
      <c r="AI125" s="881"/>
      <c r="AJ125" s="881"/>
      <c r="AK125" s="881"/>
      <c r="AL125" s="881"/>
      <c r="AM125" s="881"/>
      <c r="AN125" s="881"/>
      <c r="AO125" s="881"/>
      <c r="AP125" s="881"/>
      <c r="AQ125" s="881"/>
      <c r="AR125" s="881"/>
      <c r="AS125" s="881"/>
      <c r="AT125" s="881"/>
      <c r="AU125" s="881"/>
      <c r="AV125" s="881"/>
      <c r="AW125" s="881"/>
      <c r="AX125" s="881"/>
      <c r="AY125" s="881"/>
      <c r="AZ125" s="881"/>
      <c r="BA125" s="881"/>
      <c r="BB125" s="881"/>
      <c r="BC125" s="881"/>
      <c r="BD125" s="881"/>
      <c r="BE125" s="881"/>
      <c r="BF125" s="881"/>
      <c r="BG125" s="881"/>
      <c r="BH125" s="881"/>
      <c r="BI125" s="881"/>
      <c r="BJ125" s="881"/>
      <c r="BK125" s="881"/>
      <c r="BL125" s="881"/>
      <c r="BM125" s="881"/>
      <c r="BN125" s="881"/>
      <c r="BO125" s="881"/>
      <c r="BP125" s="881"/>
      <c r="BQ125" s="881"/>
      <c r="BR125" s="881"/>
      <c r="BS125" s="881"/>
      <c r="BT125" s="881"/>
      <c r="BU125" s="881"/>
    </row>
    <row r="126" spans="1:73" x14ac:dyDescent="0.25">
      <c r="A126" s="881"/>
      <c r="B126" s="881"/>
      <c r="C126" s="905"/>
      <c r="D126" s="885"/>
      <c r="E126" s="898"/>
      <c r="F126" s="898"/>
      <c r="G126" s="898"/>
      <c r="H126" s="898">
        <f t="shared" ref="H126:S126" ca="1" si="57">OFFSET(H$76,MATCH($C125,$N$101:$N$107,0)*3-2,0)</f>
        <v>0.19211373242097643</v>
      </c>
      <c r="I126" s="898">
        <f t="shared" ca="1" si="57"/>
        <v>2.455077562610327E-2</v>
      </c>
      <c r="J126" s="898">
        <f t="shared" ca="1" si="57"/>
        <v>2.0987498453255701E-2</v>
      </c>
      <c r="K126" s="898">
        <f t="shared" ca="1" si="57"/>
        <v>2.8938981885642721E-3</v>
      </c>
      <c r="L126" s="898">
        <f t="shared" ca="1" si="57"/>
        <v>1.8953991776278565E-3</v>
      </c>
      <c r="M126" s="898">
        <f t="shared" ca="1" si="57"/>
        <v>0.20129300976023867</v>
      </c>
      <c r="N126" s="898">
        <f t="shared" ca="1" si="57"/>
        <v>1.0583723276574466</v>
      </c>
      <c r="O126" s="898">
        <f t="shared" ca="1" si="57"/>
        <v>3.7320310600916909E-2</v>
      </c>
      <c r="P126" s="898">
        <f t="shared" ca="1" si="57"/>
        <v>0.24187751569139676</v>
      </c>
      <c r="Q126" s="898">
        <f t="shared" ca="1" si="57"/>
        <v>0.11483503434256863</v>
      </c>
      <c r="R126" s="898">
        <f t="shared" ca="1" si="57"/>
        <v>2.0305931373857736E-2</v>
      </c>
      <c r="S126" s="898">
        <f t="shared" ca="1" si="57"/>
        <v>5.1586517433320446E-3</v>
      </c>
      <c r="T126" s="881"/>
      <c r="U126" s="881"/>
      <c r="V126" s="881"/>
      <c r="W126" s="881"/>
      <c r="X126" s="881"/>
      <c r="Y126" s="881"/>
      <c r="Z126" s="881"/>
      <c r="AA126" s="881"/>
      <c r="AB126" s="881"/>
      <c r="AC126" s="881"/>
      <c r="AD126" s="881"/>
      <c r="AE126" s="881"/>
      <c r="AF126" s="881"/>
      <c r="AG126" s="881"/>
      <c r="AH126" s="881"/>
      <c r="AI126" s="881"/>
      <c r="AJ126" s="881"/>
      <c r="AK126" s="881"/>
      <c r="AL126" s="881"/>
      <c r="AM126" s="881"/>
      <c r="AN126" s="881"/>
      <c r="AO126" s="881"/>
      <c r="AP126" s="881"/>
      <c r="AQ126" s="881"/>
      <c r="AR126" s="881"/>
      <c r="AS126" s="881"/>
      <c r="AT126" s="881"/>
      <c r="AU126" s="881"/>
      <c r="AV126" s="881"/>
      <c r="AW126" s="881"/>
      <c r="AX126" s="881"/>
      <c r="AY126" s="881"/>
      <c r="AZ126" s="881"/>
      <c r="BA126" s="881"/>
      <c r="BB126" s="881"/>
      <c r="BC126" s="881"/>
      <c r="BD126" s="881"/>
      <c r="BE126" s="881"/>
      <c r="BF126" s="881"/>
      <c r="BG126" s="881"/>
      <c r="BH126" s="881"/>
      <c r="BI126" s="881"/>
      <c r="BJ126" s="881"/>
      <c r="BK126" s="881"/>
      <c r="BL126" s="881"/>
      <c r="BM126" s="881"/>
      <c r="BN126" s="881"/>
      <c r="BO126" s="881"/>
      <c r="BP126" s="881"/>
      <c r="BQ126" s="881"/>
      <c r="BR126" s="881"/>
      <c r="BS126" s="881"/>
      <c r="BT126" s="881"/>
      <c r="BU126" s="881"/>
    </row>
    <row r="127" spans="1:73" x14ac:dyDescent="0.25">
      <c r="A127" s="881"/>
      <c r="B127" s="881"/>
      <c r="C127" s="905">
        <v>3</v>
      </c>
      <c r="D127" s="885" t="str">
        <f t="shared" ref="D127:G127" ca="1" si="58">OFFSET(D$76,MATCH($C127,$N$101:$N$107,0)*3,0)</f>
        <v>Plant Design Capacity (kg of H2/day) = 458,850</v>
      </c>
      <c r="E127" s="898">
        <f t="shared" ca="1" si="58"/>
        <v>1.9599105035261604</v>
      </c>
      <c r="F127" s="898">
        <f t="shared" ca="1" si="58"/>
        <v>0</v>
      </c>
      <c r="G127" s="898">
        <f t="shared" ca="1" si="58"/>
        <v>2.0035986884467554E-3</v>
      </c>
      <c r="H127" s="898"/>
      <c r="I127" s="898"/>
      <c r="J127" s="898"/>
      <c r="K127" s="898"/>
      <c r="L127" s="898"/>
      <c r="M127" s="898"/>
      <c r="N127" s="898"/>
      <c r="O127" s="898"/>
      <c r="P127" s="898"/>
      <c r="Q127" s="898"/>
      <c r="R127" s="898"/>
      <c r="S127" s="898"/>
      <c r="T127" s="881"/>
      <c r="U127" s="881"/>
      <c r="V127" s="881"/>
      <c r="W127" s="881"/>
      <c r="X127" s="881"/>
      <c r="Y127" s="881"/>
      <c r="Z127" s="881"/>
      <c r="AA127" s="881"/>
      <c r="AB127" s="881"/>
      <c r="AC127" s="881"/>
      <c r="AD127" s="881"/>
      <c r="AE127" s="881"/>
      <c r="AF127" s="881"/>
      <c r="AG127" s="881"/>
      <c r="AH127" s="881"/>
      <c r="AI127" s="881"/>
      <c r="AJ127" s="881"/>
      <c r="AK127" s="881"/>
      <c r="AL127" s="881"/>
      <c r="AM127" s="881"/>
      <c r="AN127" s="881"/>
      <c r="AO127" s="881"/>
      <c r="AP127" s="881"/>
      <c r="AQ127" s="881"/>
      <c r="AR127" s="881"/>
      <c r="AS127" s="881"/>
      <c r="AT127" s="881"/>
      <c r="AU127" s="881"/>
      <c r="AV127" s="881"/>
      <c r="AW127" s="881"/>
      <c r="AX127" s="881"/>
      <c r="AY127" s="881"/>
      <c r="AZ127" s="881"/>
      <c r="BA127" s="881"/>
      <c r="BB127" s="881"/>
      <c r="BC127" s="881"/>
      <c r="BD127" s="881"/>
      <c r="BE127" s="881"/>
      <c r="BF127" s="881"/>
      <c r="BG127" s="881"/>
      <c r="BH127" s="881"/>
      <c r="BI127" s="881"/>
      <c r="BJ127" s="881"/>
      <c r="BK127" s="881"/>
      <c r="BL127" s="881"/>
      <c r="BM127" s="881"/>
      <c r="BN127" s="881"/>
      <c r="BO127" s="881"/>
      <c r="BP127" s="881"/>
      <c r="BQ127" s="881"/>
      <c r="BR127" s="881"/>
      <c r="BS127" s="881"/>
      <c r="BT127" s="881"/>
      <c r="BU127" s="881"/>
    </row>
    <row r="128" spans="1:73" x14ac:dyDescent="0.25">
      <c r="A128" s="881"/>
      <c r="B128" s="881"/>
      <c r="C128" s="905"/>
      <c r="D128" s="885"/>
      <c r="E128" s="898"/>
      <c r="F128" s="898"/>
      <c r="G128" s="898"/>
      <c r="H128" s="898">
        <f t="shared" ref="H128:S128" ca="1" si="59">OFFSET(H$76,MATCH($C127,$N$101:$N$107,0)*3,0)</f>
        <v>0.20187271159335321</v>
      </c>
      <c r="I128" s="898">
        <f t="shared" ca="1" si="59"/>
        <v>2.5797904110785613E-2</v>
      </c>
      <c r="J128" s="898">
        <f t="shared" ca="1" si="59"/>
        <v>2.1286779379127516E-2</v>
      </c>
      <c r="K128" s="898">
        <f t="shared" ca="1" si="59"/>
        <v>3.0197475006259575E-3</v>
      </c>
      <c r="L128" s="898">
        <f t="shared" ca="1" si="59"/>
        <v>1.9916815248849371E-3</v>
      </c>
      <c r="M128" s="898">
        <f t="shared" ca="1" si="59"/>
        <v>0.21075915969750289</v>
      </c>
      <c r="N128" s="898">
        <f t="shared" ca="1" si="59"/>
        <v>1.0583723276574473</v>
      </c>
      <c r="O128" s="898">
        <f t="shared" ca="1" si="59"/>
        <v>3.732031060091693E-2</v>
      </c>
      <c r="P128" s="898">
        <f t="shared" ca="1" si="59"/>
        <v>0.25434006797534392</v>
      </c>
      <c r="Q128" s="898">
        <f t="shared" ca="1" si="59"/>
        <v>0.12066841592485229</v>
      </c>
      <c r="R128" s="898">
        <f t="shared" ca="1" si="59"/>
        <v>2.1064295696666843E-2</v>
      </c>
      <c r="S128" s="898">
        <f t="shared" ca="1" si="59"/>
        <v>5.4207005530985735E-3</v>
      </c>
      <c r="T128" s="881"/>
      <c r="U128" s="881"/>
      <c r="V128" s="881"/>
      <c r="W128" s="881"/>
      <c r="X128" s="881"/>
      <c r="Y128" s="881"/>
      <c r="Z128" s="881"/>
      <c r="AA128" s="881"/>
      <c r="AB128" s="881"/>
      <c r="AC128" s="881"/>
      <c r="AD128" s="881"/>
      <c r="AE128" s="881"/>
      <c r="AF128" s="881"/>
      <c r="AG128" s="881"/>
      <c r="AH128" s="881"/>
      <c r="AI128" s="881"/>
      <c r="AJ128" s="881"/>
      <c r="AK128" s="881"/>
      <c r="AL128" s="881"/>
      <c r="AM128" s="881"/>
      <c r="AN128" s="881"/>
      <c r="AO128" s="881"/>
      <c r="AP128" s="881"/>
      <c r="AQ128" s="881"/>
      <c r="AR128" s="881"/>
      <c r="AS128" s="881"/>
      <c r="AT128" s="881"/>
      <c r="AU128" s="881"/>
      <c r="AV128" s="881"/>
      <c r="AW128" s="881"/>
      <c r="AX128" s="881"/>
      <c r="AY128" s="881"/>
      <c r="AZ128" s="881"/>
      <c r="BA128" s="881"/>
      <c r="BB128" s="881"/>
      <c r="BC128" s="881"/>
      <c r="BD128" s="881"/>
      <c r="BE128" s="881"/>
      <c r="BF128" s="881"/>
      <c r="BG128" s="881"/>
      <c r="BH128" s="881"/>
      <c r="BI128" s="881"/>
      <c r="BJ128" s="881"/>
      <c r="BK128" s="881"/>
      <c r="BL128" s="881"/>
      <c r="BM128" s="881"/>
      <c r="BN128" s="881"/>
      <c r="BO128" s="881"/>
      <c r="BP128" s="881"/>
      <c r="BQ128" s="881"/>
      <c r="BR128" s="881"/>
      <c r="BS128" s="881"/>
      <c r="BT128" s="881"/>
      <c r="BU128" s="881"/>
    </row>
    <row r="129" spans="1:73" x14ac:dyDescent="0.25">
      <c r="A129" s="881"/>
      <c r="B129" s="881"/>
      <c r="C129" s="905"/>
      <c r="D129" s="885"/>
      <c r="E129" s="898"/>
      <c r="F129" s="898"/>
      <c r="G129" s="898"/>
      <c r="H129" s="898"/>
      <c r="I129" s="898"/>
      <c r="J129" s="898"/>
      <c r="K129" s="898"/>
      <c r="L129" s="898"/>
      <c r="M129" s="898"/>
      <c r="N129" s="898"/>
      <c r="O129" s="898"/>
      <c r="P129" s="898"/>
      <c r="Q129" s="898"/>
      <c r="R129" s="898"/>
      <c r="S129" s="898"/>
      <c r="T129" s="881"/>
      <c r="U129" s="881"/>
      <c r="V129" s="881"/>
      <c r="W129" s="881"/>
      <c r="X129" s="881"/>
      <c r="Y129" s="881"/>
      <c r="Z129" s="881"/>
      <c r="AA129" s="881"/>
      <c r="AB129" s="881"/>
      <c r="AC129" s="881"/>
      <c r="AD129" s="881"/>
      <c r="AE129" s="881"/>
      <c r="AF129" s="881"/>
      <c r="AG129" s="881"/>
      <c r="AH129" s="881"/>
      <c r="AI129" s="881"/>
      <c r="AJ129" s="881"/>
      <c r="AK129" s="881"/>
      <c r="AL129" s="881"/>
      <c r="AM129" s="881"/>
      <c r="AN129" s="881"/>
      <c r="AO129" s="881"/>
      <c r="AP129" s="881"/>
      <c r="AQ129" s="881"/>
      <c r="AR129" s="881"/>
      <c r="AS129" s="881"/>
      <c r="AT129" s="881"/>
      <c r="AU129" s="881"/>
      <c r="AV129" s="881"/>
      <c r="AW129" s="881"/>
      <c r="AX129" s="881"/>
      <c r="AY129" s="881"/>
      <c r="AZ129" s="881"/>
      <c r="BA129" s="881"/>
      <c r="BB129" s="881"/>
      <c r="BC129" s="881"/>
      <c r="BD129" s="881"/>
      <c r="BE129" s="881"/>
      <c r="BF129" s="881"/>
      <c r="BG129" s="881"/>
      <c r="BH129" s="881"/>
      <c r="BI129" s="881"/>
      <c r="BJ129" s="881"/>
      <c r="BK129" s="881"/>
      <c r="BL129" s="881"/>
      <c r="BM129" s="881"/>
      <c r="BN129" s="881"/>
      <c r="BO129" s="881"/>
      <c r="BP129" s="881"/>
      <c r="BQ129" s="881"/>
      <c r="BR129" s="881"/>
      <c r="BS129" s="881"/>
      <c r="BT129" s="881"/>
      <c r="BU129" s="881"/>
    </row>
    <row r="130" spans="1:73" x14ac:dyDescent="0.25">
      <c r="A130" s="881"/>
      <c r="B130" s="881"/>
      <c r="C130" s="905">
        <v>4</v>
      </c>
      <c r="D130" s="885" t="str">
        <f t="shared" ref="D130:G130" ca="1" si="60">OFFSET(D$76,MATCH($C130,$N$101:$N$107,0)*3-2,0)</f>
        <v>Total Fixed Operating Cost = $31,026K</v>
      </c>
      <c r="E130" s="898">
        <f t="shared" ca="1" si="60"/>
        <v>1.9284560778762152</v>
      </c>
      <c r="F130" s="898">
        <f t="shared" ca="1" si="60"/>
        <v>0</v>
      </c>
      <c r="G130" s="898">
        <f t="shared" ca="1" si="60"/>
        <v>1.9532336675216178E-3</v>
      </c>
      <c r="H130" s="898"/>
      <c r="I130" s="898"/>
      <c r="J130" s="898"/>
      <c r="K130" s="898"/>
      <c r="L130" s="898"/>
      <c r="M130" s="898"/>
      <c r="N130" s="898"/>
      <c r="O130" s="898"/>
      <c r="P130" s="898"/>
      <c r="Q130" s="898"/>
      <c r="R130" s="898"/>
      <c r="S130" s="898"/>
      <c r="T130" s="881"/>
      <c r="U130" s="881"/>
      <c r="V130" s="881"/>
      <c r="W130" s="881"/>
      <c r="X130" s="881"/>
      <c r="Y130" s="881"/>
      <c r="Z130" s="881"/>
      <c r="AA130" s="881"/>
      <c r="AB130" s="881"/>
      <c r="AC130" s="881"/>
      <c r="AD130" s="881"/>
      <c r="AE130" s="881"/>
      <c r="AF130" s="881"/>
      <c r="AG130" s="881"/>
      <c r="AH130" s="881"/>
      <c r="AI130" s="881"/>
      <c r="AJ130" s="881"/>
      <c r="AK130" s="881"/>
      <c r="AL130" s="881"/>
      <c r="AM130" s="881"/>
      <c r="AN130" s="881"/>
      <c r="AO130" s="881"/>
      <c r="AP130" s="881"/>
      <c r="AQ130" s="881"/>
      <c r="AR130" s="881"/>
      <c r="AS130" s="881"/>
      <c r="AT130" s="881"/>
      <c r="AU130" s="881"/>
      <c r="AV130" s="881"/>
      <c r="AW130" s="881"/>
      <c r="AX130" s="881"/>
      <c r="AY130" s="881"/>
      <c r="AZ130" s="881"/>
      <c r="BA130" s="881"/>
      <c r="BB130" s="881"/>
      <c r="BC130" s="881"/>
      <c r="BD130" s="881"/>
      <c r="BE130" s="881"/>
      <c r="BF130" s="881"/>
      <c r="BG130" s="881"/>
      <c r="BH130" s="881"/>
      <c r="BI130" s="881"/>
      <c r="BJ130" s="881"/>
      <c r="BK130" s="881"/>
      <c r="BL130" s="881"/>
      <c r="BM130" s="881"/>
      <c r="BN130" s="881"/>
      <c r="BO130" s="881"/>
      <c r="BP130" s="881"/>
      <c r="BQ130" s="881"/>
      <c r="BR130" s="881"/>
      <c r="BS130" s="881"/>
      <c r="BT130" s="881"/>
      <c r="BU130" s="881"/>
    </row>
    <row r="131" spans="1:73" x14ac:dyDescent="0.25">
      <c r="A131" s="881"/>
      <c r="B131" s="881"/>
      <c r="C131" s="905"/>
      <c r="D131" s="885"/>
      <c r="E131" s="898"/>
      <c r="F131" s="898"/>
      <c r="G131" s="898"/>
      <c r="H131" s="898">
        <f t="shared" ref="H131:S131" ca="1" si="61">OFFSET(H$76,MATCH($C130,$N$101:$N$107,0)*3-2,0)</f>
        <v>0.19679394037475487</v>
      </c>
      <c r="I131" s="898">
        <f t="shared" ca="1" si="61"/>
        <v>2.5148873085919069E-2</v>
      </c>
      <c r="J131" s="898">
        <f t="shared" ca="1" si="61"/>
        <v>2.0989950258360455E-2</v>
      </c>
      <c r="K131" s="898">
        <f t="shared" ca="1" si="61"/>
        <v>2.9544401990271528E-3</v>
      </c>
      <c r="L131" s="898">
        <f t="shared" ca="1" si="61"/>
        <v>1.9415742333874339E-3</v>
      </c>
      <c r="M131" s="898">
        <f t="shared" ca="1" si="61"/>
        <v>0.19554422602823404</v>
      </c>
      <c r="N131" s="898">
        <f t="shared" ca="1" si="61"/>
        <v>1.058372327657447</v>
      </c>
      <c r="O131" s="898">
        <f t="shared" ca="1" si="61"/>
        <v>3.7320310600916916E-2</v>
      </c>
      <c r="P131" s="898">
        <f t="shared" ca="1" si="61"/>
        <v>0.24780594636845787</v>
      </c>
      <c r="Q131" s="898">
        <f t="shared" ca="1" si="61"/>
        <v>0.11763260552256523</v>
      </c>
      <c r="R131" s="898">
        <f t="shared" ca="1" si="61"/>
        <v>2.0620792191158525E-2</v>
      </c>
      <c r="S131" s="898">
        <f t="shared" ca="1" si="61"/>
        <v>5.2843250235065703E-3</v>
      </c>
      <c r="T131" s="881"/>
      <c r="U131" s="881"/>
      <c r="V131" s="881"/>
      <c r="W131" s="881"/>
      <c r="X131" s="881"/>
      <c r="Y131" s="881"/>
      <c r="Z131" s="881"/>
      <c r="AA131" s="881"/>
      <c r="AB131" s="881"/>
      <c r="AC131" s="881"/>
      <c r="AD131" s="881"/>
      <c r="AE131" s="881"/>
      <c r="AF131" s="881"/>
      <c r="AG131" s="881"/>
      <c r="AH131" s="881"/>
      <c r="AI131" s="881"/>
      <c r="AJ131" s="881"/>
      <c r="AK131" s="881"/>
      <c r="AL131" s="881"/>
      <c r="AM131" s="881"/>
      <c r="AN131" s="881"/>
      <c r="AO131" s="881"/>
      <c r="AP131" s="881"/>
      <c r="AQ131" s="881"/>
      <c r="AR131" s="881"/>
      <c r="AS131" s="881"/>
      <c r="AT131" s="881"/>
      <c r="AU131" s="881"/>
      <c r="AV131" s="881"/>
      <c r="AW131" s="881"/>
      <c r="AX131" s="881"/>
      <c r="AY131" s="881"/>
      <c r="AZ131" s="881"/>
      <c r="BA131" s="881"/>
      <c r="BB131" s="881"/>
      <c r="BC131" s="881"/>
      <c r="BD131" s="881"/>
      <c r="BE131" s="881"/>
      <c r="BF131" s="881"/>
      <c r="BG131" s="881"/>
      <c r="BH131" s="881"/>
      <c r="BI131" s="881"/>
      <c r="BJ131" s="881"/>
      <c r="BK131" s="881"/>
      <c r="BL131" s="881"/>
      <c r="BM131" s="881"/>
      <c r="BN131" s="881"/>
      <c r="BO131" s="881"/>
      <c r="BP131" s="881"/>
      <c r="BQ131" s="881"/>
      <c r="BR131" s="881"/>
      <c r="BS131" s="881"/>
      <c r="BT131" s="881"/>
      <c r="BU131" s="881"/>
    </row>
    <row r="132" spans="1:73" x14ac:dyDescent="0.25">
      <c r="A132" s="881"/>
      <c r="B132" s="881"/>
      <c r="C132" s="905">
        <v>4</v>
      </c>
      <c r="D132" s="885" t="str">
        <f t="shared" ref="D132:G132" ca="1" si="62">OFFSET(D$76,MATCH($C132,$N$101:$N$107,0)*3,0)</f>
        <v>Total Fixed Operating Cost = $34,292K</v>
      </c>
      <c r="E132" s="898">
        <f t="shared" ca="1" si="62"/>
        <v>1.949417977318096</v>
      </c>
      <c r="F132" s="898">
        <f t="shared" ca="1" si="62"/>
        <v>0</v>
      </c>
      <c r="G132" s="898">
        <f t="shared" ca="1" si="62"/>
        <v>1.9532336675216178E-3</v>
      </c>
      <c r="H132" s="898"/>
      <c r="I132" s="898"/>
      <c r="J132" s="898"/>
      <c r="K132" s="898"/>
      <c r="L132" s="898"/>
      <c r="M132" s="898"/>
      <c r="N132" s="898"/>
      <c r="O132" s="898"/>
      <c r="P132" s="898"/>
      <c r="Q132" s="898"/>
      <c r="R132" s="898"/>
      <c r="S132" s="898"/>
      <c r="T132" s="881"/>
      <c r="U132" s="881"/>
      <c r="V132" s="881"/>
      <c r="W132" s="881"/>
      <c r="X132" s="881"/>
      <c r="Y132" s="881"/>
      <c r="Z132" s="881"/>
      <c r="AA132" s="881"/>
      <c r="AB132" s="881"/>
      <c r="AC132" s="881"/>
      <c r="AD132" s="881"/>
      <c r="AE132" s="881"/>
      <c r="AF132" s="881"/>
      <c r="AG132" s="881"/>
      <c r="AH132" s="881"/>
      <c r="AI132" s="881"/>
      <c r="AJ132" s="881"/>
      <c r="AK132" s="881"/>
      <c r="AL132" s="881"/>
      <c r="AM132" s="881"/>
      <c r="AN132" s="881"/>
      <c r="AO132" s="881"/>
      <c r="AP132" s="881"/>
      <c r="AQ132" s="881"/>
      <c r="AR132" s="881"/>
      <c r="AS132" s="881"/>
      <c r="AT132" s="881"/>
      <c r="AU132" s="881"/>
      <c r="AV132" s="881"/>
      <c r="AW132" s="881"/>
      <c r="AX132" s="881"/>
      <c r="AY132" s="881"/>
      <c r="AZ132" s="881"/>
      <c r="BA132" s="881"/>
      <c r="BB132" s="881"/>
      <c r="BC132" s="881"/>
      <c r="BD132" s="881"/>
      <c r="BE132" s="881"/>
      <c r="BF132" s="881"/>
      <c r="BG132" s="881"/>
      <c r="BH132" s="881"/>
      <c r="BI132" s="881"/>
      <c r="BJ132" s="881"/>
      <c r="BK132" s="881"/>
      <c r="BL132" s="881"/>
      <c r="BM132" s="881"/>
      <c r="BN132" s="881"/>
      <c r="BO132" s="881"/>
      <c r="BP132" s="881"/>
      <c r="BQ132" s="881"/>
      <c r="BR132" s="881"/>
      <c r="BS132" s="881"/>
      <c r="BT132" s="881"/>
      <c r="BU132" s="881"/>
    </row>
    <row r="133" spans="1:73" x14ac:dyDescent="0.25">
      <c r="A133" s="881"/>
      <c r="B133" s="881"/>
      <c r="C133" s="905"/>
      <c r="D133" s="885"/>
      <c r="E133" s="898"/>
      <c r="F133" s="898"/>
      <c r="G133" s="898"/>
      <c r="H133" s="898">
        <f t="shared" ref="H133:S133" ca="1" si="63">OFFSET(H$76,MATCH($C132,$N$101:$N$107,0)*3,0)</f>
        <v>0.19679394037475487</v>
      </c>
      <c r="I133" s="898">
        <f t="shared" ca="1" si="63"/>
        <v>2.5148873085919069E-2</v>
      </c>
      <c r="J133" s="898">
        <f t="shared" ca="1" si="63"/>
        <v>2.127087338931484E-2</v>
      </c>
      <c r="K133" s="898">
        <f t="shared" ca="1" si="63"/>
        <v>2.9544401990271528E-3</v>
      </c>
      <c r="L133" s="898">
        <f t="shared" ca="1" si="63"/>
        <v>1.9415742333874339E-3</v>
      </c>
      <c r="M133" s="898">
        <f t="shared" ca="1" si="63"/>
        <v>0.2161278287680482</v>
      </c>
      <c r="N133" s="898">
        <f t="shared" ca="1" si="63"/>
        <v>1.058372327657447</v>
      </c>
      <c r="O133" s="898">
        <f t="shared" ca="1" si="63"/>
        <v>3.7320310600916916E-2</v>
      </c>
      <c r="P133" s="898">
        <f t="shared" ca="1" si="63"/>
        <v>0.24780594636845787</v>
      </c>
      <c r="Q133" s="898">
        <f t="shared" ca="1" si="63"/>
        <v>0.11763260552256523</v>
      </c>
      <c r="R133" s="898">
        <f t="shared" ca="1" si="63"/>
        <v>2.0718165762270275E-2</v>
      </c>
      <c r="S133" s="898">
        <f t="shared" ca="1" si="63"/>
        <v>5.2843250235065703E-3</v>
      </c>
      <c r="T133" s="881"/>
      <c r="U133" s="881"/>
      <c r="V133" s="881"/>
      <c r="W133" s="881"/>
      <c r="X133" s="881"/>
      <c r="Y133" s="881"/>
      <c r="Z133" s="881"/>
      <c r="AA133" s="881"/>
      <c r="AB133" s="881"/>
      <c r="AC133" s="881"/>
      <c r="AD133" s="881"/>
      <c r="AE133" s="881"/>
      <c r="AF133" s="881"/>
      <c r="AG133" s="881"/>
      <c r="AH133" s="881"/>
      <c r="AI133" s="881"/>
      <c r="AJ133" s="881"/>
      <c r="AK133" s="881"/>
      <c r="AL133" s="881"/>
      <c r="AM133" s="881"/>
      <c r="AN133" s="881"/>
      <c r="AO133" s="881"/>
      <c r="AP133" s="881"/>
      <c r="AQ133" s="881"/>
      <c r="AR133" s="881"/>
      <c r="AS133" s="881"/>
      <c r="AT133" s="881"/>
      <c r="AU133" s="881"/>
      <c r="AV133" s="881"/>
      <c r="AW133" s="881"/>
      <c r="AX133" s="881"/>
      <c r="AY133" s="881"/>
      <c r="AZ133" s="881"/>
      <c r="BA133" s="881"/>
      <c r="BB133" s="881"/>
      <c r="BC133" s="881"/>
      <c r="BD133" s="881"/>
      <c r="BE133" s="881"/>
      <c r="BF133" s="881"/>
      <c r="BG133" s="881"/>
      <c r="BH133" s="881"/>
      <c r="BI133" s="881"/>
      <c r="BJ133" s="881"/>
      <c r="BK133" s="881"/>
      <c r="BL133" s="881"/>
      <c r="BM133" s="881"/>
      <c r="BN133" s="881"/>
      <c r="BO133" s="881"/>
      <c r="BP133" s="881"/>
      <c r="BQ133" s="881"/>
      <c r="BR133" s="881"/>
      <c r="BS133" s="881"/>
      <c r="BT133" s="881"/>
      <c r="BU133" s="881"/>
    </row>
    <row r="134" spans="1:73" x14ac:dyDescent="0.25">
      <c r="A134" s="881"/>
      <c r="B134" s="881"/>
      <c r="C134" s="905"/>
      <c r="D134" s="885"/>
      <c r="E134" s="898"/>
      <c r="F134" s="898"/>
      <c r="G134" s="898"/>
      <c r="H134" s="898"/>
      <c r="I134" s="898"/>
      <c r="J134" s="898"/>
      <c r="K134" s="898"/>
      <c r="L134" s="898"/>
      <c r="M134" s="898"/>
      <c r="N134" s="898"/>
      <c r="O134" s="898"/>
      <c r="P134" s="898"/>
      <c r="Q134" s="898"/>
      <c r="R134" s="898"/>
      <c r="S134" s="898"/>
      <c r="T134" s="881"/>
      <c r="U134" s="881"/>
      <c r="V134" s="881"/>
      <c r="W134" s="881"/>
      <c r="X134" s="881"/>
      <c r="Y134" s="881"/>
      <c r="Z134" s="881"/>
      <c r="AA134" s="881"/>
      <c r="AB134" s="881"/>
      <c r="AC134" s="881"/>
      <c r="AD134" s="881"/>
      <c r="AE134" s="881"/>
      <c r="AF134" s="881"/>
      <c r="AG134" s="881"/>
      <c r="AH134" s="881"/>
      <c r="AI134" s="881"/>
      <c r="AJ134" s="881"/>
      <c r="AK134" s="881"/>
      <c r="AL134" s="881"/>
      <c r="AM134" s="881"/>
      <c r="AN134" s="881"/>
      <c r="AO134" s="881"/>
      <c r="AP134" s="881"/>
      <c r="AQ134" s="881"/>
      <c r="AR134" s="881"/>
      <c r="AS134" s="881"/>
      <c r="AT134" s="881"/>
      <c r="AU134" s="881"/>
      <c r="AV134" s="881"/>
      <c r="AW134" s="881"/>
      <c r="AX134" s="881"/>
      <c r="AY134" s="881"/>
      <c r="AZ134" s="881"/>
      <c r="BA134" s="881"/>
      <c r="BB134" s="881"/>
      <c r="BC134" s="881"/>
      <c r="BD134" s="881"/>
      <c r="BE134" s="881"/>
      <c r="BF134" s="881"/>
      <c r="BG134" s="881"/>
      <c r="BH134" s="881"/>
      <c r="BI134" s="881"/>
      <c r="BJ134" s="881"/>
      <c r="BK134" s="881"/>
      <c r="BL134" s="881"/>
      <c r="BM134" s="881"/>
      <c r="BN134" s="881"/>
      <c r="BO134" s="881"/>
      <c r="BP134" s="881"/>
      <c r="BQ134" s="881"/>
      <c r="BR134" s="881"/>
      <c r="BS134" s="881"/>
      <c r="BT134" s="881"/>
      <c r="BU134" s="881"/>
    </row>
    <row r="135" spans="1:73" x14ac:dyDescent="0.25">
      <c r="A135" s="881"/>
      <c r="B135" s="881"/>
      <c r="C135" s="905">
        <v>5</v>
      </c>
      <c r="D135" s="885" t="str">
        <f t="shared" ref="D135:G135" ca="1" si="64">OFFSET(D$76,MATCH($C135,$N$101:$N$107,0)*3-2,0)</f>
        <v>After-tax Real IRR = 8%</v>
      </c>
      <c r="E135" s="898">
        <f t="shared" ca="1" si="64"/>
        <v>1.9290766913385511</v>
      </c>
      <c r="F135" s="898">
        <f t="shared" ca="1" si="64"/>
        <v>0</v>
      </c>
      <c r="G135" s="898">
        <f t="shared" ca="1" si="64"/>
        <v>2.1692177733791062E-3</v>
      </c>
      <c r="H135" s="898"/>
      <c r="I135" s="898"/>
      <c r="J135" s="898"/>
      <c r="K135" s="898"/>
      <c r="L135" s="898"/>
      <c r="M135" s="898"/>
      <c r="N135" s="898"/>
      <c r="O135" s="898"/>
      <c r="P135" s="898"/>
      <c r="Q135" s="898"/>
      <c r="R135" s="898"/>
      <c r="S135" s="898"/>
      <c r="T135" s="881"/>
      <c r="U135" s="881"/>
      <c r="V135" s="881"/>
      <c r="W135" s="881"/>
      <c r="X135" s="881"/>
      <c r="Y135" s="881"/>
      <c r="Z135" s="881"/>
      <c r="AA135" s="881"/>
      <c r="AB135" s="881"/>
      <c r="AC135" s="881"/>
      <c r="AD135" s="881"/>
      <c r="AE135" s="881"/>
      <c r="AF135" s="881"/>
      <c r="AG135" s="881"/>
      <c r="AH135" s="881"/>
      <c r="AI135" s="881"/>
      <c r="AJ135" s="881"/>
      <c r="AK135" s="881"/>
      <c r="AL135" s="881"/>
      <c r="AM135" s="881"/>
      <c r="AN135" s="881"/>
      <c r="AO135" s="881"/>
      <c r="AP135" s="881"/>
      <c r="AQ135" s="881"/>
      <c r="AR135" s="881"/>
      <c r="AS135" s="881"/>
      <c r="AT135" s="881"/>
      <c r="AU135" s="881"/>
      <c r="AV135" s="881"/>
      <c r="AW135" s="881"/>
      <c r="AX135" s="881"/>
      <c r="AY135" s="881"/>
      <c r="AZ135" s="881"/>
      <c r="BA135" s="881"/>
      <c r="BB135" s="881"/>
      <c r="BC135" s="881"/>
      <c r="BD135" s="881"/>
      <c r="BE135" s="881"/>
      <c r="BF135" s="881"/>
      <c r="BG135" s="881"/>
      <c r="BH135" s="881"/>
      <c r="BI135" s="881"/>
      <c r="BJ135" s="881"/>
      <c r="BK135" s="881"/>
      <c r="BL135" s="881"/>
      <c r="BM135" s="881"/>
      <c r="BN135" s="881"/>
      <c r="BO135" s="881"/>
      <c r="BP135" s="881"/>
      <c r="BQ135" s="881"/>
      <c r="BR135" s="881"/>
      <c r="BS135" s="881"/>
      <c r="BT135" s="881"/>
      <c r="BU135" s="881"/>
    </row>
    <row r="136" spans="1:73" x14ac:dyDescent="0.25">
      <c r="A136" s="881"/>
      <c r="B136" s="881"/>
      <c r="C136" s="905"/>
      <c r="D136" s="885"/>
      <c r="E136" s="898"/>
      <c r="F136" s="898"/>
      <c r="G136" s="898"/>
      <c r="H136" s="898">
        <f t="shared" ref="H136:S136" ca="1" si="65">OFFSET(H$76,MATCH($C135,$N$101:$N$107,0)*3-2,0)</f>
        <v>0.18701581734574246</v>
      </c>
      <c r="I136" s="898">
        <f t="shared" ca="1" si="65"/>
        <v>2.5148873085919052E-2</v>
      </c>
      <c r="J136" s="898">
        <f t="shared" ca="1" si="65"/>
        <v>2.0399899029474824E-2</v>
      </c>
      <c r="K136" s="898">
        <f t="shared" ca="1" si="65"/>
        <v>2.8076425908643496E-3</v>
      </c>
      <c r="L136" s="898">
        <f t="shared" ca="1" si="65"/>
        <v>2.1562690657196139E-3</v>
      </c>
      <c r="M136" s="898">
        <f t="shared" ca="1" si="65"/>
        <v>0.20583602739814094</v>
      </c>
      <c r="N136" s="898">
        <f t="shared" ca="1" si="65"/>
        <v>1.0630137048215176</v>
      </c>
      <c r="O136" s="898">
        <f t="shared" ca="1" si="65"/>
        <v>3.7320310600916888E-2</v>
      </c>
      <c r="P136" s="898">
        <f t="shared" ca="1" si="65"/>
        <v>0.24780594636845757</v>
      </c>
      <c r="Q136" s="898">
        <f t="shared" ca="1" si="65"/>
        <v>0.1157486873077383</v>
      </c>
      <c r="R136" s="898">
        <f t="shared" ca="1" si="65"/>
        <v>1.8124077914454931E-2</v>
      </c>
      <c r="S136" s="898">
        <f t="shared" ca="1" si="65"/>
        <v>5.8686535829823088E-3</v>
      </c>
      <c r="T136" s="881"/>
      <c r="U136" s="881"/>
      <c r="V136" s="881"/>
      <c r="W136" s="881"/>
      <c r="X136" s="881"/>
      <c r="Y136" s="881"/>
      <c r="Z136" s="881"/>
      <c r="AA136" s="881"/>
      <c r="AB136" s="881"/>
      <c r="AC136" s="881"/>
      <c r="AD136" s="881"/>
      <c r="AE136" s="881"/>
      <c r="AF136" s="881"/>
      <c r="AG136" s="881"/>
      <c r="AH136" s="881"/>
      <c r="AI136" s="881"/>
      <c r="AJ136" s="881"/>
      <c r="AK136" s="881"/>
      <c r="AL136" s="881"/>
      <c r="AM136" s="881"/>
      <c r="AN136" s="881"/>
      <c r="AO136" s="881"/>
      <c r="AP136" s="881"/>
      <c r="AQ136" s="881"/>
      <c r="AR136" s="881"/>
      <c r="AS136" s="881"/>
      <c r="AT136" s="881"/>
      <c r="AU136" s="881"/>
      <c r="AV136" s="881"/>
      <c r="AW136" s="881"/>
      <c r="AX136" s="881"/>
      <c r="AY136" s="881"/>
      <c r="AZ136" s="881"/>
      <c r="BA136" s="881"/>
      <c r="BB136" s="881"/>
      <c r="BC136" s="881"/>
      <c r="BD136" s="881"/>
      <c r="BE136" s="881"/>
      <c r="BF136" s="881"/>
      <c r="BG136" s="881"/>
      <c r="BH136" s="881"/>
      <c r="BI136" s="881"/>
      <c r="BJ136" s="881"/>
      <c r="BK136" s="881"/>
      <c r="BL136" s="881"/>
      <c r="BM136" s="881"/>
      <c r="BN136" s="881"/>
      <c r="BO136" s="881"/>
      <c r="BP136" s="881"/>
      <c r="BQ136" s="881"/>
      <c r="BR136" s="881"/>
      <c r="BS136" s="881"/>
      <c r="BT136" s="881"/>
      <c r="BU136" s="881"/>
    </row>
    <row r="137" spans="1:73" x14ac:dyDescent="0.25">
      <c r="A137" s="881"/>
      <c r="B137" s="881"/>
      <c r="C137" s="905">
        <v>5</v>
      </c>
      <c r="D137" s="885" t="str">
        <f t="shared" ref="D137:G137" ca="1" si="66">OFFSET(D$76,MATCH($C137,$N$101:$N$107,0)*3,0)</f>
        <v>After-tax Real IRR = 8%</v>
      </c>
      <c r="E137" s="898">
        <f t="shared" ca="1" si="66"/>
        <v>1.9493013647008546</v>
      </c>
      <c r="F137" s="898">
        <f t="shared" ca="1" si="66"/>
        <v>0</v>
      </c>
      <c r="G137" s="898">
        <f t="shared" ca="1" si="66"/>
        <v>1.7573221180087559E-3</v>
      </c>
      <c r="H137" s="898"/>
      <c r="I137" s="898"/>
      <c r="J137" s="898"/>
      <c r="K137" s="898"/>
      <c r="L137" s="898"/>
      <c r="M137" s="898"/>
      <c r="N137" s="898"/>
      <c r="O137" s="898"/>
      <c r="P137" s="898"/>
      <c r="Q137" s="898"/>
      <c r="R137" s="898"/>
      <c r="S137" s="898"/>
      <c r="T137" s="881"/>
      <c r="U137" s="881"/>
      <c r="V137" s="881"/>
      <c r="W137" s="881"/>
      <c r="X137" s="881"/>
      <c r="Y137" s="881"/>
      <c r="Z137" s="881"/>
      <c r="AA137" s="881"/>
      <c r="AB137" s="881"/>
      <c r="AC137" s="881"/>
      <c r="AD137" s="881"/>
      <c r="AE137" s="881"/>
      <c r="AF137" s="881"/>
      <c r="AG137" s="881"/>
      <c r="AH137" s="881"/>
      <c r="AI137" s="881"/>
      <c r="AJ137" s="881"/>
      <c r="AK137" s="881"/>
      <c r="AL137" s="881"/>
      <c r="AM137" s="881"/>
      <c r="AN137" s="881"/>
      <c r="AO137" s="881"/>
      <c r="AP137" s="881"/>
      <c r="AQ137" s="881"/>
      <c r="AR137" s="881"/>
      <c r="AS137" s="881"/>
      <c r="AT137" s="881"/>
      <c r="AU137" s="881"/>
      <c r="AV137" s="881"/>
      <c r="AW137" s="881"/>
      <c r="AX137" s="881"/>
      <c r="AY137" s="881"/>
      <c r="AZ137" s="881"/>
      <c r="BA137" s="881"/>
      <c r="BB137" s="881"/>
      <c r="BC137" s="881"/>
      <c r="BD137" s="881"/>
      <c r="BE137" s="881"/>
      <c r="BF137" s="881"/>
      <c r="BG137" s="881"/>
      <c r="BH137" s="881"/>
      <c r="BI137" s="881"/>
      <c r="BJ137" s="881"/>
      <c r="BK137" s="881"/>
      <c r="BL137" s="881"/>
      <c r="BM137" s="881"/>
      <c r="BN137" s="881"/>
      <c r="BO137" s="881"/>
      <c r="BP137" s="881"/>
      <c r="BQ137" s="881"/>
      <c r="BR137" s="881"/>
      <c r="BS137" s="881"/>
      <c r="BT137" s="881"/>
      <c r="BU137" s="881"/>
    </row>
    <row r="138" spans="1:73" x14ac:dyDescent="0.25">
      <c r="A138" s="881"/>
      <c r="B138" s="881"/>
      <c r="C138" s="905"/>
      <c r="D138" s="885"/>
      <c r="E138" s="898"/>
      <c r="F138" s="898"/>
      <c r="G138" s="898"/>
      <c r="H138" s="898">
        <f t="shared" ref="H138:S138" ca="1" si="67">OFFSET(H$76,MATCH($C137,$N$101:$N$107,0)*3,0)</f>
        <v>0.20679546825086914</v>
      </c>
      <c r="I138" s="898">
        <f t="shared" ca="1" si="67"/>
        <v>2.5148873085919104E-2</v>
      </c>
      <c r="J138" s="898">
        <f t="shared" ca="1" si="67"/>
        <v>2.1851611722266268E-2</v>
      </c>
      <c r="K138" s="898">
        <f t="shared" ca="1" si="67"/>
        <v>3.1045917532498734E-3</v>
      </c>
      <c r="L138" s="898">
        <f t="shared" ca="1" si="67"/>
        <v>1.7468321383262604E-3</v>
      </c>
      <c r="M138" s="898">
        <f t="shared" ca="1" si="67"/>
        <v>0.20583602739814127</v>
      </c>
      <c r="N138" s="898">
        <f t="shared" ca="1" si="67"/>
        <v>1.0538282952211235</v>
      </c>
      <c r="O138" s="898">
        <f t="shared" ca="1" si="67"/>
        <v>3.7320310600916957E-2</v>
      </c>
      <c r="P138" s="898">
        <f t="shared" ca="1" si="67"/>
        <v>0.24780594636845807</v>
      </c>
      <c r="Q138" s="898">
        <f t="shared" ca="1" si="67"/>
        <v>0.11952372141745268</v>
      </c>
      <c r="R138" s="898">
        <f t="shared" ca="1" si="67"/>
        <v>2.3342707624673029E-2</v>
      </c>
      <c r="S138" s="898">
        <f t="shared" ca="1" si="67"/>
        <v>4.754301237464442E-3</v>
      </c>
      <c r="T138" s="881"/>
      <c r="U138" s="881"/>
      <c r="V138" s="881"/>
      <c r="W138" s="881"/>
      <c r="X138" s="881"/>
      <c r="Y138" s="881"/>
      <c r="Z138" s="881"/>
      <c r="AA138" s="881"/>
      <c r="AB138" s="881"/>
      <c r="AC138" s="881"/>
      <c r="AD138" s="881"/>
      <c r="AE138" s="881"/>
      <c r="AF138" s="881"/>
      <c r="AG138" s="881"/>
      <c r="AH138" s="881"/>
      <c r="AI138" s="881"/>
      <c r="AJ138" s="881"/>
      <c r="AK138" s="881"/>
      <c r="AL138" s="881"/>
      <c r="AM138" s="881"/>
      <c r="AN138" s="881"/>
      <c r="AO138" s="881"/>
      <c r="AP138" s="881"/>
      <c r="AQ138" s="881"/>
      <c r="AR138" s="881"/>
      <c r="AS138" s="881"/>
      <c r="AT138" s="881"/>
      <c r="AU138" s="881"/>
      <c r="AV138" s="881"/>
      <c r="AW138" s="881"/>
      <c r="AX138" s="881"/>
      <c r="AY138" s="881"/>
      <c r="AZ138" s="881"/>
      <c r="BA138" s="881"/>
      <c r="BB138" s="881"/>
      <c r="BC138" s="881"/>
      <c r="BD138" s="881"/>
      <c r="BE138" s="881"/>
      <c r="BF138" s="881"/>
      <c r="BG138" s="881"/>
      <c r="BH138" s="881"/>
      <c r="BI138" s="881"/>
      <c r="BJ138" s="881"/>
      <c r="BK138" s="881"/>
      <c r="BL138" s="881"/>
      <c r="BM138" s="881"/>
      <c r="BN138" s="881"/>
      <c r="BO138" s="881"/>
      <c r="BP138" s="881"/>
      <c r="BQ138" s="881"/>
      <c r="BR138" s="881"/>
      <c r="BS138" s="881"/>
      <c r="BT138" s="881"/>
      <c r="BU138" s="881"/>
    </row>
    <row r="139" spans="1:73" x14ac:dyDescent="0.25">
      <c r="A139" s="881"/>
      <c r="B139" s="881"/>
      <c r="C139" s="905"/>
      <c r="D139" s="885"/>
      <c r="E139" s="898"/>
      <c r="F139" s="898"/>
      <c r="G139" s="898"/>
      <c r="H139" s="898"/>
      <c r="I139" s="898"/>
      <c r="J139" s="898"/>
      <c r="K139" s="898"/>
      <c r="L139" s="898"/>
      <c r="M139" s="898"/>
      <c r="N139" s="898"/>
      <c r="O139" s="898"/>
      <c r="P139" s="898"/>
      <c r="Q139" s="898"/>
      <c r="R139" s="898"/>
      <c r="S139" s="898"/>
      <c r="T139" s="881"/>
      <c r="U139" s="881"/>
      <c r="V139" s="881"/>
      <c r="W139" s="881"/>
      <c r="X139" s="881"/>
      <c r="Y139" s="881"/>
      <c r="Z139" s="881"/>
      <c r="AA139" s="881"/>
      <c r="AB139" s="881"/>
      <c r="AC139" s="881"/>
      <c r="AD139" s="881"/>
      <c r="AE139" s="881"/>
      <c r="AF139" s="881"/>
      <c r="AG139" s="881"/>
      <c r="AH139" s="881"/>
      <c r="AI139" s="881"/>
      <c r="AJ139" s="881"/>
      <c r="AK139" s="881"/>
      <c r="AL139" s="881"/>
      <c r="AM139" s="881"/>
      <c r="AN139" s="881"/>
      <c r="AO139" s="881"/>
      <c r="AP139" s="881"/>
      <c r="AQ139" s="881"/>
      <c r="AR139" s="881"/>
      <c r="AS139" s="881"/>
      <c r="AT139" s="881"/>
      <c r="AU139" s="881"/>
      <c r="AV139" s="881"/>
      <c r="AW139" s="881"/>
      <c r="AX139" s="881"/>
      <c r="AY139" s="881"/>
      <c r="AZ139" s="881"/>
      <c r="BA139" s="881"/>
      <c r="BB139" s="881"/>
      <c r="BC139" s="881"/>
      <c r="BD139" s="881"/>
      <c r="BE139" s="881"/>
      <c r="BF139" s="881"/>
      <c r="BG139" s="881"/>
      <c r="BH139" s="881"/>
      <c r="BI139" s="881"/>
      <c r="BJ139" s="881"/>
      <c r="BK139" s="881"/>
      <c r="BL139" s="881"/>
      <c r="BM139" s="881"/>
      <c r="BN139" s="881"/>
      <c r="BO139" s="881"/>
      <c r="BP139" s="881"/>
      <c r="BQ139" s="881"/>
      <c r="BR139" s="881"/>
      <c r="BS139" s="881"/>
      <c r="BT139" s="881"/>
      <c r="BU139" s="881"/>
    </row>
    <row r="140" spans="1:73" x14ac:dyDescent="0.25">
      <c r="A140" s="881"/>
      <c r="B140" s="881"/>
      <c r="C140" s="905">
        <v>6</v>
      </c>
      <c r="D140" s="885" t="str">
        <f t="shared" ref="D140:G140" ca="1" si="68">OFFSET(D$76,MATCH($C140,$N$101:$N$107,0)*3-2,0)</f>
        <v>Feedstock Consumption (% of baseline) = 95%</v>
      </c>
      <c r="E140" s="898">
        <f t="shared" ca="1" si="68"/>
        <v>1.9389370275971565</v>
      </c>
      <c r="F140" s="898">
        <f t="shared" ca="1" si="68"/>
        <v>0</v>
      </c>
      <c r="G140" s="898">
        <f t="shared" ca="1" si="68"/>
        <v>1.9532336675216178E-3</v>
      </c>
      <c r="H140" s="898"/>
      <c r="I140" s="898"/>
      <c r="J140" s="898"/>
      <c r="K140" s="898"/>
      <c r="L140" s="898"/>
      <c r="M140" s="898"/>
      <c r="N140" s="898"/>
      <c r="O140" s="898"/>
      <c r="P140" s="898"/>
      <c r="Q140" s="898"/>
      <c r="R140" s="898"/>
      <c r="S140" s="898"/>
      <c r="T140" s="881"/>
      <c r="U140" s="881"/>
      <c r="V140" s="881"/>
      <c r="W140" s="881"/>
      <c r="X140" s="881"/>
      <c r="Y140" s="881"/>
      <c r="Z140" s="881"/>
      <c r="AA140" s="881"/>
      <c r="AB140" s="881"/>
      <c r="AC140" s="881"/>
      <c r="AD140" s="881"/>
      <c r="AE140" s="881"/>
      <c r="AF140" s="881"/>
      <c r="AG140" s="881"/>
      <c r="AH140" s="881"/>
      <c r="AI140" s="881"/>
      <c r="AJ140" s="881"/>
      <c r="AK140" s="881"/>
      <c r="AL140" s="881"/>
      <c r="AM140" s="881"/>
      <c r="AN140" s="881"/>
      <c r="AO140" s="881"/>
      <c r="AP140" s="881"/>
      <c r="AQ140" s="881"/>
      <c r="AR140" s="881"/>
      <c r="AS140" s="881"/>
      <c r="AT140" s="881"/>
      <c r="AU140" s="881"/>
      <c r="AV140" s="881"/>
      <c r="AW140" s="881"/>
      <c r="AX140" s="881"/>
      <c r="AY140" s="881"/>
      <c r="AZ140" s="881"/>
      <c r="BA140" s="881"/>
      <c r="BB140" s="881"/>
      <c r="BC140" s="881"/>
      <c r="BD140" s="881"/>
      <c r="BE140" s="881"/>
      <c r="BF140" s="881"/>
      <c r="BG140" s="881"/>
      <c r="BH140" s="881"/>
      <c r="BI140" s="881"/>
      <c r="BJ140" s="881"/>
      <c r="BK140" s="881"/>
      <c r="BL140" s="881"/>
      <c r="BM140" s="881"/>
      <c r="BN140" s="881"/>
      <c r="BO140" s="881"/>
      <c r="BP140" s="881"/>
      <c r="BQ140" s="881"/>
      <c r="BR140" s="881"/>
      <c r="BS140" s="881"/>
      <c r="BT140" s="881"/>
      <c r="BU140" s="881"/>
    </row>
    <row r="141" spans="1:73" x14ac:dyDescent="0.25">
      <c r="A141" s="881"/>
      <c r="B141" s="881"/>
      <c r="C141" s="905"/>
      <c r="D141" s="885"/>
      <c r="E141" s="898"/>
      <c r="F141" s="898"/>
      <c r="G141" s="898"/>
      <c r="H141" s="898">
        <f t="shared" ref="H141:S141" ca="1" si="69">OFFSET(H$76,MATCH($C140,$N$101:$N$107,0)*3-2,0)</f>
        <v>0.19679394037475487</v>
      </c>
      <c r="I141" s="898">
        <f t="shared" ca="1" si="69"/>
        <v>2.5148873085919069E-2</v>
      </c>
      <c r="J141" s="898">
        <f t="shared" ca="1" si="69"/>
        <v>2.113041182383766E-2</v>
      </c>
      <c r="K141" s="898">
        <f t="shared" ca="1" si="69"/>
        <v>2.9544401990271528E-3</v>
      </c>
      <c r="L141" s="898">
        <f t="shared" ca="1" si="69"/>
        <v>1.9415742333874339E-3</v>
      </c>
      <c r="M141" s="898">
        <f t="shared" ca="1" si="69"/>
        <v>0.20583602739814111</v>
      </c>
      <c r="N141" s="898">
        <f t="shared" ca="1" si="69"/>
        <v>1.058372327657447</v>
      </c>
      <c r="O141" s="898">
        <f t="shared" ca="1" si="69"/>
        <v>3.7320310600916916E-2</v>
      </c>
      <c r="P141" s="898">
        <f t="shared" ca="1" si="69"/>
        <v>0.24780594636845787</v>
      </c>
      <c r="Q141" s="898">
        <f t="shared" ca="1" si="69"/>
        <v>0.11763260552256523</v>
      </c>
      <c r="R141" s="898">
        <f t="shared" ca="1" si="69"/>
        <v>2.0669478976714461E-2</v>
      </c>
      <c r="S141" s="898">
        <f t="shared" ca="1" si="69"/>
        <v>5.2843250235065703E-3</v>
      </c>
      <c r="T141" s="881"/>
      <c r="U141" s="881"/>
      <c r="V141" s="881"/>
      <c r="W141" s="881"/>
      <c r="X141" s="881"/>
      <c r="Y141" s="881"/>
      <c r="Z141" s="881"/>
      <c r="AA141" s="881"/>
      <c r="AB141" s="881"/>
      <c r="AC141" s="881"/>
      <c r="AD141" s="881"/>
      <c r="AE141" s="881"/>
      <c r="AF141" s="881"/>
      <c r="AG141" s="881"/>
      <c r="AH141" s="881"/>
      <c r="AI141" s="881"/>
      <c r="AJ141" s="881"/>
      <c r="AK141" s="881"/>
      <c r="AL141" s="881"/>
      <c r="AM141" s="881"/>
      <c r="AN141" s="881"/>
      <c r="AO141" s="881"/>
      <c r="AP141" s="881"/>
      <c r="AQ141" s="881"/>
      <c r="AR141" s="881"/>
      <c r="AS141" s="881"/>
      <c r="AT141" s="881"/>
      <c r="AU141" s="881"/>
      <c r="AV141" s="881"/>
      <c r="AW141" s="881"/>
      <c r="AX141" s="881"/>
      <c r="AY141" s="881"/>
      <c r="AZ141" s="881"/>
      <c r="BA141" s="881"/>
      <c r="BB141" s="881"/>
      <c r="BC141" s="881"/>
      <c r="BD141" s="881"/>
      <c r="BE141" s="881"/>
      <c r="BF141" s="881"/>
      <c r="BG141" s="881"/>
      <c r="BH141" s="881"/>
      <c r="BI141" s="881"/>
      <c r="BJ141" s="881"/>
      <c r="BK141" s="881"/>
      <c r="BL141" s="881"/>
      <c r="BM141" s="881"/>
      <c r="BN141" s="881"/>
      <c r="BO141" s="881"/>
      <c r="BP141" s="881"/>
      <c r="BQ141" s="881"/>
      <c r="BR141" s="881"/>
      <c r="BS141" s="881"/>
      <c r="BT141" s="881"/>
      <c r="BU141" s="881"/>
    </row>
    <row r="142" spans="1:73" x14ac:dyDescent="0.25">
      <c r="A142" s="881"/>
      <c r="B142" s="881"/>
      <c r="C142" s="905">
        <v>6</v>
      </c>
      <c r="D142" s="885" t="str">
        <f t="shared" ref="D142:G142" ca="1" si="70">OFFSET(D$76,MATCH($C142,$N$101:$N$107,0)*3,0)</f>
        <v>Feedstock Consumption (% of baseline) = 105%</v>
      </c>
      <c r="E142" s="898">
        <f t="shared" ca="1" si="70"/>
        <v>1.9389370275971565</v>
      </c>
      <c r="F142" s="898">
        <f t="shared" ca="1" si="70"/>
        <v>0</v>
      </c>
      <c r="G142" s="898">
        <f t="shared" ca="1" si="70"/>
        <v>1.9532336675216178E-3</v>
      </c>
      <c r="H142" s="898"/>
      <c r="I142" s="898"/>
      <c r="J142" s="898"/>
      <c r="K142" s="898"/>
      <c r="L142" s="898"/>
      <c r="M142" s="898"/>
      <c r="N142" s="898"/>
      <c r="O142" s="898"/>
      <c r="P142" s="898"/>
      <c r="Q142" s="898"/>
      <c r="R142" s="898"/>
      <c r="S142" s="898"/>
      <c r="T142" s="881"/>
      <c r="U142" s="881"/>
      <c r="V142" s="881"/>
      <c r="W142" s="881"/>
      <c r="X142" s="881"/>
      <c r="Y142" s="881"/>
      <c r="Z142" s="881"/>
      <c r="AA142" s="881"/>
      <c r="AB142" s="881"/>
      <c r="AC142" s="881"/>
      <c r="AD142" s="881"/>
      <c r="AE142" s="881"/>
      <c r="AF142" s="881"/>
      <c r="AG142" s="881"/>
      <c r="AH142" s="881"/>
      <c r="AI142" s="881"/>
      <c r="AJ142" s="881"/>
      <c r="AK142" s="881"/>
      <c r="AL142" s="881"/>
      <c r="AM142" s="881"/>
      <c r="AN142" s="881"/>
      <c r="AO142" s="881"/>
      <c r="AP142" s="881"/>
      <c r="AQ142" s="881"/>
      <c r="AR142" s="881"/>
      <c r="AS142" s="881"/>
      <c r="AT142" s="881"/>
      <c r="AU142" s="881"/>
      <c r="AV142" s="881"/>
      <c r="AW142" s="881"/>
      <c r="AX142" s="881"/>
      <c r="AY142" s="881"/>
      <c r="AZ142" s="881"/>
      <c r="BA142" s="881"/>
      <c r="BB142" s="881"/>
      <c r="BC142" s="881"/>
      <c r="BD142" s="881"/>
      <c r="BE142" s="881"/>
      <c r="BF142" s="881"/>
      <c r="BG142" s="881"/>
      <c r="BH142" s="881"/>
      <c r="BI142" s="881"/>
      <c r="BJ142" s="881"/>
      <c r="BK142" s="881"/>
      <c r="BL142" s="881"/>
      <c r="BM142" s="881"/>
      <c r="BN142" s="881"/>
      <c r="BO142" s="881"/>
      <c r="BP142" s="881"/>
      <c r="BQ142" s="881"/>
      <c r="BR142" s="881"/>
      <c r="BS142" s="881"/>
      <c r="BT142" s="881"/>
      <c r="BU142" s="881"/>
    </row>
    <row r="143" spans="1:73" x14ac:dyDescent="0.25">
      <c r="A143" s="881"/>
      <c r="B143" s="881"/>
      <c r="C143" s="905"/>
      <c r="D143" s="885"/>
      <c r="E143" s="898"/>
      <c r="F143" s="898"/>
      <c r="G143" s="898"/>
      <c r="H143" s="898">
        <f t="shared" ref="H143:S143" ca="1" si="71">OFFSET(H$76,MATCH($C142,$N$101:$N$107,0)*3,0)</f>
        <v>0.19679394037475487</v>
      </c>
      <c r="I143" s="898">
        <f t="shared" ca="1" si="71"/>
        <v>2.5148873085919069E-2</v>
      </c>
      <c r="J143" s="898">
        <f t="shared" ca="1" si="71"/>
        <v>2.113041182383766E-2</v>
      </c>
      <c r="K143" s="898">
        <f t="shared" ca="1" si="71"/>
        <v>2.9544401990271528E-3</v>
      </c>
      <c r="L143" s="898">
        <f t="shared" ca="1" si="71"/>
        <v>1.9415742333874339E-3</v>
      </c>
      <c r="M143" s="898">
        <f t="shared" ca="1" si="71"/>
        <v>0.20583602739814111</v>
      </c>
      <c r="N143" s="898">
        <f t="shared" ca="1" si="71"/>
        <v>1.058372327657447</v>
      </c>
      <c r="O143" s="898">
        <f t="shared" ca="1" si="71"/>
        <v>3.7320310600916916E-2</v>
      </c>
      <c r="P143" s="898">
        <f t="shared" ca="1" si="71"/>
        <v>0.24780594636845787</v>
      </c>
      <c r="Q143" s="898">
        <f t="shared" ca="1" si="71"/>
        <v>0.11763260552256523</v>
      </c>
      <c r="R143" s="898">
        <f t="shared" ca="1" si="71"/>
        <v>2.0669478976714461E-2</v>
      </c>
      <c r="S143" s="898">
        <f t="shared" ca="1" si="71"/>
        <v>5.2843250235065703E-3</v>
      </c>
      <c r="T143" s="881"/>
      <c r="U143" s="881"/>
      <c r="V143" s="881"/>
      <c r="W143" s="881"/>
      <c r="X143" s="881"/>
      <c r="Y143" s="881"/>
      <c r="Z143" s="881"/>
      <c r="AA143" s="881"/>
      <c r="AB143" s="881"/>
      <c r="AC143" s="881"/>
      <c r="AD143" s="881"/>
      <c r="AE143" s="881"/>
      <c r="AF143" s="881"/>
      <c r="AG143" s="881"/>
      <c r="AH143" s="881"/>
      <c r="AI143" s="881"/>
      <c r="AJ143" s="881"/>
      <c r="AK143" s="881"/>
      <c r="AL143" s="881"/>
      <c r="AM143" s="881"/>
      <c r="AN143" s="881"/>
      <c r="AO143" s="881"/>
      <c r="AP143" s="881"/>
      <c r="AQ143" s="881"/>
      <c r="AR143" s="881"/>
      <c r="AS143" s="881"/>
      <c r="AT143" s="881"/>
      <c r="AU143" s="881"/>
      <c r="AV143" s="881"/>
      <c r="AW143" s="881"/>
      <c r="AX143" s="881"/>
      <c r="AY143" s="881"/>
      <c r="AZ143" s="881"/>
      <c r="BA143" s="881"/>
      <c r="BB143" s="881"/>
      <c r="BC143" s="881"/>
      <c r="BD143" s="881"/>
      <c r="BE143" s="881"/>
      <c r="BF143" s="881"/>
      <c r="BG143" s="881"/>
      <c r="BH143" s="881"/>
      <c r="BI143" s="881"/>
      <c r="BJ143" s="881"/>
      <c r="BK143" s="881"/>
      <c r="BL143" s="881"/>
      <c r="BM143" s="881"/>
      <c r="BN143" s="881"/>
      <c r="BO143" s="881"/>
      <c r="BP143" s="881"/>
      <c r="BQ143" s="881"/>
      <c r="BR143" s="881"/>
      <c r="BS143" s="881"/>
      <c r="BT143" s="881"/>
      <c r="BU143" s="881"/>
    </row>
    <row r="144" spans="1:73" x14ac:dyDescent="0.25">
      <c r="A144" s="881"/>
      <c r="B144" s="881"/>
      <c r="C144" s="905"/>
      <c r="D144" s="885"/>
      <c r="E144" s="898"/>
      <c r="F144" s="898"/>
      <c r="G144" s="898"/>
      <c r="H144" s="898"/>
      <c r="I144" s="898"/>
      <c r="J144" s="898"/>
      <c r="K144" s="898"/>
      <c r="L144" s="898"/>
      <c r="M144" s="898"/>
      <c r="N144" s="898"/>
      <c r="O144" s="898"/>
      <c r="P144" s="898"/>
      <c r="Q144" s="898"/>
      <c r="R144" s="898"/>
      <c r="S144" s="898"/>
      <c r="T144" s="881"/>
      <c r="U144" s="881"/>
      <c r="V144" s="881"/>
      <c r="W144" s="881"/>
      <c r="X144" s="881"/>
      <c r="Y144" s="881"/>
      <c r="Z144" s="881"/>
      <c r="AA144" s="881"/>
      <c r="AB144" s="881"/>
      <c r="AC144" s="881"/>
      <c r="AD144" s="881"/>
      <c r="AE144" s="881"/>
      <c r="AF144" s="881"/>
      <c r="AG144" s="881"/>
      <c r="AH144" s="881"/>
      <c r="AI144" s="881"/>
      <c r="AJ144" s="881"/>
      <c r="AK144" s="881"/>
      <c r="AL144" s="881"/>
      <c r="AM144" s="881"/>
      <c r="AN144" s="881"/>
      <c r="AO144" s="881"/>
      <c r="AP144" s="881"/>
      <c r="AQ144" s="881"/>
      <c r="AR144" s="881"/>
      <c r="AS144" s="881"/>
      <c r="AT144" s="881"/>
      <c r="AU144" s="881"/>
      <c r="AV144" s="881"/>
      <c r="AW144" s="881"/>
      <c r="AX144" s="881"/>
      <c r="AY144" s="881"/>
      <c r="AZ144" s="881"/>
      <c r="BA144" s="881"/>
      <c r="BB144" s="881"/>
      <c r="BC144" s="881"/>
      <c r="BD144" s="881"/>
      <c r="BE144" s="881"/>
      <c r="BF144" s="881"/>
      <c r="BG144" s="881"/>
      <c r="BH144" s="881"/>
      <c r="BI144" s="881"/>
      <c r="BJ144" s="881"/>
      <c r="BK144" s="881"/>
      <c r="BL144" s="881"/>
      <c r="BM144" s="881"/>
      <c r="BN144" s="881"/>
      <c r="BO144" s="881"/>
      <c r="BP144" s="881"/>
      <c r="BQ144" s="881"/>
      <c r="BR144" s="881"/>
      <c r="BS144" s="881"/>
      <c r="BT144" s="881"/>
      <c r="BU144" s="881"/>
    </row>
    <row r="145" spans="1:73" x14ac:dyDescent="0.25">
      <c r="A145" s="881"/>
      <c r="B145" s="881"/>
      <c r="C145" s="905">
        <v>7</v>
      </c>
      <c r="D145" s="885" t="e">
        <f t="shared" ref="D145:G145" ca="1" si="72">OFFSET(D$76,MATCH($C145,$N$101:$N$107,0)*3-2,0)</f>
        <v>#N/A</v>
      </c>
      <c r="E145" s="898" t="e">
        <f t="shared" ca="1" si="72"/>
        <v>#N/A</v>
      </c>
      <c r="F145" s="898" t="e">
        <f t="shared" ca="1" si="72"/>
        <v>#N/A</v>
      </c>
      <c r="G145" s="898" t="e">
        <f t="shared" ca="1" si="72"/>
        <v>#N/A</v>
      </c>
      <c r="H145" s="898"/>
      <c r="I145" s="898"/>
      <c r="J145" s="898"/>
      <c r="K145" s="898"/>
      <c r="L145" s="898"/>
      <c r="M145" s="898"/>
      <c r="N145" s="898"/>
      <c r="O145" s="898"/>
      <c r="P145" s="898"/>
      <c r="Q145" s="898"/>
      <c r="R145" s="898"/>
      <c r="S145" s="898"/>
      <c r="T145" s="881"/>
      <c r="U145" s="881"/>
      <c r="V145" s="881"/>
      <c r="W145" s="881"/>
      <c r="X145" s="881"/>
      <c r="Y145" s="881"/>
      <c r="Z145" s="881"/>
      <c r="AA145" s="881"/>
      <c r="AB145" s="881"/>
      <c r="AC145" s="881"/>
      <c r="AD145" s="881"/>
      <c r="AE145" s="881"/>
      <c r="AF145" s="881"/>
      <c r="AG145" s="881"/>
      <c r="AH145" s="881"/>
      <c r="AI145" s="881"/>
      <c r="AJ145" s="881"/>
      <c r="AK145" s="881"/>
      <c r="AL145" s="881"/>
      <c r="AM145" s="881"/>
      <c r="AN145" s="881"/>
      <c r="AO145" s="881"/>
      <c r="AP145" s="881"/>
      <c r="AQ145" s="881"/>
      <c r="AR145" s="881"/>
      <c r="AS145" s="881"/>
      <c r="AT145" s="881"/>
      <c r="AU145" s="881"/>
      <c r="AV145" s="881"/>
      <c r="AW145" s="881"/>
      <c r="AX145" s="881"/>
      <c r="AY145" s="881"/>
      <c r="AZ145" s="881"/>
      <c r="BA145" s="881"/>
      <c r="BB145" s="881"/>
      <c r="BC145" s="881"/>
      <c r="BD145" s="881"/>
      <c r="BE145" s="881"/>
      <c r="BF145" s="881"/>
      <c r="BG145" s="881"/>
      <c r="BH145" s="881"/>
      <c r="BI145" s="881"/>
      <c r="BJ145" s="881"/>
      <c r="BK145" s="881"/>
      <c r="BL145" s="881"/>
      <c r="BM145" s="881"/>
      <c r="BN145" s="881"/>
      <c r="BO145" s="881"/>
      <c r="BP145" s="881"/>
      <c r="BQ145" s="881"/>
      <c r="BR145" s="881"/>
      <c r="BS145" s="881"/>
      <c r="BT145" s="881"/>
      <c r="BU145" s="881"/>
    </row>
    <row r="146" spans="1:73" x14ac:dyDescent="0.25">
      <c r="A146" s="881"/>
      <c r="B146" s="881"/>
      <c r="C146" s="905"/>
      <c r="D146" s="885"/>
      <c r="E146" s="898"/>
      <c r="F146" s="898"/>
      <c r="G146" s="898"/>
      <c r="H146" s="898" t="e">
        <f t="shared" ref="H146:S146" ca="1" si="73">OFFSET(H$76,MATCH($C145,$N$101:$N$107,0)*3-2,0)</f>
        <v>#N/A</v>
      </c>
      <c r="I146" s="898" t="e">
        <f t="shared" ca="1" si="73"/>
        <v>#N/A</v>
      </c>
      <c r="J146" s="898" t="e">
        <f t="shared" ca="1" si="73"/>
        <v>#N/A</v>
      </c>
      <c r="K146" s="898" t="e">
        <f t="shared" ca="1" si="73"/>
        <v>#N/A</v>
      </c>
      <c r="L146" s="898" t="e">
        <f t="shared" ca="1" si="73"/>
        <v>#N/A</v>
      </c>
      <c r="M146" s="898" t="e">
        <f t="shared" ca="1" si="73"/>
        <v>#N/A</v>
      </c>
      <c r="N146" s="898" t="e">
        <f t="shared" ca="1" si="73"/>
        <v>#N/A</v>
      </c>
      <c r="O146" s="898" t="e">
        <f t="shared" ca="1" si="73"/>
        <v>#N/A</v>
      </c>
      <c r="P146" s="898" t="e">
        <f t="shared" ca="1" si="73"/>
        <v>#N/A</v>
      </c>
      <c r="Q146" s="898" t="e">
        <f t="shared" ca="1" si="73"/>
        <v>#N/A</v>
      </c>
      <c r="R146" s="898" t="e">
        <f t="shared" ca="1" si="73"/>
        <v>#N/A</v>
      </c>
      <c r="S146" s="898" t="e">
        <f t="shared" ca="1" si="73"/>
        <v>#N/A</v>
      </c>
      <c r="T146" s="881"/>
      <c r="U146" s="881"/>
      <c r="V146" s="881"/>
      <c r="W146" s="881"/>
      <c r="X146" s="881"/>
      <c r="Y146" s="881"/>
      <c r="Z146" s="881"/>
      <c r="AA146" s="881"/>
      <c r="AB146" s="881"/>
      <c r="AC146" s="881"/>
      <c r="AD146" s="881"/>
      <c r="AE146" s="881"/>
      <c r="AF146" s="881"/>
      <c r="AG146" s="881"/>
      <c r="AH146" s="881"/>
      <c r="AI146" s="881"/>
      <c r="AJ146" s="881"/>
      <c r="AK146" s="881"/>
      <c r="AL146" s="881"/>
      <c r="AM146" s="881"/>
      <c r="AN146" s="881"/>
      <c r="AO146" s="881"/>
      <c r="AP146" s="881"/>
      <c r="AQ146" s="881"/>
      <c r="AR146" s="881"/>
      <c r="AS146" s="881"/>
      <c r="AT146" s="881"/>
      <c r="AU146" s="881"/>
      <c r="AV146" s="881"/>
      <c r="AW146" s="881"/>
      <c r="AX146" s="881"/>
      <c r="AY146" s="881"/>
      <c r="AZ146" s="881"/>
      <c r="BA146" s="881"/>
      <c r="BB146" s="881"/>
      <c r="BC146" s="881"/>
      <c r="BD146" s="881"/>
      <c r="BE146" s="881"/>
      <c r="BF146" s="881"/>
      <c r="BG146" s="881"/>
      <c r="BH146" s="881"/>
      <c r="BI146" s="881"/>
      <c r="BJ146" s="881"/>
      <c r="BK146" s="881"/>
      <c r="BL146" s="881"/>
      <c r="BM146" s="881"/>
      <c r="BN146" s="881"/>
      <c r="BO146" s="881"/>
      <c r="BP146" s="881"/>
      <c r="BQ146" s="881"/>
      <c r="BR146" s="881"/>
      <c r="BS146" s="881"/>
      <c r="BT146" s="881"/>
      <c r="BU146" s="881"/>
    </row>
    <row r="147" spans="1:73" x14ac:dyDescent="0.25">
      <c r="A147" s="881"/>
      <c r="B147" s="881"/>
      <c r="C147" s="905">
        <v>7</v>
      </c>
      <c r="D147" s="885" t="e">
        <f t="shared" ref="D147:G147" ca="1" si="74">OFFSET(D$76,MATCH($C147,$N$101:$N$107,0)*3,0)</f>
        <v>#N/A</v>
      </c>
      <c r="E147" s="898" t="e">
        <f t="shared" ca="1" si="74"/>
        <v>#N/A</v>
      </c>
      <c r="F147" s="898" t="e">
        <f t="shared" ca="1" si="74"/>
        <v>#N/A</v>
      </c>
      <c r="G147" s="898" t="e">
        <f t="shared" ca="1" si="74"/>
        <v>#N/A</v>
      </c>
      <c r="H147" s="898"/>
      <c r="I147" s="898"/>
      <c r="J147" s="898"/>
      <c r="K147" s="898"/>
      <c r="L147" s="898"/>
      <c r="M147" s="898"/>
      <c r="N147" s="898"/>
      <c r="O147" s="898"/>
      <c r="P147" s="898"/>
      <c r="Q147" s="898"/>
      <c r="R147" s="898"/>
      <c r="S147" s="898"/>
      <c r="T147" s="881"/>
      <c r="U147" s="881"/>
      <c r="V147" s="881"/>
      <c r="W147" s="881"/>
      <c r="X147" s="881"/>
      <c r="Y147" s="881"/>
      <c r="Z147" s="881"/>
      <c r="AA147" s="881"/>
      <c r="AB147" s="881"/>
      <c r="AC147" s="881"/>
      <c r="AD147" s="881"/>
      <c r="AE147" s="881"/>
      <c r="AF147" s="881"/>
      <c r="AG147" s="881"/>
      <c r="AH147" s="881"/>
      <c r="AI147" s="881"/>
      <c r="AJ147" s="881"/>
      <c r="AK147" s="881"/>
      <c r="AL147" s="881"/>
      <c r="AM147" s="881"/>
      <c r="AN147" s="881"/>
      <c r="AO147" s="881"/>
      <c r="AP147" s="881"/>
      <c r="AQ147" s="881"/>
      <c r="AR147" s="881"/>
      <c r="AS147" s="881"/>
      <c r="AT147" s="881"/>
      <c r="AU147" s="881"/>
      <c r="AV147" s="881"/>
      <c r="AW147" s="881"/>
      <c r="AX147" s="881"/>
      <c r="AY147" s="881"/>
      <c r="AZ147" s="881"/>
      <c r="BA147" s="881"/>
      <c r="BB147" s="881"/>
      <c r="BC147" s="881"/>
      <c r="BD147" s="881"/>
      <c r="BE147" s="881"/>
      <c r="BF147" s="881"/>
      <c r="BG147" s="881"/>
      <c r="BH147" s="881"/>
      <c r="BI147" s="881"/>
      <c r="BJ147" s="881"/>
      <c r="BK147" s="881"/>
      <c r="BL147" s="881"/>
      <c r="BM147" s="881"/>
      <c r="BN147" s="881"/>
      <c r="BO147" s="881"/>
      <c r="BP147" s="881"/>
      <c r="BQ147" s="881"/>
      <c r="BR147" s="881"/>
      <c r="BS147" s="881"/>
      <c r="BT147" s="881"/>
      <c r="BU147" s="881"/>
    </row>
    <row r="148" spans="1:73" x14ac:dyDescent="0.25">
      <c r="A148" s="881"/>
      <c r="B148" s="881"/>
      <c r="C148" s="885"/>
      <c r="D148" s="885"/>
      <c r="E148" s="885"/>
      <c r="F148" s="885"/>
      <c r="G148" s="885"/>
      <c r="H148" s="898" t="e">
        <f t="shared" ref="H148:S148" ca="1" si="75">OFFSET(H$76,MATCH($C147,$N$101:$N$107,0)*3,0)</f>
        <v>#N/A</v>
      </c>
      <c r="I148" s="898" t="e">
        <f t="shared" ca="1" si="75"/>
        <v>#N/A</v>
      </c>
      <c r="J148" s="898" t="e">
        <f t="shared" ca="1" si="75"/>
        <v>#N/A</v>
      </c>
      <c r="K148" s="898" t="e">
        <f t="shared" ca="1" si="75"/>
        <v>#N/A</v>
      </c>
      <c r="L148" s="898" t="e">
        <f t="shared" ca="1" si="75"/>
        <v>#N/A</v>
      </c>
      <c r="M148" s="898" t="e">
        <f t="shared" ca="1" si="75"/>
        <v>#N/A</v>
      </c>
      <c r="N148" s="898" t="e">
        <f t="shared" ca="1" si="75"/>
        <v>#N/A</v>
      </c>
      <c r="O148" s="898" t="e">
        <f t="shared" ca="1" si="75"/>
        <v>#N/A</v>
      </c>
      <c r="P148" s="898" t="e">
        <f t="shared" ca="1" si="75"/>
        <v>#N/A</v>
      </c>
      <c r="Q148" s="898" t="e">
        <f t="shared" ca="1" si="75"/>
        <v>#N/A</v>
      </c>
      <c r="R148" s="898" t="e">
        <f t="shared" ca="1" si="75"/>
        <v>#N/A</v>
      </c>
      <c r="S148" s="898" t="e">
        <f t="shared" ca="1" si="75"/>
        <v>#N/A</v>
      </c>
      <c r="T148" s="881"/>
      <c r="U148" s="881"/>
      <c r="V148" s="881"/>
      <c r="W148" s="881"/>
      <c r="X148" s="881"/>
      <c r="Y148" s="881"/>
      <c r="Z148" s="881"/>
      <c r="AA148" s="881"/>
      <c r="AB148" s="881"/>
      <c r="AC148" s="881"/>
      <c r="AD148" s="881"/>
      <c r="AE148" s="881"/>
      <c r="AF148" s="881"/>
      <c r="AG148" s="881"/>
      <c r="AH148" s="881"/>
      <c r="AI148" s="881"/>
      <c r="AJ148" s="881"/>
      <c r="AK148" s="881"/>
      <c r="AL148" s="881"/>
      <c r="AM148" s="881"/>
      <c r="AN148" s="881"/>
      <c r="AO148" s="881"/>
      <c r="AP148" s="881"/>
      <c r="AQ148" s="881"/>
      <c r="AR148" s="881"/>
      <c r="AS148" s="881"/>
      <c r="AT148" s="881"/>
      <c r="AU148" s="881"/>
      <c r="AV148" s="881"/>
      <c r="AW148" s="881"/>
      <c r="AX148" s="881"/>
      <c r="AY148" s="881"/>
      <c r="AZ148" s="881"/>
      <c r="BA148" s="881"/>
      <c r="BB148" s="881"/>
      <c r="BC148" s="881"/>
      <c r="BD148" s="881"/>
      <c r="BE148" s="881"/>
      <c r="BF148" s="881"/>
      <c r="BG148" s="881"/>
      <c r="BH148" s="881"/>
      <c r="BI148" s="881"/>
      <c r="BJ148" s="881"/>
      <c r="BK148" s="881"/>
      <c r="BL148" s="881"/>
      <c r="BM148" s="881"/>
      <c r="BN148" s="881"/>
      <c r="BO148" s="881"/>
      <c r="BP148" s="881"/>
      <c r="BQ148" s="881"/>
      <c r="BR148" s="881"/>
      <c r="BS148" s="881"/>
      <c r="BT148" s="881"/>
      <c r="BU148" s="881"/>
    </row>
    <row r="149" spans="1:73" x14ac:dyDescent="0.25">
      <c r="A149" s="881"/>
      <c r="B149" s="881"/>
      <c r="C149" s="881"/>
      <c r="D149" s="881"/>
      <c r="E149" s="881"/>
      <c r="F149" s="881"/>
      <c r="G149" s="881"/>
      <c r="H149" s="881"/>
      <c r="I149" s="881"/>
      <c r="J149" s="881"/>
      <c r="K149" s="881"/>
      <c r="L149" s="881"/>
      <c r="M149" s="881"/>
      <c r="N149" s="881"/>
      <c r="O149" s="881"/>
      <c r="P149" s="881"/>
      <c r="Q149" s="881"/>
      <c r="R149" s="881"/>
      <c r="S149" s="881"/>
      <c r="T149" s="881"/>
      <c r="U149" s="881"/>
      <c r="V149" s="881"/>
      <c r="W149" s="881"/>
      <c r="X149" s="881"/>
      <c r="Y149" s="881"/>
      <c r="Z149" s="881"/>
      <c r="AA149" s="881"/>
      <c r="AB149" s="881"/>
      <c r="AC149" s="881"/>
      <c r="AD149" s="881"/>
      <c r="AE149" s="881"/>
      <c r="AF149" s="881"/>
      <c r="AG149" s="881"/>
      <c r="AH149" s="881"/>
      <c r="AI149" s="881"/>
      <c r="AJ149" s="881"/>
      <c r="AK149" s="881"/>
      <c r="AL149" s="881"/>
      <c r="AM149" s="881"/>
      <c r="AN149" s="881"/>
      <c r="AO149" s="881"/>
      <c r="AP149" s="881"/>
      <c r="AQ149" s="881"/>
      <c r="AR149" s="881"/>
      <c r="AS149" s="881"/>
      <c r="AT149" s="881"/>
      <c r="AU149" s="881"/>
      <c r="AV149" s="881"/>
      <c r="AW149" s="881"/>
      <c r="AX149" s="881"/>
      <c r="AY149" s="881"/>
      <c r="AZ149" s="881"/>
      <c r="BA149" s="881"/>
      <c r="BB149" s="881"/>
      <c r="BC149" s="881"/>
      <c r="BD149" s="881"/>
      <c r="BE149" s="881"/>
      <c r="BF149" s="881"/>
      <c r="BG149" s="881"/>
      <c r="BH149" s="881"/>
      <c r="BI149" s="881"/>
      <c r="BJ149" s="881"/>
      <c r="BK149" s="881"/>
      <c r="BL149" s="881"/>
      <c r="BM149" s="881"/>
      <c r="BN149" s="881"/>
      <c r="BO149" s="881"/>
      <c r="BP149" s="881"/>
      <c r="BQ149" s="881"/>
      <c r="BR149" s="881"/>
      <c r="BS149" s="881"/>
      <c r="BT149" s="881"/>
      <c r="BU149" s="881"/>
    </row>
    <row r="150" spans="1:73" x14ac:dyDescent="0.25">
      <c r="A150" s="881"/>
      <c r="B150" s="881"/>
      <c r="C150" s="881"/>
      <c r="D150" s="881"/>
      <c r="E150" s="881"/>
      <c r="F150" s="881"/>
      <c r="G150" s="881"/>
      <c r="H150" s="881"/>
      <c r="I150" s="881"/>
      <c r="J150" s="881"/>
      <c r="K150" s="881"/>
      <c r="L150" s="881"/>
      <c r="M150" s="881"/>
      <c r="N150" s="881"/>
      <c r="O150" s="881"/>
      <c r="P150" s="881"/>
      <c r="Q150" s="881"/>
      <c r="R150" s="881"/>
      <c r="S150" s="881"/>
      <c r="T150" s="881"/>
      <c r="U150" s="881"/>
      <c r="V150" s="881"/>
      <c r="W150" s="881"/>
      <c r="X150" s="881"/>
      <c r="Y150" s="881"/>
      <c r="Z150" s="881"/>
      <c r="AA150" s="881"/>
      <c r="AB150" s="881"/>
      <c r="AC150" s="881"/>
      <c r="AD150" s="881"/>
      <c r="AE150" s="881"/>
      <c r="AF150" s="881"/>
      <c r="AG150" s="881"/>
      <c r="AH150" s="881"/>
      <c r="AI150" s="881"/>
      <c r="AJ150" s="881"/>
      <c r="AK150" s="881"/>
      <c r="AL150" s="881"/>
      <c r="AM150" s="881"/>
      <c r="AN150" s="881"/>
      <c r="AO150" s="881"/>
      <c r="AP150" s="881"/>
      <c r="AQ150" s="881"/>
      <c r="AR150" s="881"/>
      <c r="AS150" s="881"/>
      <c r="AT150" s="881"/>
      <c r="AU150" s="881"/>
      <c r="AV150" s="881"/>
      <c r="AW150" s="881"/>
      <c r="AX150" s="881"/>
      <c r="AY150" s="881"/>
      <c r="AZ150" s="881"/>
      <c r="BA150" s="881"/>
      <c r="BB150" s="881"/>
      <c r="BC150" s="881"/>
      <c r="BD150" s="881"/>
      <c r="BE150" s="881"/>
      <c r="BF150" s="881"/>
      <c r="BG150" s="881"/>
      <c r="BH150" s="881"/>
      <c r="BI150" s="881"/>
      <c r="BJ150" s="881"/>
      <c r="BK150" s="881"/>
      <c r="BL150" s="881"/>
      <c r="BM150" s="881"/>
      <c r="BN150" s="881"/>
      <c r="BO150" s="881"/>
      <c r="BP150" s="881"/>
      <c r="BQ150" s="881"/>
      <c r="BR150" s="881"/>
      <c r="BS150" s="881"/>
      <c r="BT150" s="881"/>
      <c r="BU150" s="881"/>
    </row>
    <row r="151" spans="1:73" x14ac:dyDescent="0.25">
      <c r="A151" s="881"/>
      <c r="B151" s="881"/>
      <c r="C151" s="881"/>
      <c r="D151" s="881"/>
      <c r="E151" s="881"/>
      <c r="F151" s="881"/>
      <c r="G151" s="881"/>
      <c r="H151" s="881"/>
      <c r="I151" s="881"/>
      <c r="J151" s="881"/>
      <c r="K151" s="881"/>
      <c r="L151" s="881"/>
      <c r="M151" s="881"/>
      <c r="N151" s="881"/>
      <c r="O151" s="881"/>
      <c r="P151" s="881"/>
      <c r="Q151" s="881"/>
      <c r="R151" s="881"/>
      <c r="S151" s="881"/>
      <c r="T151" s="881"/>
      <c r="U151" s="881"/>
      <c r="V151" s="881"/>
      <c r="W151" s="881"/>
      <c r="X151" s="881"/>
      <c r="Y151" s="881"/>
      <c r="Z151" s="881"/>
      <c r="AA151" s="881"/>
      <c r="AB151" s="881"/>
      <c r="AC151" s="881"/>
      <c r="AD151" s="881"/>
      <c r="AE151" s="881"/>
      <c r="AF151" s="881"/>
      <c r="AG151" s="881"/>
      <c r="AH151" s="881"/>
      <c r="AI151" s="881"/>
      <c r="AJ151" s="881"/>
      <c r="AK151" s="881"/>
      <c r="AL151" s="881"/>
      <c r="AM151" s="881"/>
      <c r="AN151" s="881"/>
      <c r="AO151" s="881"/>
      <c r="AP151" s="881"/>
      <c r="AQ151" s="881"/>
      <c r="AR151" s="881"/>
      <c r="AS151" s="881"/>
    </row>
    <row r="152" spans="1:73" x14ac:dyDescent="0.25">
      <c r="A152" s="881"/>
      <c r="B152" s="883" t="s">
        <v>1133</v>
      </c>
      <c r="C152" s="881"/>
      <c r="D152" s="881"/>
      <c r="E152" s="881"/>
      <c r="F152" s="881"/>
      <c r="G152" s="881"/>
      <c r="H152" s="881"/>
      <c r="I152" s="881"/>
      <c r="J152" s="881"/>
      <c r="K152" s="881"/>
      <c r="L152" s="881"/>
      <c r="M152" s="881"/>
      <c r="N152" s="881"/>
      <c r="O152" s="881"/>
      <c r="P152" s="881"/>
      <c r="Q152" s="881"/>
      <c r="R152" s="881"/>
      <c r="S152" s="881"/>
      <c r="T152" s="881"/>
      <c r="U152" s="881"/>
      <c r="V152" s="881"/>
      <c r="W152" s="881"/>
      <c r="X152" s="881"/>
      <c r="Y152" s="881"/>
      <c r="Z152" s="881"/>
      <c r="AA152" s="881"/>
      <c r="AB152" s="881"/>
      <c r="AC152" s="881"/>
      <c r="AD152" s="881"/>
      <c r="AE152" s="881"/>
      <c r="AF152" s="881"/>
      <c r="AG152" s="881"/>
      <c r="AH152" s="881"/>
      <c r="AI152" s="881"/>
      <c r="AJ152" s="881"/>
      <c r="AK152" s="881"/>
      <c r="AL152" s="881"/>
      <c r="AM152" s="881"/>
      <c r="AN152" s="881"/>
      <c r="AO152" s="881"/>
      <c r="AP152" s="881"/>
      <c r="AQ152" s="881"/>
      <c r="AR152" s="881"/>
      <c r="AS152" s="881"/>
    </row>
    <row r="153" spans="1:73" x14ac:dyDescent="0.25">
      <c r="A153" s="881"/>
      <c r="B153" s="881"/>
      <c r="C153" s="881"/>
      <c r="D153" s="892" t="s">
        <v>1137</v>
      </c>
      <c r="E153" s="892"/>
      <c r="F153" s="892"/>
      <c r="G153" s="892"/>
      <c r="H153" s="892"/>
      <c r="I153" s="892"/>
      <c r="J153" s="881"/>
      <c r="K153" s="881"/>
      <c r="L153" s="881"/>
      <c r="M153" s="881"/>
      <c r="N153" s="881"/>
      <c r="O153" s="881"/>
      <c r="P153" s="881"/>
      <c r="Q153" s="881"/>
      <c r="R153" s="881"/>
      <c r="S153" s="881"/>
      <c r="T153" s="881"/>
      <c r="U153" s="881"/>
      <c r="V153" s="881"/>
      <c r="W153" s="881"/>
      <c r="X153" s="881"/>
      <c r="Y153" s="881"/>
      <c r="Z153" s="881"/>
      <c r="AA153" s="881"/>
      <c r="AB153" s="881"/>
      <c r="AC153" s="881"/>
      <c r="AD153" s="881"/>
      <c r="AE153" s="881"/>
      <c r="AF153" s="881"/>
      <c r="AG153" s="881"/>
      <c r="AH153" s="881"/>
      <c r="AI153" s="881"/>
      <c r="AJ153" s="881"/>
      <c r="AK153" s="881"/>
      <c r="AL153" s="881"/>
      <c r="AM153" s="881"/>
      <c r="AN153" s="881"/>
      <c r="AO153" s="881"/>
      <c r="AP153" s="881"/>
      <c r="AQ153" s="881"/>
      <c r="AR153" s="881"/>
      <c r="AS153" s="881"/>
    </row>
    <row r="154" spans="1:73" ht="26.4" x14ac:dyDescent="0.25">
      <c r="A154" s="881"/>
      <c r="B154" s="883"/>
      <c r="C154" s="881"/>
      <c r="D154" s="892" t="s">
        <v>1136</v>
      </c>
      <c r="E154" s="892" t="s">
        <v>1142</v>
      </c>
      <c r="F154" s="892" t="s">
        <v>1138</v>
      </c>
      <c r="G154" s="892" t="s">
        <v>1139</v>
      </c>
      <c r="H154" s="892" t="s">
        <v>1140</v>
      </c>
      <c r="I154" s="892" t="s">
        <v>1141</v>
      </c>
      <c r="J154" s="881"/>
      <c r="K154" s="892" t="s">
        <v>1171</v>
      </c>
      <c r="L154" s="892" t="s">
        <v>1169</v>
      </c>
      <c r="M154" s="892" t="s">
        <v>1170</v>
      </c>
      <c r="N154" s="892" t="s">
        <v>1172</v>
      </c>
      <c r="O154" s="881"/>
      <c r="P154" s="881"/>
      <c r="Q154" s="881"/>
      <c r="R154" s="881"/>
      <c r="S154" s="881"/>
      <c r="T154" s="881"/>
      <c r="U154" s="881"/>
      <c r="V154" s="881"/>
      <c r="W154" s="881"/>
      <c r="X154" s="881"/>
      <c r="Y154" s="881"/>
      <c r="Z154" s="881"/>
      <c r="AA154" s="881"/>
      <c r="AB154" s="881"/>
      <c r="AC154" s="881"/>
      <c r="AD154" s="881"/>
      <c r="AE154" s="881"/>
      <c r="AF154" s="881"/>
      <c r="AG154" s="881"/>
      <c r="AH154" s="881"/>
      <c r="AI154" s="881"/>
      <c r="AJ154" s="881"/>
      <c r="AK154" s="881"/>
      <c r="AL154" s="881"/>
      <c r="AM154" s="881"/>
      <c r="AN154" s="881"/>
      <c r="AO154" s="881"/>
      <c r="AP154" s="881"/>
      <c r="AQ154" s="881"/>
      <c r="AR154" s="881"/>
      <c r="AS154" s="881"/>
    </row>
    <row r="155" spans="1:73" x14ac:dyDescent="0.25">
      <c r="A155" s="881"/>
      <c r="B155" s="883" t="s">
        <v>1135</v>
      </c>
      <c r="C155" s="881">
        <v>1</v>
      </c>
      <c r="D155" s="884" t="s">
        <v>1150</v>
      </c>
      <c r="E155" s="898">
        <f ca="1">+K48+C155/10000000000</f>
        <v>1.8556217639441948</v>
      </c>
      <c r="F155" s="885">
        <f ca="1">+RANK(E155,$E$155:$E$157)</f>
        <v>1</v>
      </c>
      <c r="G155" s="890">
        <v>1</v>
      </c>
      <c r="H155" s="885" t="str">
        <f ca="1">OFFSET($D$154,MATCH($G155,$F$155:$F$157,0),0)</f>
        <v>Cost of Hydrogen</v>
      </c>
      <c r="I155" s="900">
        <f ca="1">OFFSET($E$154,MATCH($G155,$F$155:$F$157,0),0)-OFFSET($C$154,MATCH($G155,$F$155:$F$157,0),0)/10000000000</f>
        <v>1.8556217638441947</v>
      </c>
      <c r="J155" s="881"/>
      <c r="K155" s="885" t="str">
        <f ca="1">+H155</f>
        <v>Cost of Hydrogen</v>
      </c>
      <c r="L155" s="898">
        <f ca="1">+I155</f>
        <v>1.8556217638441947</v>
      </c>
      <c r="M155" s="885"/>
      <c r="N155" s="885" t="str">
        <f ca="1">+IF(L155&gt;0,K155,"")</f>
        <v>Cost of Hydrogen</v>
      </c>
      <c r="O155" s="881"/>
      <c r="P155" s="881"/>
      <c r="Q155" s="881"/>
      <c r="R155" s="881"/>
      <c r="S155" s="881"/>
      <c r="T155" s="881"/>
      <c r="U155" s="881"/>
      <c r="V155" s="881"/>
      <c r="W155" s="881"/>
      <c r="X155" s="881"/>
      <c r="Y155" s="881"/>
      <c r="Z155" s="881"/>
      <c r="AA155" s="881"/>
      <c r="AB155" s="881"/>
      <c r="AC155" s="881"/>
      <c r="AD155" s="881"/>
      <c r="AE155" s="881"/>
      <c r="AF155" s="881"/>
      <c r="AG155" s="881"/>
      <c r="AH155" s="881"/>
      <c r="AI155" s="881"/>
      <c r="AJ155" s="881"/>
    </row>
    <row r="156" spans="1:73" x14ac:dyDescent="0.25">
      <c r="A156" s="881"/>
      <c r="B156" s="883"/>
      <c r="C156" s="881">
        <v>2</v>
      </c>
      <c r="D156" s="885" t="str">
        <f>+F110</f>
        <v>Byproduct Sales</v>
      </c>
      <c r="E156" s="898">
        <f ca="1">+L48+C156/10000000000</f>
        <v>2.0000000000000001E-10</v>
      </c>
      <c r="F156" s="885">
        <f ca="1">+RANK(E156,$E$155:$E$157)</f>
        <v>3</v>
      </c>
      <c r="G156" s="890">
        <v>2</v>
      </c>
      <c r="H156" s="885" t="str">
        <f ca="1">OFFSET($D$154,MATCH($G156,$F$155:$F$157,0),0)</f>
        <v>Salvage Value</v>
      </c>
      <c r="I156" s="900">
        <f ca="1">OFFSET($E$154,MATCH($G156,$F$155:$F$157,0),0)-OFFSET($C$154,MATCH($G156,$F$155:$F$157,0),0)/10000000000</f>
        <v>1.9532336675216178E-3</v>
      </c>
      <c r="J156" s="881"/>
      <c r="K156" s="885" t="str">
        <f t="shared" ref="K156:K170" ca="1" si="76">+H156</f>
        <v>Salvage Value</v>
      </c>
      <c r="L156" s="898">
        <f t="shared" ref="L156:L157" ca="1" si="77">+I156</f>
        <v>1.9532336675216178E-3</v>
      </c>
      <c r="M156" s="885"/>
      <c r="N156" s="885" t="str">
        <f t="shared" ref="N156:N157" ca="1" si="78">+IF(L156&gt;0,K156,"")</f>
        <v>Salvage Value</v>
      </c>
      <c r="O156" s="881"/>
      <c r="P156" s="881"/>
      <c r="Q156" s="881"/>
      <c r="R156" s="881"/>
      <c r="S156" s="881"/>
      <c r="T156" s="881"/>
      <c r="U156" s="881"/>
      <c r="V156" s="881"/>
      <c r="W156" s="881"/>
      <c r="X156" s="881"/>
      <c r="Y156" s="881"/>
      <c r="Z156" s="881"/>
      <c r="AA156" s="881"/>
      <c r="AB156" s="881"/>
      <c r="AC156" s="881"/>
      <c r="AD156" s="881"/>
      <c r="AE156" s="881"/>
      <c r="AF156" s="881"/>
      <c r="AG156" s="881"/>
      <c r="AH156" s="881"/>
      <c r="AI156" s="881"/>
      <c r="AJ156" s="881"/>
    </row>
    <row r="157" spans="1:73" x14ac:dyDescent="0.25">
      <c r="A157" s="881"/>
      <c r="B157" s="883"/>
      <c r="C157" s="881">
        <v>3</v>
      </c>
      <c r="D157" s="885" t="str">
        <f>+G110</f>
        <v>Salvage Value</v>
      </c>
      <c r="E157" s="898">
        <f ca="1">+M48+C157/10000000000</f>
        <v>1.9532339675216179E-3</v>
      </c>
      <c r="F157" s="885">
        <f ca="1">+RANK(E157,$E$155:$E$157)</f>
        <v>2</v>
      </c>
      <c r="G157" s="890">
        <v>3</v>
      </c>
      <c r="H157" s="885" t="str">
        <f ca="1">OFFSET($D$154,MATCH($G157,$F$155:$F$157,0),0)</f>
        <v>Byproduct Sales</v>
      </c>
      <c r="I157" s="900">
        <f ca="1">OFFSET($E$154,MATCH($G157,$F$155:$F$157,0),0)-OFFSET($C$154,MATCH($G157,$F$155:$F$157,0),0)/10000000000</f>
        <v>0</v>
      </c>
      <c r="J157" s="881"/>
      <c r="K157" s="885" t="str">
        <f t="shared" ca="1" si="76"/>
        <v>Byproduct Sales</v>
      </c>
      <c r="L157" s="898">
        <f t="shared" ca="1" si="77"/>
        <v>0</v>
      </c>
      <c r="M157" s="885"/>
      <c r="N157" s="885" t="str">
        <f t="shared" ca="1" si="78"/>
        <v/>
      </c>
      <c r="O157" s="881"/>
      <c r="P157" s="881"/>
      <c r="Q157" s="881"/>
      <c r="R157" s="881"/>
      <c r="S157" s="881"/>
      <c r="T157" s="881"/>
      <c r="U157" s="881"/>
      <c r="V157" s="881"/>
      <c r="W157" s="881"/>
      <c r="X157" s="881"/>
      <c r="Y157" s="881"/>
      <c r="Z157" s="881"/>
      <c r="AA157" s="881"/>
      <c r="AB157" s="881"/>
      <c r="AC157" s="881"/>
      <c r="AD157" s="881"/>
      <c r="AE157" s="881"/>
      <c r="AF157" s="881"/>
      <c r="AG157" s="881"/>
      <c r="AH157" s="881"/>
      <c r="AI157" s="881"/>
      <c r="AJ157" s="881"/>
    </row>
    <row r="158" spans="1:73" x14ac:dyDescent="0.25">
      <c r="A158" s="881"/>
      <c r="B158" s="883"/>
      <c r="C158" s="881"/>
      <c r="D158" s="883"/>
      <c r="E158" s="883"/>
      <c r="F158" s="883"/>
      <c r="G158" s="883"/>
      <c r="H158" s="883"/>
      <c r="I158" s="911"/>
      <c r="J158" s="881"/>
      <c r="K158" s="885"/>
      <c r="L158" s="885"/>
      <c r="M158" s="898"/>
      <c r="N158" s="885" t="str">
        <f t="shared" ref="N158" si="79">+IF(L158&gt;0.01,K158,"")</f>
        <v/>
      </c>
      <c r="O158" s="881"/>
      <c r="P158" s="881"/>
      <c r="Q158" s="881"/>
      <c r="R158" s="881"/>
      <c r="S158" s="881"/>
      <c r="T158" s="881"/>
      <c r="U158" s="881"/>
      <c r="V158" s="881"/>
      <c r="W158" s="881"/>
      <c r="X158" s="881"/>
      <c r="Y158" s="881"/>
      <c r="Z158" s="881"/>
      <c r="AA158" s="881"/>
      <c r="AB158" s="881"/>
      <c r="AC158" s="881"/>
      <c r="AD158" s="881"/>
      <c r="AE158" s="881"/>
      <c r="AF158" s="881"/>
      <c r="AG158" s="881"/>
      <c r="AH158" s="881"/>
      <c r="AI158" s="881"/>
      <c r="AJ158" s="881"/>
    </row>
    <row r="159" spans="1:73" x14ac:dyDescent="0.25">
      <c r="A159" s="881"/>
      <c r="B159" s="883" t="s">
        <v>1134</v>
      </c>
      <c r="C159" s="881">
        <v>1</v>
      </c>
      <c r="D159" s="885" t="str">
        <f>+H110</f>
        <v>Initial Equity Depreciable Capital</v>
      </c>
      <c r="E159" s="898">
        <f ca="1">+N48+C159/10000000000</f>
        <v>0.19679394047475487</v>
      </c>
      <c r="F159" s="885">
        <f t="shared" ref="F159:F170" ca="1" si="80">+RANK(E159,$E$159:$E$170)</f>
        <v>4</v>
      </c>
      <c r="G159" s="890">
        <v>1</v>
      </c>
      <c r="H159" s="885" t="str">
        <f t="shared" ref="H159:H170" ca="1" si="81">OFFSET($D$158,MATCH($G159,$F$159:$F$170,0),0)</f>
        <v>Feedstock Cost</v>
      </c>
      <c r="I159" s="900">
        <f t="shared" ref="I159:I170" ca="1" si="82">OFFSET($E$158,MATCH($G159,$F$159:$F$170,0),0)-OFFSET($C$158,MATCH($G159,$F$159:$F$170,0),0)/10000000000</f>
        <v>0.97692148024886449</v>
      </c>
      <c r="J159" s="881"/>
      <c r="K159" s="885" t="str">
        <f t="shared" ca="1" si="76"/>
        <v>Feedstock Cost</v>
      </c>
      <c r="L159" s="885"/>
      <c r="M159" s="898">
        <f ca="1">+I159</f>
        <v>0.97692148024886449</v>
      </c>
      <c r="N159" s="885" t="str">
        <f ca="1">+IF(M159&gt;0,K159,"")</f>
        <v>Feedstock Cost</v>
      </c>
      <c r="O159" s="881"/>
      <c r="P159" s="881"/>
      <c r="Q159" s="881"/>
      <c r="R159" s="881"/>
      <c r="S159" s="881"/>
      <c r="T159" s="881"/>
      <c r="U159" s="881"/>
      <c r="V159" s="881"/>
      <c r="W159" s="881"/>
      <c r="X159" s="881"/>
      <c r="Y159" s="881"/>
      <c r="Z159" s="881"/>
      <c r="AA159" s="881"/>
      <c r="AB159" s="881"/>
      <c r="AC159" s="881"/>
      <c r="AD159" s="881"/>
      <c r="AE159" s="881"/>
      <c r="AF159" s="881"/>
      <c r="AG159" s="881"/>
      <c r="AH159" s="881"/>
      <c r="AI159" s="881"/>
      <c r="AJ159" s="881"/>
    </row>
    <row r="160" spans="1:73" x14ac:dyDescent="0.25">
      <c r="A160" s="881"/>
      <c r="B160" s="881"/>
      <c r="C160" s="881">
        <f>+C159+1</f>
        <v>2</v>
      </c>
      <c r="D160" s="885" t="str">
        <f>+I110</f>
        <v>Yearly Replacement Costs</v>
      </c>
      <c r="E160" s="898">
        <f ca="1">+O48+C160/10000000000</f>
        <v>2.5148873285919068E-2</v>
      </c>
      <c r="F160" s="885">
        <f t="shared" ca="1" si="80"/>
        <v>7</v>
      </c>
      <c r="G160" s="890">
        <v>2</v>
      </c>
      <c r="H160" s="885" t="str">
        <f t="shared" ca="1" si="81"/>
        <v>Other Variable Operating Costs</v>
      </c>
      <c r="I160" s="900">
        <f t="shared" ca="1" si="82"/>
        <v>0.24744462031205222</v>
      </c>
      <c r="J160" s="881"/>
      <c r="K160" s="885" t="str">
        <f t="shared" ca="1" si="76"/>
        <v>Other Variable Operating Costs</v>
      </c>
      <c r="L160" s="885"/>
      <c r="M160" s="898">
        <f t="shared" ref="M160:M170" ca="1" si="83">+I160</f>
        <v>0.24744462031205222</v>
      </c>
      <c r="N160" s="885" t="str">
        <f t="shared" ref="N160:N170" ca="1" si="84">+IF(M160&gt;0,K160,"")</f>
        <v>Other Variable Operating Costs</v>
      </c>
      <c r="O160" s="881"/>
      <c r="P160" s="881"/>
      <c r="Q160" s="881"/>
      <c r="R160" s="881"/>
      <c r="S160" s="881"/>
      <c r="T160" s="881"/>
      <c r="U160" s="881"/>
      <c r="V160" s="881"/>
      <c r="W160" s="881"/>
      <c r="X160" s="881"/>
      <c r="Y160" s="881"/>
      <c r="Z160" s="881"/>
      <c r="AA160" s="881"/>
      <c r="AB160" s="881"/>
      <c r="AC160" s="881"/>
      <c r="AD160" s="881"/>
      <c r="AE160" s="881"/>
      <c r="AF160" s="881"/>
      <c r="AG160" s="881"/>
      <c r="AH160" s="881"/>
      <c r="AI160" s="881"/>
      <c r="AJ160" s="881"/>
    </row>
    <row r="161" spans="1:36" x14ac:dyDescent="0.25">
      <c r="A161" s="881"/>
      <c r="B161" s="881"/>
      <c r="C161" s="881">
        <f t="shared" ref="C161:C170" si="85">+C160+1</f>
        <v>3</v>
      </c>
      <c r="D161" s="885" t="str">
        <f>+J110</f>
        <v>Cash for Working Capital Reserve</v>
      </c>
      <c r="E161" s="898">
        <f ca="1">+P48+C161/10000000000</f>
        <v>2.0014217275989454E-2</v>
      </c>
      <c r="F161" s="885">
        <f t="shared" ca="1" si="80"/>
        <v>9</v>
      </c>
      <c r="G161" s="890">
        <v>3</v>
      </c>
      <c r="H161" s="885" t="str">
        <f t="shared" ca="1" si="81"/>
        <v>Fixed Operating Cost</v>
      </c>
      <c r="I161" s="900">
        <f t="shared" ca="1" si="82"/>
        <v>0.20583602739814111</v>
      </c>
      <c r="J161" s="881"/>
      <c r="K161" s="885" t="str">
        <f t="shared" ca="1" si="76"/>
        <v>Fixed Operating Cost</v>
      </c>
      <c r="L161" s="885"/>
      <c r="M161" s="898">
        <f t="shared" ca="1" si="83"/>
        <v>0.20583602739814111</v>
      </c>
      <c r="N161" s="885" t="str">
        <f t="shared" ca="1" si="84"/>
        <v>Fixed Operating Cost</v>
      </c>
      <c r="O161" s="881"/>
      <c r="P161" s="881"/>
      <c r="Q161" s="881"/>
      <c r="R161" s="881"/>
      <c r="S161" s="881"/>
      <c r="T161" s="881"/>
      <c r="U161" s="881"/>
      <c r="V161" s="881"/>
      <c r="W161" s="881"/>
      <c r="X161" s="881"/>
      <c r="Y161" s="881"/>
      <c r="Z161" s="881"/>
      <c r="AA161" s="881"/>
      <c r="AB161" s="881"/>
      <c r="AC161" s="881"/>
      <c r="AD161" s="881"/>
      <c r="AE161" s="881"/>
      <c r="AF161" s="881"/>
      <c r="AG161" s="881"/>
      <c r="AH161" s="881"/>
      <c r="AI161" s="881"/>
      <c r="AJ161" s="881"/>
    </row>
    <row r="162" spans="1:36" x14ac:dyDescent="0.25">
      <c r="A162" s="881"/>
      <c r="B162" s="881"/>
      <c r="C162" s="881">
        <f t="shared" si="85"/>
        <v>4</v>
      </c>
      <c r="D162" s="885" t="str">
        <f>+K110</f>
        <v>Other Non-Depreciable Capital Costs</v>
      </c>
      <c r="E162" s="898">
        <f ca="1">+Q48+C162/10000000000</f>
        <v>2.954440599027153E-3</v>
      </c>
      <c r="F162" s="885">
        <f t="shared" ca="1" si="80"/>
        <v>11</v>
      </c>
      <c r="G162" s="890">
        <v>4</v>
      </c>
      <c r="H162" s="885" t="str">
        <f t="shared" ca="1" si="81"/>
        <v>Initial Equity Depreciable Capital</v>
      </c>
      <c r="I162" s="900">
        <f t="shared" ca="1" si="82"/>
        <v>0.19679394037475487</v>
      </c>
      <c r="J162" s="881"/>
      <c r="K162" s="885" t="str">
        <f t="shared" ca="1" si="76"/>
        <v>Initial Equity Depreciable Capital</v>
      </c>
      <c r="L162" s="885"/>
      <c r="M162" s="898">
        <f t="shared" ca="1" si="83"/>
        <v>0.19679394037475487</v>
      </c>
      <c r="N162" s="885" t="str">
        <f t="shared" ca="1" si="84"/>
        <v>Initial Equity Depreciable Capital</v>
      </c>
      <c r="O162" s="881"/>
      <c r="P162" s="881"/>
      <c r="Q162" s="881"/>
      <c r="R162" s="881"/>
      <c r="S162" s="881"/>
      <c r="T162" s="881"/>
      <c r="U162" s="881"/>
      <c r="V162" s="881"/>
      <c r="W162" s="881"/>
      <c r="X162" s="881"/>
      <c r="Y162" s="881"/>
      <c r="Z162" s="881"/>
      <c r="AA162" s="881"/>
      <c r="AB162" s="881"/>
      <c r="AC162" s="881"/>
      <c r="AD162" s="881"/>
      <c r="AE162" s="881"/>
      <c r="AF162" s="881"/>
      <c r="AG162" s="881"/>
      <c r="AH162" s="881"/>
      <c r="AI162" s="881"/>
      <c r="AJ162" s="881"/>
    </row>
    <row r="163" spans="1:36" x14ac:dyDescent="0.25">
      <c r="A163" s="881"/>
      <c r="B163" s="881"/>
      <c r="C163" s="881">
        <f t="shared" si="85"/>
        <v>5</v>
      </c>
      <c r="D163" s="885" t="str">
        <f>+L110</f>
        <v>Decommissioning Costs</v>
      </c>
      <c r="E163" s="898">
        <f ca="1">+R48+C163/10000000000</f>
        <v>1.9415747333874338E-3</v>
      </c>
      <c r="F163" s="885">
        <f t="shared" ca="1" si="80"/>
        <v>12</v>
      </c>
      <c r="G163" s="890">
        <v>5</v>
      </c>
      <c r="H163" s="885" t="str">
        <f t="shared" ca="1" si="81"/>
        <v>Debt Interest</v>
      </c>
      <c r="I163" s="900">
        <f t="shared" ca="1" si="82"/>
        <v>0.11763260552256523</v>
      </c>
      <c r="J163" s="881"/>
      <c r="K163" s="885" t="str">
        <f t="shared" ca="1" si="76"/>
        <v>Debt Interest</v>
      </c>
      <c r="L163" s="885"/>
      <c r="M163" s="898">
        <f t="shared" ca="1" si="83"/>
        <v>0.11763260552256523</v>
      </c>
      <c r="N163" s="885" t="str">
        <f t="shared" ca="1" si="84"/>
        <v>Debt Interest</v>
      </c>
      <c r="O163" s="881"/>
      <c r="P163" s="881"/>
      <c r="Q163" s="881"/>
      <c r="R163" s="881"/>
      <c r="S163" s="881"/>
      <c r="T163" s="881"/>
      <c r="U163" s="881"/>
      <c r="V163" s="881"/>
      <c r="W163" s="881"/>
      <c r="X163" s="881"/>
      <c r="Y163" s="881"/>
      <c r="Z163" s="881"/>
      <c r="AA163" s="881"/>
      <c r="AB163" s="881"/>
      <c r="AC163" s="881"/>
      <c r="AD163" s="881"/>
      <c r="AE163" s="881"/>
      <c r="AF163" s="881"/>
      <c r="AG163" s="881"/>
      <c r="AH163" s="881"/>
      <c r="AI163" s="881"/>
      <c r="AJ163" s="881"/>
    </row>
    <row r="164" spans="1:36" x14ac:dyDescent="0.25">
      <c r="A164" s="881"/>
      <c r="B164" s="881"/>
      <c r="C164" s="881">
        <f t="shared" si="85"/>
        <v>6</v>
      </c>
      <c r="D164" s="885" t="str">
        <f>+M110</f>
        <v>Fixed Operating Cost</v>
      </c>
      <c r="E164" s="898">
        <f ca="1">+S48+C164/10000000000</f>
        <v>0.2058360279981411</v>
      </c>
      <c r="F164" s="885">
        <f t="shared" ca="1" si="80"/>
        <v>3</v>
      </c>
      <c r="G164" s="890">
        <v>6</v>
      </c>
      <c r="H164" s="885" t="str">
        <f t="shared" ca="1" si="81"/>
        <v>Other Raw Material Cost</v>
      </c>
      <c r="I164" s="900">
        <f t="shared" ca="1" si="82"/>
        <v>3.7320310600916916E-2</v>
      </c>
      <c r="J164" s="881"/>
      <c r="K164" s="885" t="str">
        <f t="shared" ca="1" si="76"/>
        <v>Other Raw Material Cost</v>
      </c>
      <c r="L164" s="885"/>
      <c r="M164" s="898">
        <f t="shared" ca="1" si="83"/>
        <v>3.7320310600916916E-2</v>
      </c>
      <c r="N164" s="885" t="str">
        <f t="shared" ca="1" si="84"/>
        <v>Other Raw Material Cost</v>
      </c>
      <c r="O164" s="881"/>
      <c r="P164" s="881"/>
      <c r="Q164" s="881"/>
      <c r="R164" s="881"/>
      <c r="S164" s="881"/>
      <c r="T164" s="881"/>
      <c r="U164" s="881"/>
      <c r="V164" s="881"/>
      <c r="W164" s="881"/>
      <c r="X164" s="881"/>
      <c r="Y164" s="881"/>
      <c r="Z164" s="881"/>
      <c r="AA164" s="881"/>
      <c r="AB164" s="881"/>
      <c r="AC164" s="881"/>
      <c r="AD164" s="881"/>
      <c r="AE164" s="881"/>
      <c r="AF164" s="881"/>
      <c r="AG164" s="881"/>
      <c r="AH164" s="881"/>
      <c r="AI164" s="881"/>
      <c r="AJ164" s="881"/>
    </row>
    <row r="165" spans="1:36" x14ac:dyDescent="0.25">
      <c r="A165" s="881"/>
      <c r="B165" s="881"/>
      <c r="C165" s="881">
        <f t="shared" si="85"/>
        <v>7</v>
      </c>
      <c r="D165" s="885" t="str">
        <f>+N110</f>
        <v>Feedstock Cost</v>
      </c>
      <c r="E165" s="898">
        <f ca="1">+T48+C165/10000000000</f>
        <v>0.97692148094886444</v>
      </c>
      <c r="F165" s="885">
        <f t="shared" ca="1" si="80"/>
        <v>1</v>
      </c>
      <c r="G165" s="890">
        <v>7</v>
      </c>
      <c r="H165" s="885" t="str">
        <f t="shared" ca="1" si="81"/>
        <v>Yearly Replacement Costs</v>
      </c>
      <c r="I165" s="900">
        <f t="shared" ca="1" si="82"/>
        <v>2.5148873085919069E-2</v>
      </c>
      <c r="J165" s="881"/>
      <c r="K165" s="885" t="str">
        <f t="shared" ca="1" si="76"/>
        <v>Yearly Replacement Costs</v>
      </c>
      <c r="L165" s="885"/>
      <c r="M165" s="898">
        <f t="shared" ca="1" si="83"/>
        <v>2.5148873085919069E-2</v>
      </c>
      <c r="N165" s="885" t="str">
        <f t="shared" ca="1" si="84"/>
        <v>Yearly Replacement Costs</v>
      </c>
      <c r="O165" s="881"/>
      <c r="P165" s="881"/>
      <c r="Q165" s="881"/>
      <c r="R165" s="881"/>
      <c r="S165" s="881"/>
      <c r="T165" s="881"/>
      <c r="U165" s="881"/>
      <c r="V165" s="881"/>
      <c r="W165" s="881"/>
      <c r="X165" s="881"/>
      <c r="Y165" s="881"/>
      <c r="Z165" s="881"/>
      <c r="AA165" s="881"/>
      <c r="AB165" s="881"/>
      <c r="AC165" s="881"/>
      <c r="AD165" s="881"/>
      <c r="AE165" s="881"/>
      <c r="AF165" s="881"/>
      <c r="AG165" s="881"/>
      <c r="AH165" s="881"/>
      <c r="AI165" s="881"/>
      <c r="AJ165" s="881"/>
    </row>
    <row r="166" spans="1:36" x14ac:dyDescent="0.25">
      <c r="A166" s="881"/>
      <c r="B166" s="881"/>
      <c r="C166" s="881">
        <f t="shared" si="85"/>
        <v>8</v>
      </c>
      <c r="D166" s="885" t="str">
        <f>+O110</f>
        <v>Other Raw Material Cost</v>
      </c>
      <c r="E166" s="898">
        <f ca="1">+U48+C166/10000000000</f>
        <v>3.7320311400916913E-2</v>
      </c>
      <c r="F166" s="885">
        <f t="shared" ca="1" si="80"/>
        <v>6</v>
      </c>
      <c r="G166" s="890">
        <v>8</v>
      </c>
      <c r="H166" s="885" t="str">
        <f t="shared" ca="1" si="81"/>
        <v>Taxes</v>
      </c>
      <c r="I166" s="900">
        <f t="shared" ca="1" si="82"/>
        <v>2.02825835365903E-2</v>
      </c>
      <c r="J166" s="881"/>
      <c r="K166" s="885" t="str">
        <f t="shared" ca="1" si="76"/>
        <v>Taxes</v>
      </c>
      <c r="L166" s="885"/>
      <c r="M166" s="898">
        <f t="shared" ca="1" si="83"/>
        <v>2.02825835365903E-2</v>
      </c>
      <c r="N166" s="885" t="str">
        <f t="shared" ca="1" si="84"/>
        <v>Taxes</v>
      </c>
      <c r="O166" s="881"/>
      <c r="P166" s="881"/>
      <c r="Q166" s="881"/>
      <c r="R166" s="881"/>
      <c r="S166" s="881"/>
      <c r="T166" s="881"/>
      <c r="U166" s="881"/>
      <c r="V166" s="881"/>
      <c r="W166" s="881"/>
      <c r="X166" s="881"/>
      <c r="Y166" s="881"/>
      <c r="Z166" s="881"/>
      <c r="AA166" s="881"/>
      <c r="AB166" s="881"/>
      <c r="AC166" s="881"/>
      <c r="AD166" s="881"/>
      <c r="AE166" s="881"/>
      <c r="AF166" s="881"/>
      <c r="AG166" s="881"/>
      <c r="AH166" s="881"/>
      <c r="AI166" s="881"/>
      <c r="AJ166" s="881"/>
    </row>
    <row r="167" spans="1:36" x14ac:dyDescent="0.25">
      <c r="A167" s="881"/>
      <c r="B167" s="881"/>
      <c r="C167" s="881">
        <f t="shared" si="85"/>
        <v>9</v>
      </c>
      <c r="D167" s="885" t="str">
        <f>+P110</f>
        <v>Other Variable Operating Costs</v>
      </c>
      <c r="E167" s="898">
        <f ca="1">+V48+C167/10000000000</f>
        <v>0.24744462121205221</v>
      </c>
      <c r="F167" s="885">
        <f t="shared" ca="1" si="80"/>
        <v>2</v>
      </c>
      <c r="G167" s="890">
        <v>9</v>
      </c>
      <c r="H167" s="885" t="str">
        <f t="shared" ca="1" si="81"/>
        <v>Cash for Working Capital Reserve</v>
      </c>
      <c r="I167" s="900">
        <f t="shared" ca="1" si="82"/>
        <v>2.0014216975989454E-2</v>
      </c>
      <c r="J167" s="881"/>
      <c r="K167" s="885" t="str">
        <f t="shared" ca="1" si="76"/>
        <v>Cash for Working Capital Reserve</v>
      </c>
      <c r="L167" s="885"/>
      <c r="M167" s="898">
        <f t="shared" ca="1" si="83"/>
        <v>2.0014216975989454E-2</v>
      </c>
      <c r="N167" s="885" t="str">
        <f t="shared" ca="1" si="84"/>
        <v>Cash for Working Capital Reserve</v>
      </c>
      <c r="O167" s="881"/>
      <c r="P167" s="881"/>
      <c r="Q167" s="881"/>
      <c r="R167" s="881"/>
      <c r="S167" s="881"/>
      <c r="T167" s="881"/>
      <c r="U167" s="881"/>
      <c r="V167" s="881"/>
      <c r="W167" s="881"/>
      <c r="X167" s="881"/>
      <c r="Y167" s="881"/>
      <c r="Z167" s="881"/>
      <c r="AA167" s="881"/>
      <c r="AB167" s="881"/>
      <c r="AC167" s="881"/>
      <c r="AD167" s="881"/>
      <c r="AE167" s="881"/>
      <c r="AF167" s="881"/>
      <c r="AG167" s="881"/>
      <c r="AH167" s="881"/>
      <c r="AI167" s="881"/>
      <c r="AJ167" s="881"/>
    </row>
    <row r="168" spans="1:36" x14ac:dyDescent="0.25">
      <c r="A168" s="881"/>
      <c r="B168" s="881"/>
      <c r="C168" s="881">
        <f t="shared" si="85"/>
        <v>10</v>
      </c>
      <c r="D168" s="885" t="str">
        <f>+Q110</f>
        <v>Debt Interest</v>
      </c>
      <c r="E168" s="898">
        <f ca="1">+W48+C168/10000000000</f>
        <v>0.11763260652256523</v>
      </c>
      <c r="F168" s="885">
        <f t="shared" ca="1" si="80"/>
        <v>5</v>
      </c>
      <c r="G168" s="890">
        <v>10</v>
      </c>
      <c r="H168" s="885" t="str">
        <f t="shared" ca="1" si="81"/>
        <v>Principal Payment</v>
      </c>
      <c r="I168" s="900">
        <f t="shared" ca="1" si="82"/>
        <v>5.2843250235065703E-3</v>
      </c>
      <c r="J168" s="881"/>
      <c r="K168" s="885" t="str">
        <f t="shared" ca="1" si="76"/>
        <v>Principal Payment</v>
      </c>
      <c r="L168" s="885"/>
      <c r="M168" s="898">
        <f t="shared" ca="1" si="83"/>
        <v>5.2843250235065703E-3</v>
      </c>
      <c r="N168" s="885" t="str">
        <f t="shared" ca="1" si="84"/>
        <v>Principal Payment</v>
      </c>
      <c r="O168" s="881"/>
      <c r="P168" s="881"/>
      <c r="Q168" s="881"/>
      <c r="R168" s="881"/>
      <c r="S168" s="881"/>
      <c r="T168" s="881"/>
      <c r="U168" s="881"/>
      <c r="V168" s="881"/>
      <c r="W168" s="881"/>
      <c r="X168" s="881"/>
      <c r="Y168" s="881"/>
      <c r="Z168" s="881"/>
      <c r="AA168" s="881"/>
      <c r="AB168" s="881"/>
      <c r="AC168" s="881"/>
      <c r="AD168" s="881"/>
      <c r="AE168" s="881"/>
      <c r="AF168" s="881"/>
      <c r="AG168" s="881"/>
      <c r="AH168" s="881"/>
      <c r="AI168" s="881"/>
      <c r="AJ168" s="881"/>
    </row>
    <row r="169" spans="1:36" x14ac:dyDescent="0.25">
      <c r="A169" s="881"/>
      <c r="B169" s="881"/>
      <c r="C169" s="881">
        <f t="shared" si="85"/>
        <v>11</v>
      </c>
      <c r="D169" s="885" t="str">
        <f>+R110</f>
        <v>Taxes</v>
      </c>
      <c r="E169" s="898">
        <f ca="1">+X48+C169/10000000000</f>
        <v>2.0282584636590301E-2</v>
      </c>
      <c r="F169" s="885">
        <f t="shared" ca="1" si="80"/>
        <v>8</v>
      </c>
      <c r="G169" s="890">
        <v>11</v>
      </c>
      <c r="H169" s="885" t="str">
        <f t="shared" ca="1" si="81"/>
        <v>Other Non-Depreciable Capital Costs</v>
      </c>
      <c r="I169" s="900">
        <f t="shared" ca="1" si="82"/>
        <v>2.9544401990271528E-3</v>
      </c>
      <c r="J169" s="881"/>
      <c r="K169" s="885" t="str">
        <f t="shared" ca="1" si="76"/>
        <v>Other Non-Depreciable Capital Costs</v>
      </c>
      <c r="L169" s="885"/>
      <c r="M169" s="898">
        <f t="shared" ca="1" si="83"/>
        <v>2.9544401990271528E-3</v>
      </c>
      <c r="N169" s="885" t="str">
        <f t="shared" ca="1" si="84"/>
        <v>Other Non-Depreciable Capital Costs</v>
      </c>
      <c r="O169" s="881"/>
      <c r="P169" s="881"/>
      <c r="Q169" s="881"/>
      <c r="R169" s="881"/>
      <c r="S169" s="881"/>
      <c r="T169" s="881"/>
      <c r="U169" s="881"/>
      <c r="V169" s="881"/>
      <c r="W169" s="881"/>
      <c r="X169" s="881"/>
      <c r="Y169" s="881"/>
      <c r="Z169" s="881"/>
      <c r="AA169" s="881"/>
      <c r="AB169" s="881"/>
      <c r="AC169" s="881"/>
      <c r="AD169" s="881"/>
      <c r="AE169" s="881"/>
      <c r="AF169" s="881"/>
      <c r="AG169" s="881"/>
      <c r="AH169" s="881"/>
      <c r="AI169" s="881"/>
      <c r="AJ169" s="881"/>
    </row>
    <row r="170" spans="1:36" x14ac:dyDescent="0.25">
      <c r="A170" s="881"/>
      <c r="B170" s="881"/>
      <c r="C170" s="881">
        <f t="shared" si="85"/>
        <v>12</v>
      </c>
      <c r="D170" s="885" t="str">
        <f>+S110</f>
        <v>Principal Payment</v>
      </c>
      <c r="E170" s="898">
        <f ca="1">+Y48+C170/10000000000</f>
        <v>5.2843262235065707E-3</v>
      </c>
      <c r="F170" s="885">
        <f t="shared" ca="1" si="80"/>
        <v>10</v>
      </c>
      <c r="G170" s="890">
        <v>12</v>
      </c>
      <c r="H170" s="885" t="str">
        <f t="shared" ca="1" si="81"/>
        <v>Decommissioning Costs</v>
      </c>
      <c r="I170" s="900">
        <f t="shared" ca="1" si="82"/>
        <v>1.9415742333874339E-3</v>
      </c>
      <c r="J170" s="881"/>
      <c r="K170" s="885" t="str">
        <f t="shared" ca="1" si="76"/>
        <v>Decommissioning Costs</v>
      </c>
      <c r="L170" s="885"/>
      <c r="M170" s="898">
        <f t="shared" ca="1" si="83"/>
        <v>1.9415742333874339E-3</v>
      </c>
      <c r="N170" s="885" t="str">
        <f t="shared" ca="1" si="84"/>
        <v>Decommissioning Costs</v>
      </c>
      <c r="O170" s="881"/>
      <c r="P170" s="881"/>
      <c r="Q170" s="881"/>
      <c r="R170" s="881"/>
      <c r="S170" s="881"/>
      <c r="T170" s="881"/>
      <c r="U170" s="881"/>
      <c r="V170" s="881"/>
      <c r="W170" s="881"/>
      <c r="X170" s="881"/>
      <c r="Y170" s="881"/>
      <c r="Z170" s="881"/>
      <c r="AA170" s="881"/>
      <c r="AB170" s="881"/>
      <c r="AC170" s="881"/>
      <c r="AD170" s="881"/>
      <c r="AE170" s="881"/>
      <c r="AF170" s="881"/>
      <c r="AG170" s="881"/>
      <c r="AH170" s="881"/>
      <c r="AI170" s="881"/>
      <c r="AJ170" s="881"/>
    </row>
    <row r="171" spans="1:36" x14ac:dyDescent="0.25">
      <c r="A171" s="881"/>
      <c r="B171" s="881"/>
      <c r="C171" s="881"/>
      <c r="D171" s="881"/>
      <c r="E171" s="881"/>
      <c r="F171" s="881"/>
      <c r="G171" s="881"/>
      <c r="H171" s="883"/>
      <c r="I171" s="881"/>
      <c r="J171" s="881"/>
      <c r="K171" s="884" t="s">
        <v>55</v>
      </c>
      <c r="L171" s="898">
        <f ca="1">+SUM(L155:L170)</f>
        <v>1.8575749975117164</v>
      </c>
      <c r="M171" s="898">
        <f ca="1">+SUM(M155:M170)</f>
        <v>1.8575749975117151</v>
      </c>
      <c r="N171" s="885" t="str">
        <f t="shared" ref="N171" ca="1" si="86">+IF(M171&lt;0.01,K171,"")</f>
        <v/>
      </c>
      <c r="O171" s="881"/>
      <c r="P171" s="881"/>
      <c r="Q171" s="881"/>
      <c r="R171" s="881"/>
      <c r="S171" s="881"/>
      <c r="T171" s="881"/>
      <c r="U171" s="881"/>
      <c r="V171" s="881"/>
      <c r="W171" s="881"/>
      <c r="X171" s="881"/>
      <c r="Y171" s="881"/>
      <c r="Z171" s="881"/>
      <c r="AA171" s="881"/>
      <c r="AB171" s="881"/>
      <c r="AC171" s="881"/>
      <c r="AD171" s="881"/>
      <c r="AE171" s="881"/>
      <c r="AF171" s="881"/>
      <c r="AG171" s="881"/>
      <c r="AH171" s="881"/>
      <c r="AI171" s="881"/>
      <c r="AJ171" s="881"/>
    </row>
    <row r="172" spans="1:36" x14ac:dyDescent="0.25">
      <c r="A172" s="881"/>
      <c r="B172" s="881"/>
      <c r="C172" s="881"/>
      <c r="E172" s="881"/>
      <c r="F172" s="881"/>
      <c r="G172" s="881"/>
      <c r="H172" s="881"/>
      <c r="I172" s="881"/>
      <c r="J172" s="881"/>
      <c r="K172" s="881"/>
      <c r="L172" s="881"/>
      <c r="M172" s="881"/>
      <c r="N172" s="881"/>
      <c r="O172" s="881"/>
      <c r="P172" s="881"/>
      <c r="Q172" s="881"/>
      <c r="R172" s="881"/>
      <c r="S172" s="881"/>
      <c r="T172" s="881"/>
      <c r="U172" s="881"/>
      <c r="V172" s="881"/>
      <c r="W172" s="881"/>
      <c r="X172" s="881"/>
      <c r="Y172" s="881"/>
      <c r="Z172" s="881"/>
      <c r="AA172" s="881"/>
      <c r="AB172" s="881"/>
      <c r="AC172" s="881"/>
      <c r="AD172" s="881"/>
      <c r="AE172" s="881"/>
      <c r="AF172" s="881"/>
      <c r="AG172" s="881"/>
      <c r="AH172" s="881"/>
      <c r="AI172" s="881"/>
      <c r="AJ172" s="881"/>
    </row>
    <row r="173" spans="1:36" x14ac:dyDescent="0.25">
      <c r="A173" s="881"/>
      <c r="B173" s="881"/>
      <c r="C173" s="881"/>
      <c r="D173" s="881"/>
      <c r="E173" s="881"/>
      <c r="F173" s="881"/>
      <c r="G173" s="881"/>
      <c r="H173" s="881"/>
      <c r="I173" s="881"/>
      <c r="J173" s="881"/>
      <c r="K173" s="881"/>
      <c r="L173" s="881"/>
      <c r="M173" s="881"/>
      <c r="N173" s="881"/>
      <c r="O173" s="881"/>
      <c r="P173" s="881"/>
      <c r="Q173" s="881"/>
      <c r="R173" s="881"/>
      <c r="S173" s="881"/>
      <c r="T173" s="881"/>
      <c r="U173" s="881"/>
      <c r="V173" s="881"/>
      <c r="W173" s="881"/>
      <c r="X173" s="881"/>
      <c r="Y173" s="881"/>
      <c r="Z173" s="881"/>
      <c r="AA173" s="881"/>
      <c r="AB173" s="881"/>
      <c r="AC173" s="881"/>
      <c r="AD173" s="881"/>
      <c r="AE173" s="881"/>
      <c r="AF173" s="881"/>
      <c r="AG173" s="881"/>
      <c r="AH173" s="881"/>
      <c r="AI173" s="881"/>
      <c r="AJ173" s="881"/>
    </row>
    <row r="174" spans="1:36" x14ac:dyDescent="0.25">
      <c r="A174" s="881"/>
      <c r="B174" s="883" t="s">
        <v>1155</v>
      </c>
      <c r="C174" s="881"/>
      <c r="D174" s="882" t="s">
        <v>1167</v>
      </c>
      <c r="E174" s="882" t="s">
        <v>1165</v>
      </c>
      <c r="F174" s="882" t="s">
        <v>1168</v>
      </c>
      <c r="G174" s="882" t="s">
        <v>1166</v>
      </c>
      <c r="H174" s="881"/>
      <c r="I174" s="881"/>
      <c r="J174" s="881"/>
      <c r="K174" s="881"/>
      <c r="L174" s="881"/>
      <c r="M174" s="882"/>
      <c r="N174" s="882"/>
      <c r="O174" s="881"/>
      <c r="P174" s="881"/>
      <c r="Q174" s="881"/>
      <c r="R174" s="881"/>
      <c r="S174" s="881"/>
      <c r="T174" s="881"/>
      <c r="U174" s="881"/>
      <c r="V174" s="881"/>
      <c r="W174" s="881"/>
      <c r="X174" s="881"/>
      <c r="Y174" s="881"/>
      <c r="Z174" s="881"/>
      <c r="AA174" s="881"/>
      <c r="AB174" s="881"/>
      <c r="AC174" s="881"/>
      <c r="AD174" s="881"/>
      <c r="AE174" s="881"/>
      <c r="AF174" s="881"/>
      <c r="AG174" s="881"/>
      <c r="AH174" s="881"/>
      <c r="AI174" s="881"/>
      <c r="AJ174" s="881"/>
    </row>
    <row r="175" spans="1:36" x14ac:dyDescent="0.25">
      <c r="A175" s="881"/>
      <c r="B175">
        <v>0</v>
      </c>
      <c r="C175" s="884" t="s">
        <v>1156</v>
      </c>
      <c r="D175" s="898">
        <f>+K51</f>
        <v>1.9389370275971565</v>
      </c>
      <c r="E175" s="898">
        <f>+D175</f>
        <v>1.9389370275971565</v>
      </c>
      <c r="F175" s="898"/>
      <c r="G175" s="898"/>
      <c r="H175" s="881"/>
      <c r="I175" s="881"/>
      <c r="J175" s="881"/>
      <c r="K175" s="881"/>
      <c r="L175" s="881"/>
      <c r="M175" s="1010"/>
      <c r="N175" s="1010"/>
      <c r="O175" s="881"/>
      <c r="P175" s="881"/>
      <c r="Q175" s="881"/>
      <c r="R175" s="881"/>
      <c r="S175" s="881"/>
      <c r="T175" s="881"/>
      <c r="U175" s="881"/>
      <c r="V175" s="881"/>
      <c r="W175" s="881"/>
      <c r="X175" s="881"/>
      <c r="Y175" s="881"/>
      <c r="Z175" s="881"/>
      <c r="AA175" s="881"/>
      <c r="AB175" s="881"/>
      <c r="AC175" s="881"/>
      <c r="AD175" s="881"/>
      <c r="AE175" s="881"/>
      <c r="AF175" s="881"/>
      <c r="AG175" s="881"/>
      <c r="AH175" s="881"/>
      <c r="AI175" s="881"/>
      <c r="AJ175" s="881"/>
    </row>
    <row r="176" spans="1:36" x14ac:dyDescent="0.25">
      <c r="A176" s="881"/>
      <c r="B176" s="881">
        <v>1</v>
      </c>
      <c r="C176" s="885" t="str">
        <f ca="1">OFFSET($B$50,0,MATCH($B176,$C$72:$I$72,0))&amp;
IF(OFFSET($F$2,MATCH($B176,$C$72:$I$72,0),0)&lt;1,
"
= "&amp;OFFSET($F$2,MATCH($B176,$C$72:$I$72,0),0)*100-100,
"
= +"&amp;OFFSET($F$2,MATCH($B176,$C$72:$I$72,0),0)*100-100)
&amp;"%"</f>
        <v>Operating capacity factor
= +5%</v>
      </c>
      <c r="D176" s="898">
        <f>+K66</f>
        <v>1.9030958301354877</v>
      </c>
      <c r="E176" s="898">
        <f t="shared" ref="E176:E181" si="87">+E175+G175-F176</f>
        <v>1.9030958301354877</v>
      </c>
      <c r="F176" s="898">
        <f>+MAX(D175-D176,0)</f>
        <v>3.5841197461668806E-2</v>
      </c>
      <c r="G176" s="898">
        <f>+MAX(D176-D175,0)</f>
        <v>0</v>
      </c>
      <c r="H176" s="881"/>
      <c r="I176" s="881"/>
      <c r="J176" s="881"/>
      <c r="K176" s="881"/>
      <c r="L176" s="881"/>
      <c r="M176" s="1010"/>
      <c r="N176" s="1010"/>
      <c r="O176" s="881"/>
      <c r="P176" s="881"/>
      <c r="Q176" s="881"/>
      <c r="R176" s="881"/>
      <c r="S176" s="881"/>
      <c r="T176" s="881"/>
      <c r="U176" s="881"/>
      <c r="V176" s="881"/>
      <c r="W176" s="881"/>
      <c r="X176" s="881"/>
      <c r="Y176" s="881"/>
      <c r="Z176" s="881"/>
      <c r="AA176" s="881"/>
      <c r="AB176" s="881"/>
      <c r="AC176" s="881"/>
      <c r="AD176" s="881"/>
      <c r="AE176" s="881"/>
      <c r="AF176" s="881"/>
      <c r="AG176" s="881"/>
      <c r="AH176" s="881"/>
      <c r="AI176" s="881"/>
      <c r="AJ176" s="881"/>
    </row>
    <row r="177" spans="1:36" x14ac:dyDescent="0.25">
      <c r="A177" s="881"/>
      <c r="B177" s="881">
        <v>2</v>
      </c>
      <c r="C177" s="885" t="str">
        <f ca="1">OFFSET($B$50,0,MATCH($B177,$C$72:$I$72,0))&amp;
IF(OFFSET($F$2,MATCH($B177,$C$72:$I$72,0),0)&lt;1,
"
= "&amp;OFFSET($F$2,MATCH($B177,$C$72:$I$72,0),0)*100-100,
"
= +"&amp;OFFSET($F$2,MATCH($B177,$C$72:$I$72,0),0)*100-100)
&amp;"%"</f>
        <v>Total capital investment ($)
= -5%</v>
      </c>
      <c r="D177" s="898">
        <f>+K67</f>
        <v>1.8824912321492788</v>
      </c>
      <c r="E177" s="898">
        <f t="shared" si="87"/>
        <v>1.8824912321492788</v>
      </c>
      <c r="F177" s="898">
        <f>+MAX(D176-D177,0)</f>
        <v>2.0604597986208839E-2</v>
      </c>
      <c r="G177" s="898">
        <f>+MAX(D177-D176,0)</f>
        <v>0</v>
      </c>
      <c r="H177" s="881"/>
      <c r="I177" s="881"/>
      <c r="J177" s="881"/>
      <c r="K177" s="881"/>
      <c r="L177" s="881"/>
      <c r="M177" s="1010"/>
      <c r="N177" s="1010"/>
      <c r="O177" s="881"/>
      <c r="P177" s="881"/>
      <c r="Q177" s="881"/>
      <c r="R177" s="881"/>
      <c r="S177" s="881"/>
      <c r="T177" s="881"/>
      <c r="U177" s="881"/>
      <c r="V177" s="881"/>
      <c r="W177" s="881"/>
      <c r="X177" s="881"/>
      <c r="Y177" s="881"/>
      <c r="Z177" s="881"/>
      <c r="AA177" s="881"/>
      <c r="AB177" s="881"/>
      <c r="AC177" s="881"/>
      <c r="AD177" s="881"/>
      <c r="AE177" s="881"/>
      <c r="AF177" s="881"/>
      <c r="AG177" s="881"/>
      <c r="AH177" s="881"/>
      <c r="AI177" s="881"/>
      <c r="AJ177" s="881"/>
    </row>
    <row r="178" spans="1:36" x14ac:dyDescent="0.25">
      <c r="A178" s="881"/>
      <c r="B178" s="881">
        <v>3</v>
      </c>
      <c r="C178" s="885" t="str">
        <f ca="1">OFFSET($B$50,0,MATCH($B178,$C$72:$I$72,0))&amp;
IF(OFFSET($F$2,MATCH($B178,$C$72:$I$72,0),0)&lt;1,
"
= "&amp;OFFSET($F$2,MATCH($B178,$C$72:$I$72,0),0)*100-100,
"
= +"&amp;OFFSET($F$2,MATCH($B178,$C$72:$I$72,0),0)*100-100)
&amp;"%"</f>
        <v>Total fixed operating cost ($/year)
= -5%</v>
      </c>
      <c r="D178" s="898">
        <f>+K68</f>
        <v>1.8727547549961832</v>
      </c>
      <c r="E178" s="898">
        <f t="shared" si="87"/>
        <v>1.8727547549961832</v>
      </c>
      <c r="F178" s="898">
        <f>+MAX(D177-D178,0)</f>
        <v>9.7364771530956684E-3</v>
      </c>
      <c r="G178" s="898">
        <f>+MAX(D178-D177,0)</f>
        <v>0</v>
      </c>
      <c r="H178" s="881"/>
      <c r="I178" s="881"/>
      <c r="J178" s="881"/>
      <c r="K178" s="881"/>
      <c r="L178" s="881"/>
      <c r="M178" s="1010"/>
      <c r="N178" s="1010"/>
      <c r="O178" s="881"/>
      <c r="P178" s="881"/>
      <c r="Q178" s="881"/>
      <c r="R178" s="881"/>
      <c r="S178" s="881"/>
      <c r="T178" s="881"/>
      <c r="U178" s="881"/>
      <c r="V178" s="881"/>
      <c r="W178" s="881"/>
      <c r="X178" s="881"/>
      <c r="Y178" s="881"/>
      <c r="Z178" s="881"/>
      <c r="AA178" s="881"/>
      <c r="AB178" s="881"/>
      <c r="AC178" s="881"/>
      <c r="AD178" s="881"/>
      <c r="AE178" s="881"/>
      <c r="AF178" s="881"/>
      <c r="AG178" s="881"/>
      <c r="AH178" s="881"/>
      <c r="AI178" s="881"/>
      <c r="AJ178" s="881"/>
    </row>
    <row r="179" spans="1:36" x14ac:dyDescent="0.25">
      <c r="A179" s="881"/>
      <c r="B179" s="881">
        <v>4</v>
      </c>
      <c r="C179" s="885" t="e">
        <f ca="1">OFFSET($B$50,0,MATCH($B179,$C$72:$I$72,0))&amp;
IF(OFFSET($F$2,MATCH($B179,$C$72:$I$72,0),0)&lt;1,
"
= "&amp;OFFSET($F$2,MATCH($B179,$C$72:$I$72,0),0)*100-100,
"
= +"&amp;OFFSET($F$2,MATCH($B179,$C$72:$I$72,0),0)*100-100)
&amp;"%"</f>
        <v>#N/A</v>
      </c>
      <c r="D179" s="898">
        <f>+K69</f>
        <v>1.8727547549961832</v>
      </c>
      <c r="E179" s="898">
        <f t="shared" si="87"/>
        <v>1.8727547549961832</v>
      </c>
      <c r="F179" s="898">
        <f>+MAX(D178-D179,0)</f>
        <v>0</v>
      </c>
      <c r="G179" s="898">
        <f>+MAX(D179-D178,0)</f>
        <v>0</v>
      </c>
      <c r="H179" s="881"/>
      <c r="I179" s="881"/>
      <c r="J179" s="881"/>
      <c r="K179" s="881"/>
      <c r="L179" s="881"/>
      <c r="M179" s="1010"/>
      <c r="N179" s="1010"/>
      <c r="O179" s="881"/>
      <c r="P179" s="881"/>
      <c r="Q179" s="881"/>
      <c r="R179" s="881"/>
      <c r="S179" s="881"/>
      <c r="T179" s="881"/>
      <c r="U179" s="881"/>
      <c r="V179" s="881"/>
      <c r="W179" s="881"/>
      <c r="X179" s="881"/>
      <c r="Y179" s="881"/>
      <c r="Z179" s="881"/>
      <c r="AA179" s="881"/>
      <c r="AB179" s="881"/>
      <c r="AC179" s="881"/>
      <c r="AD179" s="881"/>
      <c r="AE179" s="881"/>
      <c r="AF179" s="881"/>
      <c r="AG179" s="881"/>
      <c r="AH179" s="881"/>
      <c r="AI179" s="881"/>
      <c r="AJ179" s="881"/>
    </row>
    <row r="180" spans="1:36" x14ac:dyDescent="0.25">
      <c r="A180" s="881"/>
      <c r="B180" s="881">
        <v>5</v>
      </c>
      <c r="C180" s="885" t="str">
        <f ca="1">OFFSET($B$50,0,MATCH($B180,$C$72:$I$72,0))&amp;
IF(OFFSET($F$2,MATCH($B180,$C$72:$I$72,0),0)&lt;1,
"
= "&amp;OFFSET($F$2,MATCH($B180,$C$72:$I$72,0),0)*100-100,
"
= +"&amp;OFFSET($F$2,MATCH($B180,$C$72:$I$72,0),0)*100-100)
&amp;"%"</f>
        <v>Feedstock consumption (% of most likely value)
= -5%</v>
      </c>
      <c r="D180" s="898">
        <f>+K70</f>
        <v>1.8727547549961832</v>
      </c>
      <c r="E180" s="898">
        <f t="shared" si="87"/>
        <v>1.8727547549961832</v>
      </c>
      <c r="F180" s="898">
        <f>+MAX(D179-D180,0)</f>
        <v>0</v>
      </c>
      <c r="G180" s="898">
        <f>+MAX(D180-D179,0)</f>
        <v>0</v>
      </c>
      <c r="H180" s="881"/>
      <c r="I180" s="881"/>
      <c r="J180" s="881"/>
      <c r="K180" s="881"/>
      <c r="L180" s="881"/>
      <c r="M180" s="1010"/>
      <c r="N180" s="1010"/>
      <c r="O180" s="881"/>
      <c r="P180" s="881"/>
      <c r="Q180" s="881"/>
      <c r="R180" s="881"/>
      <c r="S180" s="881"/>
      <c r="T180" s="881"/>
      <c r="U180" s="881"/>
      <c r="V180" s="881"/>
      <c r="W180" s="881"/>
      <c r="X180" s="881"/>
      <c r="Y180" s="881"/>
      <c r="Z180" s="881"/>
      <c r="AA180" s="881"/>
      <c r="AB180" s="881"/>
      <c r="AC180" s="881"/>
      <c r="AD180" s="881"/>
      <c r="AE180" s="881"/>
      <c r="AF180" s="881"/>
      <c r="AG180" s="881"/>
      <c r="AH180" s="881"/>
      <c r="AI180" s="881"/>
      <c r="AJ180" s="881"/>
    </row>
    <row r="181" spans="1:36" x14ac:dyDescent="0.25">
      <c r="A181" s="881"/>
      <c r="B181" s="881">
        <v>6</v>
      </c>
      <c r="C181" s="884" t="s">
        <v>1163</v>
      </c>
      <c r="D181" s="898">
        <f>+K70</f>
        <v>1.8727547549961832</v>
      </c>
      <c r="E181" s="898">
        <f t="shared" si="87"/>
        <v>1.8727547549961832</v>
      </c>
      <c r="F181" s="898"/>
      <c r="G181" s="898"/>
      <c r="H181" s="881"/>
      <c r="I181" s="881"/>
      <c r="J181" s="881"/>
      <c r="K181" s="881"/>
      <c r="L181" s="881"/>
      <c r="M181" s="1010"/>
      <c r="N181" s="1010"/>
      <c r="O181" s="881"/>
      <c r="P181" s="881"/>
      <c r="Q181" s="881"/>
      <c r="R181" s="881"/>
      <c r="S181" s="881"/>
      <c r="T181" s="881"/>
      <c r="U181" s="881"/>
      <c r="V181" s="881"/>
      <c r="W181" s="881"/>
      <c r="X181" s="881"/>
      <c r="Y181" s="881"/>
      <c r="Z181" s="881"/>
      <c r="AA181" s="881"/>
      <c r="AB181" s="881"/>
      <c r="AC181" s="881"/>
      <c r="AD181" s="881"/>
      <c r="AE181" s="881"/>
      <c r="AF181" s="881"/>
      <c r="AG181" s="881"/>
      <c r="AH181" s="881"/>
      <c r="AI181" s="881"/>
      <c r="AJ181" s="881"/>
    </row>
    <row r="182" spans="1:36" x14ac:dyDescent="0.25">
      <c r="A182" s="881"/>
      <c r="B182" s="881"/>
      <c r="C182" s="881"/>
      <c r="D182" s="881"/>
      <c r="E182" s="881"/>
      <c r="F182" s="881"/>
      <c r="G182" s="881"/>
      <c r="H182" s="881"/>
      <c r="I182" s="881"/>
      <c r="J182" s="881"/>
      <c r="K182" s="881"/>
      <c r="L182" s="881"/>
      <c r="M182" s="881"/>
      <c r="N182" s="881"/>
      <c r="O182" s="881"/>
      <c r="P182" s="881"/>
      <c r="Q182" s="881"/>
      <c r="R182" s="881"/>
      <c r="S182" s="881"/>
      <c r="T182" s="881"/>
      <c r="U182" s="881"/>
      <c r="V182" s="881"/>
      <c r="W182" s="881"/>
      <c r="X182" s="881"/>
      <c r="Y182" s="881"/>
      <c r="Z182" s="881"/>
      <c r="AA182" s="881"/>
      <c r="AB182" s="881"/>
      <c r="AC182" s="881"/>
      <c r="AD182" s="881"/>
      <c r="AE182" s="881"/>
      <c r="AF182" s="881"/>
      <c r="AG182" s="881"/>
      <c r="AH182" s="881"/>
      <c r="AI182" s="881"/>
      <c r="AJ182" s="881"/>
    </row>
    <row r="183" spans="1:36" x14ac:dyDescent="0.25">
      <c r="A183" s="881"/>
      <c r="B183" s="881"/>
      <c r="C183" s="881"/>
      <c r="D183" s="881"/>
      <c r="E183" s="881"/>
      <c r="F183" s="881"/>
      <c r="G183" s="881"/>
      <c r="H183" s="881"/>
      <c r="I183" s="881"/>
      <c r="J183" s="881"/>
      <c r="K183" s="881"/>
      <c r="L183" s="881"/>
      <c r="M183" s="881"/>
      <c r="N183" s="881"/>
      <c r="O183" s="881"/>
      <c r="P183" s="881"/>
      <c r="Q183" s="881"/>
      <c r="R183" s="881"/>
      <c r="S183" s="881"/>
      <c r="T183" s="881"/>
      <c r="U183" s="881"/>
      <c r="V183" s="881"/>
      <c r="W183" s="881"/>
      <c r="X183" s="881"/>
      <c r="Y183" s="881"/>
      <c r="Z183" s="881"/>
      <c r="AA183" s="881"/>
      <c r="AB183" s="881"/>
      <c r="AC183" s="881"/>
      <c r="AD183" s="881"/>
      <c r="AE183" s="881"/>
      <c r="AF183" s="881"/>
      <c r="AG183" s="881"/>
      <c r="AH183" s="881"/>
      <c r="AI183" s="881"/>
      <c r="AJ183" s="881"/>
    </row>
    <row r="184" spans="1:36" x14ac:dyDescent="0.25">
      <c r="A184" s="881"/>
      <c r="B184" s="881"/>
      <c r="C184" s="881"/>
      <c r="D184" s="881"/>
      <c r="E184" s="881"/>
      <c r="F184" s="881"/>
      <c r="G184" s="881"/>
      <c r="H184" s="881"/>
      <c r="I184" s="881"/>
      <c r="J184" s="881"/>
      <c r="K184" s="881"/>
      <c r="L184" s="881"/>
      <c r="M184" s="881"/>
      <c r="N184" s="881"/>
      <c r="O184" s="881"/>
      <c r="P184" s="881"/>
      <c r="Q184" s="881"/>
      <c r="R184" s="881"/>
      <c r="S184" s="881"/>
      <c r="T184" s="881"/>
      <c r="U184" s="881"/>
      <c r="V184" s="881"/>
      <c r="W184" s="881"/>
      <c r="X184" s="881"/>
      <c r="Y184" s="881"/>
      <c r="Z184" s="881"/>
      <c r="AA184" s="881"/>
      <c r="AB184" s="881"/>
      <c r="AC184" s="881"/>
      <c r="AD184" s="881"/>
      <c r="AE184" s="881"/>
      <c r="AF184" s="881"/>
      <c r="AG184" s="881"/>
      <c r="AH184" s="881"/>
      <c r="AI184" s="881"/>
      <c r="AJ184" s="881"/>
    </row>
    <row r="185" spans="1:36" x14ac:dyDescent="0.25">
      <c r="A185" s="881"/>
      <c r="B185" s="881"/>
      <c r="C185" s="881"/>
      <c r="D185" s="881"/>
      <c r="E185" s="881"/>
      <c r="F185" s="881"/>
      <c r="G185" s="881"/>
      <c r="H185" s="881"/>
      <c r="I185" s="881"/>
      <c r="J185" s="881"/>
      <c r="K185" s="881"/>
      <c r="L185" s="881"/>
      <c r="M185" s="881"/>
      <c r="N185" s="881"/>
      <c r="O185" s="881"/>
      <c r="P185" s="881"/>
      <c r="Q185" s="881"/>
      <c r="R185" s="881"/>
      <c r="S185" s="881"/>
      <c r="T185" s="881"/>
      <c r="U185" s="881"/>
      <c r="V185" s="881"/>
      <c r="W185" s="881"/>
      <c r="X185" s="881"/>
      <c r="Y185" s="881"/>
      <c r="Z185" s="881"/>
      <c r="AA185" s="881"/>
      <c r="AB185" s="881"/>
      <c r="AC185" s="881"/>
      <c r="AD185" s="881"/>
      <c r="AE185" s="881"/>
      <c r="AF185" s="881"/>
      <c r="AG185" s="881"/>
      <c r="AH185" s="881"/>
      <c r="AI185" s="881"/>
      <c r="AJ185" s="881"/>
    </row>
    <row r="186" spans="1:36" x14ac:dyDescent="0.25">
      <c r="A186" s="881"/>
      <c r="B186" s="881"/>
      <c r="C186" s="881"/>
      <c r="D186" s="881"/>
      <c r="E186" s="881"/>
      <c r="F186" s="881"/>
      <c r="G186" s="881"/>
      <c r="H186" s="881"/>
      <c r="I186" s="881"/>
      <c r="J186" s="881"/>
      <c r="K186" s="881"/>
      <c r="L186" s="881"/>
      <c r="M186" s="881"/>
      <c r="N186" s="881"/>
      <c r="O186" s="881"/>
      <c r="P186" s="881"/>
      <c r="Q186" s="881"/>
      <c r="R186" s="881"/>
      <c r="S186" s="881"/>
      <c r="T186" s="881"/>
      <c r="U186" s="881"/>
      <c r="V186" s="881"/>
      <c r="W186" s="881"/>
      <c r="X186" s="881"/>
      <c r="Y186" s="881"/>
      <c r="Z186" s="881"/>
      <c r="AA186" s="881"/>
      <c r="AB186" s="881"/>
      <c r="AC186" s="881"/>
      <c r="AD186" s="881"/>
      <c r="AE186" s="881"/>
      <c r="AF186" s="881"/>
      <c r="AG186" s="881"/>
      <c r="AH186" s="881"/>
      <c r="AI186" s="881"/>
      <c r="AJ186" s="881"/>
    </row>
    <row r="187" spans="1:36" x14ac:dyDescent="0.25">
      <c r="A187" s="881"/>
      <c r="B187" s="881"/>
      <c r="C187" s="881"/>
      <c r="D187" s="881"/>
      <c r="E187" s="881"/>
      <c r="F187" s="881"/>
      <c r="G187" s="881"/>
      <c r="H187" s="881"/>
      <c r="I187" s="881"/>
      <c r="J187" s="881"/>
      <c r="K187" s="881"/>
      <c r="L187" s="881"/>
      <c r="M187" s="881"/>
      <c r="N187" s="881"/>
      <c r="O187" s="881"/>
      <c r="P187" s="881"/>
      <c r="Q187" s="881"/>
      <c r="R187" s="881"/>
      <c r="S187" s="881"/>
      <c r="T187" s="881"/>
      <c r="U187" s="881"/>
      <c r="V187" s="881"/>
      <c r="W187" s="881"/>
      <c r="X187" s="881"/>
      <c r="Y187" s="881"/>
      <c r="Z187" s="881"/>
      <c r="AA187" s="881"/>
      <c r="AB187" s="881"/>
      <c r="AC187" s="881"/>
      <c r="AD187" s="881"/>
      <c r="AE187" s="881"/>
      <c r="AF187" s="881"/>
      <c r="AG187" s="881"/>
      <c r="AH187" s="881"/>
      <c r="AI187" s="881"/>
      <c r="AJ187" s="881"/>
    </row>
    <row r="188" spans="1:36" x14ac:dyDescent="0.25">
      <c r="A188" s="881"/>
      <c r="B188" s="881"/>
      <c r="C188" s="881"/>
      <c r="D188" s="881"/>
      <c r="E188" s="881"/>
      <c r="F188" s="881"/>
      <c r="G188" s="881"/>
      <c r="H188" s="881"/>
      <c r="I188" s="881"/>
      <c r="J188" s="881"/>
      <c r="K188" s="881"/>
      <c r="L188" s="881"/>
      <c r="M188" s="881"/>
      <c r="N188" s="881"/>
      <c r="O188" s="881"/>
      <c r="P188" s="881"/>
      <c r="Q188" s="881"/>
      <c r="R188" s="881"/>
      <c r="S188" s="881"/>
      <c r="T188" s="881"/>
      <c r="U188" s="881"/>
      <c r="V188" s="881"/>
      <c r="W188" s="881"/>
      <c r="X188" s="881"/>
      <c r="Y188" s="881"/>
      <c r="Z188" s="881"/>
      <c r="AA188" s="881"/>
      <c r="AB188" s="881"/>
      <c r="AC188" s="881"/>
      <c r="AD188" s="881"/>
      <c r="AE188" s="881"/>
      <c r="AF188" s="881"/>
      <c r="AG188" s="881"/>
      <c r="AH188" s="881"/>
      <c r="AI188" s="881"/>
      <c r="AJ188" s="881"/>
    </row>
    <row r="189" spans="1:36" x14ac:dyDescent="0.25">
      <c r="A189" s="881"/>
      <c r="B189" s="1127" t="s">
        <v>1198</v>
      </c>
      <c r="C189" s="1128">
        <f>+MIN(F3:G3)</f>
        <v>0.95</v>
      </c>
      <c r="D189" s="1128">
        <f>+MIN(F4:G4)</f>
        <v>0.95</v>
      </c>
      <c r="E189" s="1128">
        <f>+MIN(F5:G5)</f>
        <v>0.95</v>
      </c>
      <c r="F189" s="1128">
        <f>+MIN(F6:G6)</f>
        <v>0.95</v>
      </c>
      <c r="G189" s="1128">
        <f>+MIN(F7:G7)</f>
        <v>0.95</v>
      </c>
      <c r="H189" s="1128">
        <f>+MIN(F8:G8)</f>
        <v>0.95</v>
      </c>
      <c r="I189" s="1128">
        <f>+MIN(F9:G9)</f>
        <v>0.95</v>
      </c>
      <c r="J189" s="881"/>
      <c r="K189" s="881"/>
      <c r="L189" s="881"/>
      <c r="M189" s="881"/>
      <c r="N189" s="881"/>
      <c r="O189" s="881"/>
      <c r="P189" s="881"/>
      <c r="Q189" s="881"/>
      <c r="R189" s="881"/>
      <c r="S189" s="881"/>
      <c r="T189" s="881"/>
      <c r="U189" s="881"/>
      <c r="V189" s="881"/>
      <c r="W189" s="881"/>
      <c r="X189" s="881"/>
      <c r="Y189" s="881"/>
      <c r="Z189" s="881"/>
      <c r="AA189" s="881"/>
      <c r="AB189" s="881"/>
      <c r="AC189" s="881"/>
      <c r="AD189" s="881"/>
      <c r="AE189" s="881"/>
      <c r="AF189" s="881"/>
      <c r="AG189" s="881"/>
      <c r="AH189" s="881"/>
      <c r="AI189" s="881"/>
      <c r="AJ189" s="881"/>
    </row>
    <row r="190" spans="1:36" x14ac:dyDescent="0.25">
      <c r="A190" s="881"/>
      <c r="B190" s="1127" t="s">
        <v>1200</v>
      </c>
      <c r="C190" s="1129">
        <v>1</v>
      </c>
      <c r="D190" s="1129">
        <v>1</v>
      </c>
      <c r="E190" s="1129">
        <v>1</v>
      </c>
      <c r="F190" s="1129">
        <v>1</v>
      </c>
      <c r="G190" s="1129">
        <v>1</v>
      </c>
      <c r="H190" s="1129">
        <v>1</v>
      </c>
      <c r="I190" s="1129">
        <v>1</v>
      </c>
      <c r="J190" s="881"/>
      <c r="K190" s="881"/>
      <c r="L190" s="881"/>
      <c r="M190" s="881"/>
      <c r="N190" s="881"/>
      <c r="O190" s="881"/>
      <c r="P190" s="881"/>
      <c r="Q190" s="881"/>
      <c r="R190" s="881"/>
      <c r="S190" s="881"/>
      <c r="T190" s="881"/>
      <c r="U190" s="881"/>
      <c r="V190" s="881"/>
      <c r="W190" s="881"/>
      <c r="X190" s="881"/>
      <c r="Y190" s="881"/>
      <c r="Z190" s="881"/>
      <c r="AA190" s="881"/>
      <c r="AB190" s="881"/>
      <c r="AC190" s="881"/>
      <c r="AD190" s="881"/>
      <c r="AE190" s="881"/>
      <c r="AF190" s="881"/>
      <c r="AG190" s="881"/>
      <c r="AH190" s="881"/>
      <c r="AI190" s="881"/>
      <c r="AJ190" s="881"/>
    </row>
    <row r="191" spans="1:36" x14ac:dyDescent="0.25">
      <c r="A191" s="881"/>
      <c r="B191" s="1127" t="s">
        <v>1199</v>
      </c>
      <c r="C191" s="1128">
        <f>+MAX(F3:G3)</f>
        <v>1.05</v>
      </c>
      <c r="D191" s="1128">
        <f>+MAX(F4:G4)</f>
        <v>1.05</v>
      </c>
      <c r="E191" s="1128">
        <f>+MAX(F5:G5)</f>
        <v>1.05</v>
      </c>
      <c r="F191" s="1128">
        <f>+MAX(F6:G6)</f>
        <v>1.05</v>
      </c>
      <c r="G191" s="1128">
        <f>+MAX(F7:G7)</f>
        <v>1.05</v>
      </c>
      <c r="H191" s="1128">
        <f>+MAX(F8:G8)</f>
        <v>1.05</v>
      </c>
      <c r="I191" s="1128">
        <f>+MAX(F9:G9)</f>
        <v>1.05</v>
      </c>
      <c r="J191" s="881"/>
      <c r="K191" s="881"/>
      <c r="L191" s="881"/>
      <c r="M191" s="881"/>
      <c r="N191" s="881"/>
      <c r="O191" s="881"/>
      <c r="P191" s="881"/>
      <c r="Q191" s="881"/>
      <c r="R191" s="881"/>
      <c r="S191" s="881"/>
      <c r="T191" s="881"/>
      <c r="U191" s="881"/>
      <c r="V191" s="881"/>
      <c r="W191" s="881"/>
      <c r="X191" s="881"/>
      <c r="Y191" s="881"/>
      <c r="Z191" s="881"/>
      <c r="AA191" s="881"/>
      <c r="AB191" s="881"/>
      <c r="AC191" s="881"/>
      <c r="AD191" s="881"/>
      <c r="AE191" s="881"/>
      <c r="AF191" s="881"/>
      <c r="AG191" s="881"/>
      <c r="AH191" s="881"/>
      <c r="AI191" s="881"/>
      <c r="AJ191" s="881"/>
    </row>
    <row r="192" spans="1:36" x14ac:dyDescent="0.25">
      <c r="A192" s="881"/>
      <c r="B192" s="881"/>
      <c r="C192" s="881"/>
      <c r="D192" s="881"/>
      <c r="E192" s="881"/>
      <c r="F192" s="881"/>
      <c r="G192" s="881"/>
      <c r="H192" s="881"/>
      <c r="I192" s="881"/>
      <c r="J192" s="881"/>
      <c r="K192" s="881"/>
      <c r="L192" s="881"/>
      <c r="M192" s="881"/>
      <c r="N192" s="881"/>
      <c r="O192" s="881"/>
      <c r="P192" s="881"/>
      <c r="Q192" s="881"/>
      <c r="R192" s="881"/>
      <c r="S192" s="881"/>
      <c r="T192" s="881"/>
      <c r="U192" s="881"/>
      <c r="V192" s="881"/>
      <c r="W192" s="881"/>
      <c r="X192" s="881"/>
      <c r="Y192" s="881"/>
      <c r="Z192" s="881"/>
      <c r="AA192" s="881"/>
      <c r="AB192" s="881"/>
      <c r="AC192" s="881"/>
      <c r="AD192" s="881"/>
      <c r="AE192" s="881"/>
      <c r="AF192" s="881"/>
      <c r="AG192" s="881"/>
      <c r="AH192" s="881"/>
      <c r="AI192" s="881"/>
      <c r="AJ192" s="881"/>
    </row>
    <row r="193" spans="1:36" x14ac:dyDescent="0.25">
      <c r="A193" s="881"/>
      <c r="B193" s="881"/>
      <c r="C193" s="881"/>
      <c r="D193" s="881"/>
      <c r="E193" s="881"/>
      <c r="F193" s="881"/>
      <c r="G193" s="881"/>
      <c r="H193" s="881"/>
      <c r="I193" s="881"/>
      <c r="J193" s="881"/>
      <c r="K193" s="881"/>
      <c r="L193" s="881"/>
      <c r="M193" s="881"/>
      <c r="N193" s="881"/>
      <c r="O193" s="881"/>
      <c r="P193" s="881"/>
      <c r="Q193" s="881"/>
      <c r="R193" s="881"/>
      <c r="S193" s="881"/>
      <c r="T193" s="881"/>
      <c r="U193" s="881"/>
      <c r="V193" s="881"/>
      <c r="W193" s="881"/>
      <c r="X193" s="881"/>
      <c r="Y193" s="881"/>
      <c r="Z193" s="881"/>
      <c r="AA193" s="881"/>
      <c r="AB193" s="881"/>
      <c r="AC193" s="881"/>
      <c r="AD193" s="881"/>
      <c r="AE193" s="881"/>
      <c r="AF193" s="881"/>
      <c r="AG193" s="881"/>
      <c r="AH193" s="881"/>
      <c r="AI193" s="881"/>
      <c r="AJ193" s="881"/>
    </row>
    <row r="194" spans="1:36" x14ac:dyDescent="0.25">
      <c r="A194" s="881"/>
      <c r="B194" s="882" t="s">
        <v>1206</v>
      </c>
      <c r="C194" s="881">
        <f>+MATCH(R12,C50:Y50,0)</f>
        <v>9</v>
      </c>
      <c r="D194" s="881"/>
      <c r="E194" s="881"/>
      <c r="F194" s="881"/>
      <c r="G194" s="881"/>
      <c r="H194" s="881"/>
      <c r="I194" s="881"/>
      <c r="J194" s="881"/>
      <c r="K194" s="881"/>
      <c r="L194" s="881"/>
      <c r="M194" s="881"/>
      <c r="N194" s="881"/>
      <c r="O194" s="881"/>
      <c r="P194" s="881"/>
      <c r="Q194" s="881"/>
      <c r="R194" s="881"/>
      <c r="S194" s="881"/>
      <c r="T194" s="881"/>
      <c r="U194" s="881"/>
      <c r="V194" s="881"/>
      <c r="W194" s="881"/>
      <c r="X194" s="881"/>
      <c r="Y194" s="881"/>
      <c r="Z194" s="881"/>
      <c r="AA194" s="881"/>
      <c r="AB194" s="881"/>
      <c r="AC194" s="881"/>
      <c r="AD194" s="881"/>
      <c r="AE194" s="881"/>
      <c r="AF194" s="881"/>
      <c r="AG194" s="881"/>
      <c r="AH194" s="881"/>
      <c r="AI194" s="881"/>
      <c r="AJ194" s="881"/>
    </row>
    <row r="195" spans="1:36" x14ac:dyDescent="0.25">
      <c r="A195" s="881"/>
      <c r="B195" s="882" t="s">
        <v>1202</v>
      </c>
      <c r="C195" s="881">
        <f ca="1">+MIN(OFFSET($B$251:$B$2250,0,C194))</f>
        <v>1.8798054527385941</v>
      </c>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row>
    <row r="196" spans="1:36" x14ac:dyDescent="0.25">
      <c r="A196" s="881"/>
      <c r="B196" s="882" t="s">
        <v>1207</v>
      </c>
      <c r="C196" s="881">
        <f ca="1">+MAX(OFFSET($B$251:$B$2250,0,C194))</f>
        <v>2.017528905300543</v>
      </c>
      <c r="D196" s="881"/>
      <c r="E196" s="881"/>
      <c r="F196" s="881"/>
      <c r="G196" s="881"/>
      <c r="H196" s="881"/>
      <c r="I196" s="881"/>
      <c r="J196" s="881"/>
      <c r="K196" s="881"/>
      <c r="L196" s="881"/>
      <c r="M196" s="881"/>
      <c r="N196" s="881"/>
      <c r="O196" s="881"/>
      <c r="P196" s="881"/>
      <c r="Q196" s="881"/>
      <c r="R196" s="881"/>
      <c r="S196" s="881"/>
      <c r="T196" s="881"/>
      <c r="U196" s="881"/>
      <c r="V196" s="881"/>
      <c r="W196" s="881"/>
      <c r="X196" s="881"/>
      <c r="Y196" s="881"/>
      <c r="Z196" s="881"/>
      <c r="AA196" s="881"/>
      <c r="AB196" s="881"/>
      <c r="AC196" s="881"/>
      <c r="AD196" s="881"/>
      <c r="AE196" s="881"/>
      <c r="AF196" s="881"/>
      <c r="AG196" s="881"/>
      <c r="AH196" s="881"/>
      <c r="AI196" s="881"/>
      <c r="AJ196" s="881"/>
    </row>
    <row r="197" spans="1:36" x14ac:dyDescent="0.25">
      <c r="A197" s="881"/>
      <c r="B197" s="882" t="s">
        <v>1209</v>
      </c>
      <c r="C197" s="881">
        <f ca="1">+C196-C195</f>
        <v>0.13772345256194884</v>
      </c>
      <c r="D197" s="881"/>
      <c r="E197" s="881"/>
      <c r="F197" s="881"/>
      <c r="G197" s="881"/>
      <c r="H197" s="881"/>
      <c r="I197" s="881"/>
      <c r="J197" s="881"/>
      <c r="K197" s="881"/>
      <c r="L197" s="881"/>
      <c r="M197" s="881"/>
      <c r="N197" s="881"/>
      <c r="O197" s="881"/>
      <c r="P197" s="881"/>
      <c r="Q197" s="881"/>
      <c r="R197" s="881"/>
      <c r="S197" s="881"/>
      <c r="T197" s="881"/>
      <c r="U197" s="881"/>
      <c r="V197" s="881"/>
      <c r="W197" s="881"/>
      <c r="X197" s="881"/>
      <c r="Y197" s="881"/>
      <c r="Z197" s="881"/>
      <c r="AA197" s="881"/>
      <c r="AB197" s="881"/>
      <c r="AC197" s="881"/>
      <c r="AD197" s="881"/>
      <c r="AE197" s="881"/>
      <c r="AF197" s="881"/>
      <c r="AG197" s="881"/>
      <c r="AH197" s="881"/>
      <c r="AI197" s="881"/>
      <c r="AJ197" s="881"/>
    </row>
    <row r="198" spans="1:36" x14ac:dyDescent="0.25">
      <c r="A198" s="881"/>
      <c r="B198" s="882" t="s">
        <v>1208</v>
      </c>
      <c r="C198" s="881">
        <f ca="1">+OFFSET(B199,0,C194)</f>
        <v>1</v>
      </c>
      <c r="D198" s="881"/>
      <c r="E198" s="881"/>
      <c r="F198" s="881"/>
      <c r="G198" s="881"/>
      <c r="H198" s="881"/>
      <c r="I198" s="881"/>
      <c r="J198" s="881"/>
      <c r="K198" s="881"/>
      <c r="L198" s="881"/>
      <c r="M198" s="881"/>
      <c r="N198" s="881"/>
      <c r="O198" s="881"/>
      <c r="P198" s="881"/>
      <c r="Q198" s="881"/>
      <c r="R198" s="881"/>
      <c r="S198" s="881"/>
      <c r="T198" s="881"/>
      <c r="U198" s="881"/>
      <c r="V198" s="881"/>
      <c r="W198" s="881"/>
      <c r="X198" s="881"/>
      <c r="Y198" s="881"/>
      <c r="Z198" s="881"/>
      <c r="AA198" s="881"/>
      <c r="AB198" s="881"/>
      <c r="AC198" s="881"/>
      <c r="AD198" s="881"/>
      <c r="AE198" s="881"/>
      <c r="AF198" s="881"/>
      <c r="AG198" s="881"/>
      <c r="AH198" s="881"/>
      <c r="AI198" s="881"/>
      <c r="AJ198" s="881"/>
    </row>
    <row r="199" spans="1:36" x14ac:dyDescent="0.25">
      <c r="A199" s="881"/>
      <c r="B199" s="882" t="s">
        <v>1208</v>
      </c>
      <c r="C199" s="1125">
        <f ca="1">+C3</f>
        <v>0.9</v>
      </c>
      <c r="D199" s="1132">
        <f ca="1">+C4</f>
        <v>483000</v>
      </c>
      <c r="E199" s="1125">
        <f ca="1">+C5</f>
        <v>0.08</v>
      </c>
      <c r="F199" s="1125">
        <f>+C6</f>
        <v>1</v>
      </c>
      <c r="G199" s="1125">
        <f>+C7</f>
        <v>1</v>
      </c>
      <c r="H199" s="1132">
        <f ca="1">+C8</f>
        <v>802844120.45236218</v>
      </c>
      <c r="I199" s="1132">
        <f ca="1">+C9</f>
        <v>32659076.205139719</v>
      </c>
      <c r="J199" s="881"/>
      <c r="K199" s="881">
        <v>1</v>
      </c>
      <c r="L199" s="881">
        <v>1</v>
      </c>
      <c r="M199" s="881">
        <v>1</v>
      </c>
      <c r="N199" s="881">
        <v>1</v>
      </c>
      <c r="O199" s="881">
        <v>1</v>
      </c>
      <c r="P199" s="881">
        <v>1</v>
      </c>
      <c r="Q199" s="881">
        <v>1</v>
      </c>
      <c r="R199" s="881">
        <v>1</v>
      </c>
      <c r="S199" s="881">
        <v>1</v>
      </c>
      <c r="T199" s="881">
        <v>1</v>
      </c>
      <c r="U199" s="881">
        <v>1</v>
      </c>
      <c r="V199" s="881">
        <v>1</v>
      </c>
      <c r="W199" s="881">
        <v>1</v>
      </c>
      <c r="X199" s="881">
        <v>1</v>
      </c>
      <c r="Y199" s="881"/>
      <c r="Z199" s="881"/>
      <c r="AA199" s="881"/>
      <c r="AB199" s="881"/>
      <c r="AC199" s="881"/>
      <c r="AD199" s="881"/>
      <c r="AE199" s="881"/>
      <c r="AF199" s="881"/>
      <c r="AG199" s="881"/>
      <c r="AH199" s="881"/>
      <c r="AI199" s="881"/>
      <c r="AJ199" s="881"/>
    </row>
    <row r="200" spans="1:36" x14ac:dyDescent="0.25">
      <c r="A200" s="881"/>
      <c r="B200" s="882" t="s">
        <v>1205</v>
      </c>
      <c r="C200" s="881"/>
      <c r="D200" s="881"/>
      <c r="E200" s="881"/>
      <c r="F200" s="881"/>
      <c r="G200" s="881"/>
      <c r="H200" s="881"/>
      <c r="I200" s="881"/>
      <c r="J200" s="881"/>
      <c r="K200" s="881"/>
      <c r="L200" s="881"/>
      <c r="M200" s="881"/>
      <c r="N200" s="881"/>
      <c r="O200" s="881"/>
      <c r="P200" s="881"/>
      <c r="Q200" s="881"/>
      <c r="R200" s="881"/>
      <c r="S200" s="881"/>
      <c r="T200" s="881"/>
      <c r="U200" s="881"/>
      <c r="V200" s="881"/>
      <c r="W200" s="881"/>
      <c r="X200" s="881"/>
      <c r="Y200" s="881"/>
      <c r="Z200" s="881"/>
      <c r="AA200" s="881"/>
      <c r="AB200" s="881"/>
      <c r="AC200" s="881"/>
      <c r="AD200" s="881"/>
      <c r="AE200" s="881"/>
      <c r="AF200" s="881"/>
      <c r="AG200" s="881"/>
      <c r="AH200" s="881"/>
      <c r="AI200" s="881"/>
      <c r="AJ200" s="881"/>
    </row>
    <row r="201" spans="1:36" x14ac:dyDescent="0.25">
      <c r="A201" s="881"/>
      <c r="B201" s="882" t="s">
        <v>1202</v>
      </c>
      <c r="C201" s="882" t="s">
        <v>1203</v>
      </c>
      <c r="D201" s="881"/>
      <c r="E201" s="882" t="s">
        <v>1210</v>
      </c>
      <c r="F201" s="882" t="s">
        <v>1211</v>
      </c>
      <c r="G201" s="882" t="s">
        <v>1212</v>
      </c>
      <c r="H201" s="882" t="s">
        <v>1213</v>
      </c>
      <c r="I201" s="882" t="s">
        <v>1214</v>
      </c>
      <c r="J201" s="881"/>
      <c r="K201" s="881"/>
      <c r="L201" s="881"/>
      <c r="M201" s="881"/>
      <c r="N201" s="881"/>
      <c r="O201" s="881"/>
      <c r="P201" s="881"/>
      <c r="Q201" s="881"/>
      <c r="R201" s="881"/>
      <c r="S201" s="881"/>
      <c r="T201" s="881"/>
      <c r="U201" s="881"/>
      <c r="V201" s="881"/>
      <c r="W201" s="881"/>
      <c r="X201" s="881"/>
      <c r="Y201" s="881"/>
      <c r="Z201" s="881"/>
      <c r="AA201" s="881"/>
      <c r="AB201" s="881"/>
      <c r="AC201" s="881"/>
      <c r="AD201" s="881"/>
      <c r="AE201" s="881"/>
      <c r="AF201" s="881"/>
      <c r="AG201" s="881"/>
      <c r="AH201" s="881"/>
      <c r="AI201" s="881"/>
      <c r="AJ201" s="881"/>
    </row>
    <row r="202" spans="1:36" x14ac:dyDescent="0.25">
      <c r="A202" s="881"/>
      <c r="B202" s="886">
        <f ca="1">+C195</f>
        <v>1.8798054527385941</v>
      </c>
      <c r="C202" s="1130">
        <f ca="1">+B202+($C$197/20)</f>
        <v>1.8866916253666917</v>
      </c>
      <c r="D202" s="881">
        <f t="shared" ref="D202:D221" ca="1" si="88">+COUNTIFS(OFFSET(B$251:B$2250,0,$C$194),"&gt;="&amp;$B202,
OFFSET(B$251:B$2250,0,$C$194),"&lt;="&amp;$C202)</f>
        <v>2</v>
      </c>
      <c r="E202" s="1133">
        <f ca="1">+B202*$C$198</f>
        <v>1.8798054527385941</v>
      </c>
      <c r="F202" s="1133">
        <f ca="1">+C202*$C$198</f>
        <v>1.8866916253666917</v>
      </c>
      <c r="G202" s="1132">
        <f ca="1">+AVERAGE(E202:F202)</f>
        <v>1.883248539052643</v>
      </c>
      <c r="H202" s="881">
        <f ca="1">+D202/$D$223</f>
        <v>1E-3</v>
      </c>
      <c r="I202" s="881">
        <f ca="1">+H202</f>
        <v>1E-3</v>
      </c>
      <c r="J202" s="881"/>
      <c r="K202" s="881"/>
      <c r="L202" s="881"/>
      <c r="M202" s="881"/>
      <c r="N202" s="881"/>
      <c r="O202" s="881"/>
      <c r="P202" s="881"/>
      <c r="Q202" s="881"/>
      <c r="R202" s="881"/>
      <c r="S202" s="881"/>
      <c r="T202" s="881"/>
      <c r="U202" s="881"/>
      <c r="V202" s="881"/>
      <c r="W202" s="881"/>
      <c r="X202" s="881"/>
      <c r="Y202" s="881"/>
      <c r="Z202" s="881"/>
      <c r="AA202" s="881"/>
      <c r="AB202" s="881"/>
      <c r="AC202" s="881"/>
      <c r="AD202" s="881"/>
      <c r="AE202" s="881"/>
      <c r="AF202" s="881"/>
      <c r="AG202" s="881"/>
      <c r="AH202" s="881"/>
      <c r="AI202" s="881"/>
      <c r="AJ202" s="881"/>
    </row>
    <row r="203" spans="1:36" x14ac:dyDescent="0.25">
      <c r="A203" s="881"/>
      <c r="B203" s="886">
        <f ca="1">+C202</f>
        <v>1.8866916253666917</v>
      </c>
      <c r="C203" s="1130">
        <f t="shared" ref="C203:C220" ca="1" si="89">+B203+($C$197/20)</f>
        <v>1.8935777979947892</v>
      </c>
      <c r="D203" s="881">
        <f t="shared" ca="1" si="88"/>
        <v>12</v>
      </c>
      <c r="E203" s="1133">
        <f t="shared" ref="E203:E221" ca="1" si="90">+B203*$C$198</f>
        <v>1.8866916253666917</v>
      </c>
      <c r="F203" s="1133">
        <f t="shared" ref="F203:F222" ca="1" si="91">+C203*$C$198</f>
        <v>1.8935777979947892</v>
      </c>
      <c r="G203" s="1132">
        <f t="shared" ref="G203:G222" ca="1" si="92">+AVERAGE(E203:F203)</f>
        <v>1.8901347116807403</v>
      </c>
      <c r="H203" s="881">
        <f t="shared" ref="H203:H221" ca="1" si="93">+D203/$D$223</f>
        <v>6.0000000000000001E-3</v>
      </c>
      <c r="I203" s="881">
        <f ca="1">+I202+H203</f>
        <v>7.0000000000000001E-3</v>
      </c>
      <c r="J203" s="881"/>
      <c r="K203" s="881"/>
      <c r="L203" s="881"/>
      <c r="M203" s="881"/>
      <c r="N203" s="881"/>
      <c r="O203" s="881"/>
      <c r="P203" s="881"/>
      <c r="Q203" s="881"/>
      <c r="R203" s="881"/>
      <c r="S203" s="881"/>
      <c r="T203" s="881"/>
      <c r="U203" s="881"/>
      <c r="V203" s="881"/>
      <c r="W203" s="881"/>
      <c r="X203" s="881"/>
      <c r="Y203" s="881"/>
      <c r="Z203" s="881"/>
      <c r="AA203" s="881"/>
      <c r="AB203" s="881"/>
      <c r="AC203" s="881"/>
      <c r="AD203" s="881"/>
      <c r="AE203" s="881"/>
      <c r="AF203" s="881"/>
      <c r="AG203" s="881"/>
      <c r="AH203" s="881"/>
      <c r="AI203" s="881"/>
      <c r="AJ203" s="881"/>
    </row>
    <row r="204" spans="1:36" x14ac:dyDescent="0.25">
      <c r="A204" s="881"/>
      <c r="B204" s="886">
        <f t="shared" ref="B204:B221" ca="1" si="94">+C203</f>
        <v>1.8935777979947892</v>
      </c>
      <c r="C204" s="1130">
        <f t="shared" ca="1" si="89"/>
        <v>1.9004639706228867</v>
      </c>
      <c r="D204" s="881">
        <f t="shared" ca="1" si="88"/>
        <v>22</v>
      </c>
      <c r="E204" s="1133">
        <f t="shared" ca="1" si="90"/>
        <v>1.8935777979947892</v>
      </c>
      <c r="F204" s="1133">
        <f t="shared" ca="1" si="91"/>
        <v>1.9004639706228867</v>
      </c>
      <c r="G204" s="1132">
        <f t="shared" ca="1" si="92"/>
        <v>1.8970208843088381</v>
      </c>
      <c r="H204" s="881">
        <f t="shared" ca="1" si="93"/>
        <v>1.0999999999999999E-2</v>
      </c>
      <c r="I204" s="881">
        <f t="shared" ref="I204:I221" ca="1" si="95">+I203+H204</f>
        <v>1.7999999999999999E-2</v>
      </c>
      <c r="J204" s="881"/>
      <c r="K204" s="881"/>
      <c r="L204" s="881"/>
      <c r="M204" s="881"/>
      <c r="N204" s="881"/>
      <c r="O204" s="881"/>
      <c r="P204" s="881"/>
      <c r="Q204" s="881"/>
      <c r="R204" s="881"/>
      <c r="S204" s="881"/>
      <c r="T204" s="881"/>
      <c r="U204" s="881"/>
      <c r="V204" s="881"/>
      <c r="W204" s="881"/>
      <c r="X204" s="881"/>
      <c r="Y204" s="881"/>
      <c r="Z204" s="881"/>
      <c r="AA204" s="881"/>
      <c r="AB204" s="881"/>
      <c r="AC204" s="881"/>
      <c r="AD204" s="881"/>
      <c r="AE204" s="881"/>
      <c r="AF204" s="881"/>
      <c r="AG204" s="881"/>
      <c r="AH204" s="881"/>
      <c r="AI204" s="881"/>
      <c r="AJ204" s="881"/>
    </row>
    <row r="205" spans="1:36" x14ac:dyDescent="0.25">
      <c r="A205" s="881"/>
      <c r="B205" s="886">
        <f t="shared" ca="1" si="94"/>
        <v>1.9004639706228867</v>
      </c>
      <c r="C205" s="1130">
        <f t="shared" ca="1" si="89"/>
        <v>1.9073501432509843</v>
      </c>
      <c r="D205" s="881">
        <f t="shared" ca="1" si="88"/>
        <v>66</v>
      </c>
      <c r="E205" s="1133">
        <f t="shared" ca="1" si="90"/>
        <v>1.9004639706228867</v>
      </c>
      <c r="F205" s="1133">
        <f t="shared" ca="1" si="91"/>
        <v>1.9073501432509843</v>
      </c>
      <c r="G205" s="1132">
        <f t="shared" ca="1" si="92"/>
        <v>1.9039070569369354</v>
      </c>
      <c r="H205" s="881">
        <f t="shared" ca="1" si="93"/>
        <v>3.3000000000000002E-2</v>
      </c>
      <c r="I205" s="881">
        <f t="shared" ca="1" si="95"/>
        <v>5.1000000000000004E-2</v>
      </c>
      <c r="J205" s="881"/>
      <c r="K205" s="881"/>
      <c r="L205" s="881"/>
      <c r="M205" s="881"/>
      <c r="N205" s="881"/>
      <c r="O205" s="881"/>
      <c r="P205" s="881"/>
      <c r="Q205" s="881"/>
      <c r="R205" s="881"/>
      <c r="S205" s="881"/>
      <c r="T205" s="881"/>
      <c r="U205" s="881"/>
      <c r="V205" s="881"/>
      <c r="W205" s="881"/>
      <c r="X205" s="881"/>
      <c r="Y205" s="881"/>
      <c r="Z205" s="881"/>
      <c r="AA205" s="881"/>
      <c r="AB205" s="881"/>
      <c r="AC205" s="881"/>
      <c r="AD205" s="881"/>
      <c r="AE205" s="881"/>
      <c r="AF205" s="881"/>
      <c r="AG205" s="881"/>
      <c r="AH205" s="881"/>
      <c r="AI205" s="881"/>
      <c r="AJ205" s="881"/>
    </row>
    <row r="206" spans="1:36" x14ac:dyDescent="0.25">
      <c r="A206" s="881"/>
      <c r="B206" s="886">
        <f t="shared" ca="1" si="94"/>
        <v>1.9073501432509843</v>
      </c>
      <c r="C206" s="1130">
        <f t="shared" ca="1" si="89"/>
        <v>1.9142363158790818</v>
      </c>
      <c r="D206" s="881">
        <f t="shared" ca="1" si="88"/>
        <v>117</v>
      </c>
      <c r="E206" s="1133">
        <f t="shared" ca="1" si="90"/>
        <v>1.9073501432509843</v>
      </c>
      <c r="F206" s="1133">
        <f t="shared" ca="1" si="91"/>
        <v>1.9142363158790818</v>
      </c>
      <c r="G206" s="1132">
        <f t="shared" ca="1" si="92"/>
        <v>1.9107932295650332</v>
      </c>
      <c r="H206" s="881">
        <f t="shared" ca="1" si="93"/>
        <v>5.8500000000000003E-2</v>
      </c>
      <c r="I206" s="881">
        <f t="shared" ca="1" si="95"/>
        <v>0.10950000000000001</v>
      </c>
      <c r="J206" s="881"/>
      <c r="K206" s="881"/>
      <c r="L206" s="881"/>
      <c r="M206" s="881"/>
      <c r="N206" s="881"/>
      <c r="O206" s="881"/>
      <c r="P206" s="881"/>
      <c r="Q206" s="881"/>
      <c r="R206" s="881"/>
      <c r="S206" s="881"/>
      <c r="T206" s="881"/>
      <c r="U206" s="881"/>
      <c r="V206" s="881"/>
      <c r="W206" s="881"/>
      <c r="X206" s="881"/>
      <c r="Y206" s="881"/>
      <c r="Z206" s="881"/>
      <c r="AA206" s="881"/>
      <c r="AB206" s="881"/>
      <c r="AC206" s="881"/>
      <c r="AD206" s="881"/>
      <c r="AE206" s="881"/>
      <c r="AF206" s="881"/>
      <c r="AG206" s="881"/>
      <c r="AH206" s="881"/>
      <c r="AI206" s="881"/>
      <c r="AJ206" s="881"/>
    </row>
    <row r="207" spans="1:36" x14ac:dyDescent="0.25">
      <c r="A207" s="881"/>
      <c r="B207" s="886">
        <f t="shared" ca="1" si="94"/>
        <v>1.9142363158790818</v>
      </c>
      <c r="C207" s="1130">
        <f t="shared" ca="1" si="89"/>
        <v>1.9211224885071794</v>
      </c>
      <c r="D207" s="881">
        <f t="shared" ca="1" si="88"/>
        <v>141</v>
      </c>
      <c r="E207" s="1133">
        <f t="shared" ca="1" si="90"/>
        <v>1.9142363158790818</v>
      </c>
      <c r="F207" s="1133">
        <f t="shared" ca="1" si="91"/>
        <v>1.9211224885071794</v>
      </c>
      <c r="G207" s="1132">
        <f t="shared" ca="1" si="92"/>
        <v>1.9176794021931305</v>
      </c>
      <c r="H207" s="881">
        <f t="shared" ca="1" si="93"/>
        <v>7.0499999999999993E-2</v>
      </c>
      <c r="I207" s="881">
        <f t="shared" ca="1" si="95"/>
        <v>0.18</v>
      </c>
      <c r="J207" s="881"/>
      <c r="K207" s="881"/>
      <c r="L207" s="881"/>
      <c r="M207" s="881"/>
      <c r="N207" s="881"/>
      <c r="O207" s="881"/>
      <c r="P207" s="881"/>
      <c r="Q207" s="881"/>
      <c r="R207" s="881"/>
      <c r="S207" s="881"/>
      <c r="T207" s="881"/>
      <c r="U207" s="881"/>
      <c r="V207" s="881"/>
      <c r="W207" s="881"/>
      <c r="X207" s="881"/>
      <c r="Y207" s="881"/>
      <c r="Z207" s="881"/>
      <c r="AA207" s="881"/>
      <c r="AB207" s="881"/>
      <c r="AC207" s="881"/>
      <c r="AD207" s="881"/>
      <c r="AE207" s="881"/>
      <c r="AF207" s="881"/>
      <c r="AG207" s="881"/>
      <c r="AH207" s="881"/>
      <c r="AI207" s="881"/>
      <c r="AJ207" s="881"/>
    </row>
    <row r="208" spans="1:36" x14ac:dyDescent="0.25">
      <c r="A208" s="881"/>
      <c r="B208" s="886">
        <f t="shared" ca="1" si="94"/>
        <v>1.9211224885071794</v>
      </c>
      <c r="C208" s="1130">
        <f t="shared" ca="1" si="89"/>
        <v>1.9280086611352769</v>
      </c>
      <c r="D208" s="881">
        <f t="shared" ca="1" si="88"/>
        <v>224</v>
      </c>
      <c r="E208" s="1133">
        <f t="shared" ca="1" si="90"/>
        <v>1.9211224885071794</v>
      </c>
      <c r="F208" s="1133">
        <f t="shared" ca="1" si="91"/>
        <v>1.9280086611352769</v>
      </c>
      <c r="G208" s="1132">
        <f t="shared" ca="1" si="92"/>
        <v>1.9245655748212283</v>
      </c>
      <c r="H208" s="881">
        <f t="shared" ca="1" si="93"/>
        <v>0.112</v>
      </c>
      <c r="I208" s="881">
        <f t="shared" ca="1" si="95"/>
        <v>0.29199999999999998</v>
      </c>
      <c r="J208" s="881"/>
      <c r="K208" s="881"/>
      <c r="L208" s="881"/>
      <c r="M208" s="881"/>
      <c r="N208" s="881"/>
      <c r="O208" s="881"/>
      <c r="P208" s="881"/>
      <c r="Q208" s="881"/>
      <c r="R208" s="881"/>
      <c r="S208" s="881"/>
      <c r="T208" s="881"/>
      <c r="U208" s="881"/>
      <c r="V208" s="881"/>
      <c r="W208" s="881"/>
      <c r="X208" s="881"/>
      <c r="Y208" s="881"/>
      <c r="Z208" s="881"/>
      <c r="AA208" s="881"/>
      <c r="AB208" s="881"/>
      <c r="AC208" s="881"/>
      <c r="AD208" s="881"/>
      <c r="AE208" s="881"/>
      <c r="AF208" s="881"/>
      <c r="AG208" s="881"/>
      <c r="AH208" s="881"/>
      <c r="AI208" s="881"/>
      <c r="AJ208" s="881"/>
    </row>
    <row r="209" spans="1:36" x14ac:dyDescent="0.25">
      <c r="A209" s="881"/>
      <c r="B209" s="886">
        <f t="shared" ca="1" si="94"/>
        <v>1.9280086611352769</v>
      </c>
      <c r="C209" s="1130">
        <f t="shared" ca="1" si="89"/>
        <v>1.9348948337633745</v>
      </c>
      <c r="D209" s="881">
        <f t="shared" ca="1" si="88"/>
        <v>257</v>
      </c>
      <c r="E209" s="1133">
        <f t="shared" ca="1" si="90"/>
        <v>1.9280086611352769</v>
      </c>
      <c r="F209" s="1133">
        <f t="shared" ca="1" si="91"/>
        <v>1.9348948337633745</v>
      </c>
      <c r="G209" s="1132">
        <f t="shared" ca="1" si="92"/>
        <v>1.9314517474493256</v>
      </c>
      <c r="H209" s="881">
        <f t="shared" ca="1" si="93"/>
        <v>0.1285</v>
      </c>
      <c r="I209" s="881">
        <f t="shared" ca="1" si="95"/>
        <v>0.42049999999999998</v>
      </c>
      <c r="J209" s="881"/>
      <c r="K209" s="881"/>
      <c r="L209" s="881"/>
      <c r="M209" s="881"/>
      <c r="N209" s="881"/>
      <c r="O209" s="881"/>
      <c r="P209" s="881"/>
      <c r="Q209" s="881"/>
      <c r="R209" s="881"/>
      <c r="S209" s="881"/>
      <c r="T209" s="881"/>
      <c r="U209" s="881"/>
      <c r="V209" s="881"/>
      <c r="W209" s="881"/>
      <c r="X209" s="881"/>
      <c r="Y209" s="881"/>
      <c r="Z209" s="881"/>
      <c r="AA209" s="881"/>
      <c r="AB209" s="881"/>
      <c r="AC209" s="881"/>
      <c r="AD209" s="881"/>
      <c r="AE209" s="881"/>
      <c r="AF209" s="881"/>
      <c r="AG209" s="881"/>
      <c r="AH209" s="881"/>
      <c r="AI209" s="881"/>
      <c r="AJ209" s="881"/>
    </row>
    <row r="210" spans="1:36" x14ac:dyDescent="0.25">
      <c r="A210" s="881"/>
      <c r="B210" s="886">
        <f t="shared" ca="1" si="94"/>
        <v>1.9348948337633745</v>
      </c>
      <c r="C210" s="1130">
        <f t="shared" ca="1" si="89"/>
        <v>1.941781006391472</v>
      </c>
      <c r="D210" s="881">
        <f t="shared" ca="1" si="88"/>
        <v>263</v>
      </c>
      <c r="E210" s="1133">
        <f t="shared" ca="1" si="90"/>
        <v>1.9348948337633745</v>
      </c>
      <c r="F210" s="1133">
        <f t="shared" ca="1" si="91"/>
        <v>1.941781006391472</v>
      </c>
      <c r="G210" s="1132">
        <f t="shared" ca="1" si="92"/>
        <v>1.9383379200774233</v>
      </c>
      <c r="H210" s="881">
        <f t="shared" ca="1" si="93"/>
        <v>0.13150000000000001</v>
      </c>
      <c r="I210" s="881">
        <f t="shared" ca="1" si="95"/>
        <v>0.55200000000000005</v>
      </c>
      <c r="J210" s="881"/>
      <c r="K210" s="881"/>
      <c r="L210" s="881"/>
      <c r="M210" s="881"/>
      <c r="N210" s="881"/>
      <c r="O210" s="881"/>
      <c r="P210" s="881"/>
      <c r="Q210" s="881"/>
      <c r="R210" s="881"/>
      <c r="S210" s="881"/>
      <c r="T210" s="881"/>
      <c r="U210" s="881"/>
      <c r="V210" s="881"/>
      <c r="W210" s="881"/>
      <c r="X210" s="881"/>
      <c r="Y210" s="881"/>
      <c r="Z210" s="881"/>
      <c r="AA210" s="881"/>
      <c r="AB210" s="881"/>
      <c r="AC210" s="881"/>
      <c r="AD210" s="881"/>
      <c r="AE210" s="881"/>
      <c r="AF210" s="881"/>
      <c r="AG210" s="881"/>
      <c r="AH210" s="881"/>
      <c r="AI210" s="881"/>
      <c r="AJ210" s="881"/>
    </row>
    <row r="211" spans="1:36" x14ac:dyDescent="0.25">
      <c r="A211" s="881"/>
      <c r="B211" s="886">
        <f t="shared" ca="1" si="94"/>
        <v>1.941781006391472</v>
      </c>
      <c r="C211" s="1130">
        <f t="shared" ca="1" si="89"/>
        <v>1.9486671790195695</v>
      </c>
      <c r="D211" s="881">
        <f t="shared" ca="1" si="88"/>
        <v>251</v>
      </c>
      <c r="E211" s="1133">
        <f t="shared" ca="1" si="90"/>
        <v>1.941781006391472</v>
      </c>
      <c r="F211" s="1133">
        <f t="shared" ca="1" si="91"/>
        <v>1.9486671790195695</v>
      </c>
      <c r="G211" s="1132">
        <f t="shared" ca="1" si="92"/>
        <v>1.9452240927055207</v>
      </c>
      <c r="H211" s="881">
        <f t="shared" ca="1" si="93"/>
        <v>0.1255</v>
      </c>
      <c r="I211" s="881">
        <f t="shared" ca="1" si="95"/>
        <v>0.67749999999999999</v>
      </c>
      <c r="J211" s="881"/>
      <c r="K211" s="881"/>
      <c r="L211" s="881"/>
      <c r="M211" s="881"/>
      <c r="N211" s="881"/>
      <c r="O211" s="881"/>
      <c r="P211" s="881"/>
      <c r="Q211" s="881"/>
      <c r="R211" s="881"/>
      <c r="S211" s="881"/>
      <c r="T211" s="881"/>
      <c r="U211" s="881"/>
      <c r="V211" s="881"/>
      <c r="W211" s="881"/>
      <c r="X211" s="881"/>
      <c r="Y211" s="881"/>
      <c r="Z211" s="881"/>
      <c r="AA211" s="881"/>
      <c r="AB211" s="881"/>
      <c r="AC211" s="881"/>
      <c r="AD211" s="881"/>
      <c r="AE211" s="881"/>
      <c r="AF211" s="881"/>
      <c r="AG211" s="881"/>
      <c r="AH211" s="881"/>
      <c r="AI211" s="881"/>
      <c r="AJ211" s="881"/>
    </row>
    <row r="212" spans="1:36" x14ac:dyDescent="0.25">
      <c r="A212" s="881"/>
      <c r="B212" s="886">
        <f t="shared" ca="1" si="94"/>
        <v>1.9486671790195695</v>
      </c>
      <c r="C212" s="1130">
        <f t="shared" ca="1" si="89"/>
        <v>1.9555533516476671</v>
      </c>
      <c r="D212" s="881">
        <f t="shared" ca="1" si="88"/>
        <v>191</v>
      </c>
      <c r="E212" s="1133">
        <f t="shared" ca="1" si="90"/>
        <v>1.9486671790195695</v>
      </c>
      <c r="F212" s="1133">
        <f t="shared" ca="1" si="91"/>
        <v>1.9555533516476671</v>
      </c>
      <c r="G212" s="1132">
        <f t="shared" ca="1" si="92"/>
        <v>1.9521102653336184</v>
      </c>
      <c r="H212" s="881">
        <f t="shared" ca="1" si="93"/>
        <v>9.5500000000000002E-2</v>
      </c>
      <c r="I212" s="881">
        <f t="shared" ca="1" si="95"/>
        <v>0.77300000000000002</v>
      </c>
      <c r="J212" s="881"/>
      <c r="K212" s="881"/>
      <c r="L212" s="881"/>
      <c r="M212" s="881"/>
      <c r="N212" s="881"/>
      <c r="O212" s="881"/>
      <c r="P212" s="881"/>
      <c r="Q212" s="881"/>
      <c r="R212" s="881"/>
      <c r="S212" s="881"/>
      <c r="T212" s="881"/>
      <c r="U212" s="881"/>
      <c r="V212" s="881"/>
      <c r="W212" s="881"/>
      <c r="X212" s="881"/>
      <c r="Y212" s="881"/>
      <c r="Z212" s="881"/>
      <c r="AA212" s="881"/>
      <c r="AB212" s="881"/>
      <c r="AC212" s="881"/>
      <c r="AD212" s="881"/>
      <c r="AE212" s="881"/>
      <c r="AF212" s="881"/>
      <c r="AG212" s="881"/>
      <c r="AH212" s="881"/>
      <c r="AI212" s="881"/>
      <c r="AJ212" s="881"/>
    </row>
    <row r="213" spans="1:36" x14ac:dyDescent="0.25">
      <c r="A213" s="881"/>
      <c r="B213" s="886">
        <f t="shared" ca="1" si="94"/>
        <v>1.9555533516476671</v>
      </c>
      <c r="C213" s="1130">
        <f t="shared" ca="1" si="89"/>
        <v>1.9624395242757646</v>
      </c>
      <c r="D213" s="881">
        <f t="shared" ca="1" si="88"/>
        <v>168</v>
      </c>
      <c r="E213" s="1133">
        <f t="shared" ca="1" si="90"/>
        <v>1.9555533516476671</v>
      </c>
      <c r="F213" s="1133">
        <f t="shared" ca="1" si="91"/>
        <v>1.9624395242757646</v>
      </c>
      <c r="G213" s="1132">
        <f t="shared" ca="1" si="92"/>
        <v>1.9589964379617157</v>
      </c>
      <c r="H213" s="881">
        <f t="shared" ca="1" si="93"/>
        <v>8.4000000000000005E-2</v>
      </c>
      <c r="I213" s="881">
        <f t="shared" ca="1" si="95"/>
        <v>0.85699999999999998</v>
      </c>
      <c r="J213" s="881"/>
      <c r="K213" s="881"/>
      <c r="L213" s="881"/>
      <c r="M213" s="881"/>
      <c r="N213" s="881"/>
      <c r="O213" s="881"/>
      <c r="P213" s="881"/>
      <c r="Q213" s="881"/>
      <c r="R213" s="881"/>
      <c r="S213" s="881"/>
      <c r="T213" s="881"/>
      <c r="U213" s="881"/>
      <c r="V213" s="881"/>
      <c r="W213" s="881"/>
      <c r="X213" s="881"/>
      <c r="Y213" s="881"/>
      <c r="Z213" s="881"/>
      <c r="AA213" s="881"/>
      <c r="AB213" s="881"/>
      <c r="AC213" s="881"/>
      <c r="AD213" s="881"/>
      <c r="AE213" s="881"/>
      <c r="AF213" s="881"/>
      <c r="AG213" s="881"/>
      <c r="AH213" s="881"/>
      <c r="AI213" s="881"/>
      <c r="AJ213" s="881"/>
    </row>
    <row r="214" spans="1:36" x14ac:dyDescent="0.25">
      <c r="A214" s="881"/>
      <c r="B214" s="886">
        <f t="shared" ca="1" si="94"/>
        <v>1.9624395242757646</v>
      </c>
      <c r="C214" s="1130">
        <f t="shared" ca="1" si="89"/>
        <v>1.9693256969038622</v>
      </c>
      <c r="D214" s="881">
        <f t="shared" ca="1" si="88"/>
        <v>133</v>
      </c>
      <c r="E214" s="1133">
        <f t="shared" ca="1" si="90"/>
        <v>1.9624395242757646</v>
      </c>
      <c r="F214" s="1133">
        <f t="shared" ca="1" si="91"/>
        <v>1.9693256969038622</v>
      </c>
      <c r="G214" s="1132">
        <f t="shared" ca="1" si="92"/>
        <v>1.9658826105898135</v>
      </c>
      <c r="H214" s="881">
        <f t="shared" ca="1" si="93"/>
        <v>6.6500000000000004E-2</v>
      </c>
      <c r="I214" s="881">
        <f t="shared" ca="1" si="95"/>
        <v>0.92349999999999999</v>
      </c>
      <c r="J214" s="881"/>
      <c r="K214" s="881"/>
      <c r="L214" s="881"/>
      <c r="M214" s="881"/>
      <c r="N214" s="881"/>
      <c r="O214" s="881"/>
      <c r="P214" s="881"/>
      <c r="Q214" s="881"/>
      <c r="R214" s="881"/>
      <c r="S214" s="881"/>
      <c r="T214" s="881"/>
      <c r="U214" s="881"/>
      <c r="V214" s="881"/>
      <c r="W214" s="881"/>
      <c r="X214" s="881"/>
      <c r="Y214" s="881"/>
      <c r="Z214" s="881"/>
      <c r="AA214" s="881"/>
      <c r="AB214" s="881"/>
      <c r="AC214" s="881"/>
      <c r="AD214" s="881"/>
      <c r="AE214" s="881"/>
      <c r="AF214" s="881"/>
      <c r="AG214" s="881"/>
      <c r="AH214" s="881"/>
      <c r="AI214" s="881"/>
      <c r="AJ214" s="881"/>
    </row>
    <row r="215" spans="1:36" x14ac:dyDescent="0.25">
      <c r="A215" s="881"/>
      <c r="B215" s="886">
        <f t="shared" ca="1" si="94"/>
        <v>1.9693256969038622</v>
      </c>
      <c r="C215" s="1130">
        <f t="shared" ca="1" si="89"/>
        <v>1.9762118695319597</v>
      </c>
      <c r="D215" s="881">
        <f t="shared" ca="1" si="88"/>
        <v>76</v>
      </c>
      <c r="E215" s="1133">
        <f t="shared" ca="1" si="90"/>
        <v>1.9693256969038622</v>
      </c>
      <c r="F215" s="1133">
        <f t="shared" ca="1" si="91"/>
        <v>1.9762118695319597</v>
      </c>
      <c r="G215" s="1132">
        <f t="shared" ca="1" si="92"/>
        <v>1.9727687832179108</v>
      </c>
      <c r="H215" s="881">
        <f t="shared" ca="1" si="93"/>
        <v>3.7999999999999999E-2</v>
      </c>
      <c r="I215" s="881">
        <f t="shared" ca="1" si="95"/>
        <v>0.96150000000000002</v>
      </c>
      <c r="J215" s="881"/>
      <c r="K215" s="881"/>
      <c r="L215" s="881"/>
      <c r="M215" s="881"/>
      <c r="N215" s="881"/>
      <c r="O215" s="881"/>
      <c r="P215" s="881"/>
      <c r="Q215" s="881"/>
      <c r="R215" s="881"/>
      <c r="S215" s="881"/>
      <c r="T215" s="881"/>
      <c r="U215" s="881"/>
      <c r="V215" s="881"/>
      <c r="W215" s="881"/>
      <c r="X215" s="881"/>
      <c r="Y215" s="881"/>
      <c r="Z215" s="881"/>
      <c r="AA215" s="881"/>
      <c r="AB215" s="881"/>
      <c r="AC215" s="881"/>
      <c r="AD215" s="881"/>
      <c r="AE215" s="881"/>
      <c r="AF215" s="881"/>
      <c r="AG215" s="881"/>
      <c r="AH215" s="881"/>
      <c r="AI215" s="881"/>
      <c r="AJ215" s="881"/>
    </row>
    <row r="216" spans="1:36" x14ac:dyDescent="0.25">
      <c r="A216" s="881"/>
      <c r="B216" s="886">
        <f t="shared" ca="1" si="94"/>
        <v>1.9762118695319597</v>
      </c>
      <c r="C216" s="1130">
        <f t="shared" ca="1" si="89"/>
        <v>1.9830980421600573</v>
      </c>
      <c r="D216" s="881">
        <f t="shared" ca="1" si="88"/>
        <v>44</v>
      </c>
      <c r="E216" s="1133">
        <f t="shared" ca="1" si="90"/>
        <v>1.9762118695319597</v>
      </c>
      <c r="F216" s="1133">
        <f t="shared" ca="1" si="91"/>
        <v>1.9830980421600573</v>
      </c>
      <c r="G216" s="1132">
        <f t="shared" ca="1" si="92"/>
        <v>1.9796549558460086</v>
      </c>
      <c r="H216" s="881">
        <f t="shared" ca="1" si="93"/>
        <v>2.1999999999999999E-2</v>
      </c>
      <c r="I216" s="881">
        <f t="shared" ca="1" si="95"/>
        <v>0.98350000000000004</v>
      </c>
      <c r="J216" s="881"/>
      <c r="K216" s="881"/>
      <c r="L216" s="881"/>
      <c r="M216" s="881"/>
      <c r="N216" s="881"/>
      <c r="O216" s="881"/>
      <c r="P216" s="881"/>
      <c r="Q216" s="881"/>
      <c r="R216" s="881"/>
      <c r="S216" s="881"/>
      <c r="T216" s="881"/>
      <c r="U216" s="881"/>
      <c r="V216" s="881"/>
      <c r="W216" s="881"/>
      <c r="X216" s="881"/>
      <c r="Y216" s="881"/>
      <c r="Z216" s="881"/>
      <c r="AA216" s="881"/>
      <c r="AB216" s="881"/>
      <c r="AC216" s="881"/>
      <c r="AD216" s="881"/>
      <c r="AE216" s="881"/>
      <c r="AF216" s="881"/>
      <c r="AG216" s="881"/>
      <c r="AH216" s="881"/>
      <c r="AI216" s="881"/>
      <c r="AJ216" s="881"/>
    </row>
    <row r="217" spans="1:36" x14ac:dyDescent="0.25">
      <c r="A217" s="881"/>
      <c r="B217" s="886">
        <f t="shared" ca="1" si="94"/>
        <v>1.9830980421600573</v>
      </c>
      <c r="C217" s="1130">
        <f t="shared" ca="1" si="89"/>
        <v>1.9899842147881548</v>
      </c>
      <c r="D217" s="881">
        <f t="shared" ca="1" si="88"/>
        <v>19</v>
      </c>
      <c r="E217" s="1133">
        <f t="shared" ca="1" si="90"/>
        <v>1.9830980421600573</v>
      </c>
      <c r="F217" s="1133">
        <f t="shared" ca="1" si="91"/>
        <v>1.9899842147881548</v>
      </c>
      <c r="G217" s="1132">
        <f t="shared" ca="1" si="92"/>
        <v>1.9865411284741059</v>
      </c>
      <c r="H217" s="881">
        <f t="shared" ca="1" si="93"/>
        <v>9.4999999999999998E-3</v>
      </c>
      <c r="I217" s="881">
        <f t="shared" ca="1" si="95"/>
        <v>0.99299999999999999</v>
      </c>
      <c r="J217" s="881"/>
      <c r="K217" s="881"/>
      <c r="L217" s="881"/>
      <c r="M217" s="881"/>
      <c r="N217" s="881"/>
      <c r="O217" s="881"/>
      <c r="P217" s="881"/>
      <c r="Q217" s="881"/>
      <c r="R217" s="881"/>
      <c r="S217" s="881"/>
      <c r="T217" s="881"/>
      <c r="U217" s="881"/>
      <c r="V217" s="881"/>
      <c r="W217" s="881"/>
      <c r="X217" s="881"/>
      <c r="Y217" s="881"/>
      <c r="Z217" s="881"/>
      <c r="AA217" s="881"/>
      <c r="AB217" s="881"/>
      <c r="AC217" s="881"/>
      <c r="AD217" s="881"/>
      <c r="AE217" s="881"/>
      <c r="AF217" s="881"/>
      <c r="AG217" s="881"/>
      <c r="AH217" s="881"/>
      <c r="AI217" s="881"/>
      <c r="AJ217" s="881"/>
    </row>
    <row r="218" spans="1:36" x14ac:dyDescent="0.25">
      <c r="A218" s="881"/>
      <c r="B218" s="886">
        <f t="shared" ca="1" si="94"/>
        <v>1.9899842147881548</v>
      </c>
      <c r="C218" s="1130">
        <f t="shared" ca="1" si="89"/>
        <v>1.9968703874162523</v>
      </c>
      <c r="D218" s="881">
        <f t="shared" ca="1" si="88"/>
        <v>7</v>
      </c>
      <c r="E218" s="1133">
        <f t="shared" ca="1" si="90"/>
        <v>1.9899842147881548</v>
      </c>
      <c r="F218" s="1133">
        <f t="shared" ca="1" si="91"/>
        <v>1.9968703874162523</v>
      </c>
      <c r="G218" s="1132">
        <f t="shared" ca="1" si="92"/>
        <v>1.9934273011022037</v>
      </c>
      <c r="H218" s="881">
        <f t="shared" ca="1" si="93"/>
        <v>3.5000000000000001E-3</v>
      </c>
      <c r="I218" s="881">
        <f t="shared" ca="1" si="95"/>
        <v>0.99649999999999994</v>
      </c>
      <c r="J218" s="881"/>
      <c r="K218" s="881"/>
      <c r="L218" s="881"/>
      <c r="M218" s="881"/>
      <c r="N218" s="881"/>
      <c r="O218" s="881"/>
      <c r="P218" s="881"/>
      <c r="Q218" s="881"/>
      <c r="R218" s="881"/>
      <c r="S218" s="881"/>
      <c r="T218" s="881"/>
      <c r="U218" s="881"/>
      <c r="V218" s="881"/>
      <c r="W218" s="881"/>
      <c r="X218" s="881"/>
      <c r="Y218" s="881"/>
      <c r="Z218" s="881"/>
      <c r="AA218" s="881"/>
      <c r="AB218" s="881"/>
      <c r="AC218" s="881"/>
      <c r="AD218" s="881"/>
      <c r="AE218" s="881"/>
      <c r="AF218" s="881"/>
      <c r="AG218" s="881"/>
      <c r="AH218" s="881"/>
      <c r="AI218" s="881"/>
      <c r="AJ218" s="881"/>
    </row>
    <row r="219" spans="1:36" x14ac:dyDescent="0.25">
      <c r="A219" s="881"/>
      <c r="B219" s="886">
        <f t="shared" ca="1" si="94"/>
        <v>1.9968703874162523</v>
      </c>
      <c r="C219" s="1130">
        <f t="shared" ca="1" si="89"/>
        <v>2.0037565600443497</v>
      </c>
      <c r="D219" s="881">
        <f t="shared" ca="1" si="88"/>
        <v>6</v>
      </c>
      <c r="E219" s="1133">
        <f t="shared" ca="1" si="90"/>
        <v>1.9968703874162523</v>
      </c>
      <c r="F219" s="1133">
        <f t="shared" ca="1" si="91"/>
        <v>2.0037565600443497</v>
      </c>
      <c r="G219" s="1132">
        <f t="shared" ca="1" si="92"/>
        <v>2.000313473730301</v>
      </c>
      <c r="H219" s="881">
        <f t="shared" ca="1" si="93"/>
        <v>3.0000000000000001E-3</v>
      </c>
      <c r="I219" s="881">
        <f t="shared" ca="1" si="95"/>
        <v>0.99949999999999994</v>
      </c>
      <c r="J219" s="881"/>
      <c r="K219" s="881"/>
      <c r="L219" s="881"/>
      <c r="M219" s="881"/>
      <c r="N219" s="881"/>
      <c r="O219" s="881"/>
      <c r="P219" s="881"/>
      <c r="Q219" s="881"/>
      <c r="R219" s="881"/>
      <c r="S219" s="881"/>
      <c r="T219" s="881"/>
      <c r="U219" s="881"/>
      <c r="V219" s="881"/>
      <c r="W219" s="881"/>
      <c r="X219" s="881"/>
      <c r="Y219" s="881"/>
      <c r="Z219" s="881"/>
      <c r="AA219" s="881"/>
      <c r="AB219" s="881"/>
      <c r="AC219" s="881"/>
      <c r="AD219" s="881"/>
      <c r="AE219" s="881"/>
      <c r="AF219" s="881"/>
      <c r="AG219" s="881"/>
      <c r="AH219" s="881"/>
      <c r="AI219" s="881"/>
      <c r="AJ219" s="881"/>
    </row>
    <row r="220" spans="1:36" x14ac:dyDescent="0.25">
      <c r="A220" s="881"/>
      <c r="B220" s="886">
        <f t="shared" ca="1" si="94"/>
        <v>2.0037565600443497</v>
      </c>
      <c r="C220" s="1130">
        <f t="shared" ca="1" si="89"/>
        <v>2.010642732672447</v>
      </c>
      <c r="D220" s="881">
        <f t="shared" ca="1" si="88"/>
        <v>0</v>
      </c>
      <c r="E220" s="1133">
        <f t="shared" ca="1" si="90"/>
        <v>2.0037565600443497</v>
      </c>
      <c r="F220" s="1133">
        <f t="shared" ca="1" si="91"/>
        <v>2.010642732672447</v>
      </c>
      <c r="G220" s="1132">
        <f t="shared" ca="1" si="92"/>
        <v>2.0071996463583983</v>
      </c>
      <c r="H220" s="881">
        <f t="shared" ca="1" si="93"/>
        <v>0</v>
      </c>
      <c r="I220" s="881">
        <f t="shared" ca="1" si="95"/>
        <v>0.99949999999999994</v>
      </c>
      <c r="J220" s="881"/>
      <c r="K220" s="881"/>
      <c r="L220" s="881"/>
      <c r="M220" s="881"/>
      <c r="N220" s="881"/>
      <c r="O220" s="881"/>
      <c r="P220" s="881"/>
      <c r="Q220" s="881"/>
      <c r="R220" s="881"/>
      <c r="S220" s="881"/>
      <c r="T220" s="881"/>
      <c r="U220" s="881"/>
      <c r="V220" s="881"/>
      <c r="W220" s="881"/>
      <c r="X220" s="881"/>
      <c r="Y220" s="881"/>
      <c r="Z220" s="881"/>
      <c r="AA220" s="881"/>
      <c r="AB220" s="881"/>
      <c r="AC220" s="881"/>
      <c r="AD220" s="881"/>
      <c r="AE220" s="881"/>
      <c r="AF220" s="881"/>
      <c r="AG220" s="881"/>
      <c r="AH220" s="881"/>
      <c r="AI220" s="881"/>
      <c r="AJ220" s="881"/>
    </row>
    <row r="221" spans="1:36" x14ac:dyDescent="0.25">
      <c r="A221" s="881"/>
      <c r="B221" s="886">
        <f t="shared" ca="1" si="94"/>
        <v>2.010642732672447</v>
      </c>
      <c r="C221" s="1130">
        <f ca="1">+B221+($C$197/20)+0.000001</f>
        <v>2.0175299053005444</v>
      </c>
      <c r="D221" s="881">
        <f t="shared" ca="1" si="88"/>
        <v>1</v>
      </c>
      <c r="E221" s="1133">
        <f t="shared" ca="1" si="90"/>
        <v>2.010642732672447</v>
      </c>
      <c r="F221" s="1133">
        <f t="shared" ca="1" si="91"/>
        <v>2.0175299053005444</v>
      </c>
      <c r="G221" s="1132">
        <f t="shared" ca="1" si="92"/>
        <v>2.0140863189864957</v>
      </c>
      <c r="H221" s="881">
        <f t="shared" ca="1" si="93"/>
        <v>5.0000000000000001E-4</v>
      </c>
      <c r="I221" s="881">
        <f t="shared" ca="1" si="95"/>
        <v>0.99999999999999989</v>
      </c>
      <c r="J221" s="881"/>
      <c r="K221" s="881"/>
      <c r="L221" s="881"/>
      <c r="M221" s="881"/>
      <c r="N221" s="881"/>
      <c r="O221" s="881"/>
      <c r="P221" s="881"/>
      <c r="Q221" s="881"/>
      <c r="R221" s="881"/>
      <c r="S221" s="881"/>
      <c r="T221" s="881"/>
      <c r="U221" s="881"/>
      <c r="V221" s="881"/>
      <c r="W221" s="881"/>
      <c r="X221" s="881"/>
      <c r="Y221" s="881"/>
      <c r="Z221" s="881"/>
      <c r="AA221" s="881"/>
      <c r="AB221" s="881"/>
      <c r="AC221" s="881"/>
      <c r="AD221" s="881"/>
      <c r="AE221" s="881"/>
      <c r="AF221" s="881"/>
      <c r="AG221" s="881"/>
      <c r="AH221" s="881"/>
      <c r="AI221" s="881"/>
      <c r="AJ221" s="881"/>
    </row>
    <row r="222" spans="1:36" x14ac:dyDescent="0.25">
      <c r="A222" s="881"/>
      <c r="B222" s="882"/>
      <c r="C222" s="1134"/>
      <c r="D222" s="881"/>
      <c r="E222" s="881"/>
      <c r="F222" s="881">
        <f t="shared" ca="1" si="91"/>
        <v>0</v>
      </c>
      <c r="G222" s="1132">
        <f t="shared" ca="1" si="92"/>
        <v>0</v>
      </c>
      <c r="H222" s="881"/>
      <c r="I222" s="881"/>
      <c r="J222" s="881"/>
      <c r="K222" s="881"/>
      <c r="L222" s="881"/>
      <c r="M222" s="881"/>
      <c r="N222" s="881"/>
      <c r="O222" s="881"/>
      <c r="P222" s="881"/>
      <c r="Q222" s="881"/>
      <c r="R222" s="881"/>
      <c r="S222" s="881"/>
      <c r="T222" s="881"/>
      <c r="U222" s="881"/>
      <c r="V222" s="881"/>
      <c r="W222" s="881"/>
      <c r="X222" s="881"/>
      <c r="Y222" s="881"/>
      <c r="Z222" s="881"/>
      <c r="AA222" s="881"/>
      <c r="AB222" s="881"/>
      <c r="AC222" s="881"/>
      <c r="AD222" s="881"/>
      <c r="AE222" s="881"/>
      <c r="AF222" s="881"/>
      <c r="AG222" s="881"/>
      <c r="AH222" s="881"/>
      <c r="AI222" s="881"/>
      <c r="AJ222" s="881"/>
    </row>
    <row r="223" spans="1:36" x14ac:dyDescent="0.25">
      <c r="A223" s="881"/>
      <c r="B223" s="882" t="s">
        <v>1204</v>
      </c>
      <c r="C223" s="881"/>
      <c r="D223" s="881">
        <f ca="1">+SUM(D202:D221)</f>
        <v>2000</v>
      </c>
      <c r="E223" s="881"/>
      <c r="F223" s="881"/>
      <c r="G223" s="881"/>
      <c r="H223" s="881"/>
      <c r="I223" s="881"/>
      <c r="J223" s="881"/>
      <c r="K223" s="881"/>
      <c r="L223" s="881"/>
      <c r="M223" s="881"/>
      <c r="N223" s="881"/>
      <c r="O223" s="881"/>
      <c r="P223" s="881"/>
      <c r="Q223" s="881"/>
      <c r="R223" s="881"/>
      <c r="S223" s="881"/>
      <c r="T223" s="881"/>
      <c r="U223" s="881"/>
      <c r="V223" s="881"/>
      <c r="W223" s="881"/>
      <c r="X223" s="881"/>
      <c r="Y223" s="881"/>
      <c r="Z223" s="881"/>
      <c r="AA223" s="881"/>
      <c r="AB223" s="881"/>
      <c r="AC223" s="881"/>
      <c r="AD223" s="881"/>
      <c r="AE223" s="881"/>
      <c r="AF223" s="881"/>
      <c r="AG223" s="881"/>
      <c r="AH223" s="881"/>
      <c r="AI223" s="881"/>
      <c r="AJ223" s="881"/>
    </row>
    <row r="224" spans="1:36" x14ac:dyDescent="0.25">
      <c r="A224" s="881"/>
      <c r="B224" s="881" t="str">
        <f t="array" ref="B224:B238">+TRANSPOSE(Sensitivity_output)</f>
        <v>Cost of hydrogen ($/kg)</v>
      </c>
      <c r="C224" s="881"/>
      <c r="D224" s="881"/>
      <c r="E224" s="881"/>
      <c r="F224" s="881"/>
      <c r="G224" s="881"/>
      <c r="H224" s="881"/>
      <c r="I224" s="881"/>
      <c r="J224" s="881"/>
      <c r="K224" s="881"/>
      <c r="L224" s="881"/>
      <c r="M224" s="881"/>
      <c r="N224" s="881"/>
      <c r="O224" s="881"/>
      <c r="P224" s="881"/>
      <c r="Q224" s="881"/>
      <c r="R224" s="881"/>
      <c r="S224" s="881"/>
      <c r="T224" s="881"/>
      <c r="U224" s="881"/>
      <c r="V224" s="881"/>
      <c r="W224" s="881"/>
      <c r="X224" s="881"/>
      <c r="Y224" s="881"/>
      <c r="Z224" s="881"/>
      <c r="AA224" s="881"/>
      <c r="AB224" s="881"/>
      <c r="AC224" s="881"/>
      <c r="AD224" s="881"/>
      <c r="AE224" s="881"/>
      <c r="AF224" s="881"/>
      <c r="AG224" s="881"/>
      <c r="AH224" s="881"/>
      <c r="AI224" s="881"/>
      <c r="AJ224" s="881"/>
    </row>
    <row r="225" spans="1:36" x14ac:dyDescent="0.25">
      <c r="A225" s="881"/>
      <c r="B225" s="881" t="str">
        <v>Revenue from byproduct sales ($/kg)</v>
      </c>
      <c r="C225" s="881"/>
      <c r="D225" s="881"/>
      <c r="E225" s="881"/>
      <c r="F225" s="881"/>
      <c r="G225" s="881"/>
      <c r="H225" s="881"/>
      <c r="I225" s="881"/>
      <c r="J225" s="881"/>
      <c r="K225" s="881"/>
      <c r="L225" s="881"/>
      <c r="M225" s="881"/>
      <c r="N225" s="881"/>
      <c r="O225" s="881"/>
      <c r="P225" s="881"/>
      <c r="Q225" s="881"/>
      <c r="R225" s="881"/>
      <c r="S225" s="881"/>
      <c r="T225" s="881"/>
      <c r="U225" s="881"/>
      <c r="V225" s="881"/>
      <c r="W225" s="881"/>
      <c r="X225" s="881"/>
      <c r="Y225" s="881"/>
      <c r="Z225" s="881"/>
      <c r="AA225" s="881"/>
      <c r="AB225" s="881"/>
      <c r="AC225" s="881"/>
      <c r="AD225" s="881"/>
      <c r="AE225" s="881"/>
      <c r="AF225" s="881"/>
      <c r="AG225" s="881"/>
      <c r="AH225" s="881"/>
      <c r="AI225" s="881"/>
      <c r="AJ225" s="881"/>
    </row>
    <row r="226" spans="1:36" x14ac:dyDescent="0.25">
      <c r="A226" s="881"/>
      <c r="B226" s="881" t="str">
        <v>Salvage value ($/kg)</v>
      </c>
      <c r="C226" s="881"/>
      <c r="D226" s="881"/>
      <c r="E226" s="881"/>
      <c r="F226" s="881"/>
      <c r="G226" s="881"/>
      <c r="H226" s="881"/>
      <c r="I226" s="881"/>
      <c r="J226" s="881"/>
      <c r="K226" s="881"/>
      <c r="L226" s="881"/>
      <c r="M226" s="881"/>
      <c r="N226" s="881"/>
      <c r="O226" s="881"/>
      <c r="P226" s="881"/>
      <c r="Q226" s="881"/>
      <c r="R226" s="881"/>
      <c r="S226" s="881"/>
      <c r="T226" s="881"/>
      <c r="U226" s="881"/>
      <c r="V226" s="881"/>
      <c r="W226" s="881"/>
      <c r="X226" s="881"/>
      <c r="Y226" s="881"/>
      <c r="Z226" s="881"/>
      <c r="AA226" s="881"/>
      <c r="AB226" s="881"/>
      <c r="AC226" s="881"/>
      <c r="AD226" s="881"/>
      <c r="AE226" s="881"/>
      <c r="AF226" s="881"/>
      <c r="AG226" s="881"/>
      <c r="AH226" s="881"/>
      <c r="AI226" s="881"/>
      <c r="AJ226" s="881"/>
    </row>
    <row r="227" spans="1:36" x14ac:dyDescent="0.25">
      <c r="A227" s="881"/>
      <c r="B227" s="881" t="str">
        <v>Initial equity depreciable capital ($/kg)</v>
      </c>
      <c r="C227" s="881"/>
      <c r="D227" s="881"/>
      <c r="E227" s="881"/>
      <c r="F227" s="881"/>
      <c r="G227" s="881"/>
      <c r="H227" s="881"/>
      <c r="I227" s="881"/>
      <c r="J227" s="881"/>
      <c r="K227" s="881"/>
      <c r="L227" s="881"/>
      <c r="M227" s="881"/>
      <c r="N227" s="881"/>
      <c r="O227" s="881"/>
      <c r="P227" s="881"/>
      <c r="Q227" s="881"/>
      <c r="R227" s="881"/>
      <c r="S227" s="881"/>
      <c r="T227" s="881"/>
      <c r="U227" s="881"/>
      <c r="V227" s="881"/>
      <c r="W227" s="881"/>
      <c r="X227" s="881"/>
      <c r="Y227" s="881"/>
      <c r="Z227" s="881"/>
      <c r="AA227" s="881"/>
      <c r="AB227" s="881"/>
      <c r="AC227" s="881"/>
      <c r="AD227" s="881"/>
      <c r="AE227" s="881"/>
      <c r="AF227" s="881"/>
      <c r="AG227" s="881"/>
      <c r="AH227" s="881"/>
      <c r="AI227" s="881"/>
      <c r="AJ227" s="881"/>
    </row>
    <row r="228" spans="1:36" x14ac:dyDescent="0.25">
      <c r="A228" s="881"/>
      <c r="B228" s="881" t="str">
        <v>Yearly replacement costs ($/kg)</v>
      </c>
      <c r="C228" s="881"/>
      <c r="D228" s="881"/>
      <c r="E228" s="881"/>
      <c r="F228" s="881"/>
      <c r="G228" s="881"/>
      <c r="H228" s="881"/>
      <c r="I228" s="881"/>
      <c r="J228" s="881"/>
      <c r="K228" s="881"/>
      <c r="L228" s="881"/>
      <c r="M228" s="881"/>
      <c r="N228" s="881"/>
      <c r="O228" s="881"/>
      <c r="P228" s="881"/>
      <c r="Q228" s="881"/>
      <c r="R228" s="881"/>
      <c r="S228" s="881"/>
      <c r="T228" s="881"/>
      <c r="U228" s="881"/>
      <c r="V228" s="881"/>
      <c r="W228" s="881"/>
      <c r="X228" s="881"/>
      <c r="Y228" s="881"/>
      <c r="Z228" s="881"/>
      <c r="AA228" s="881"/>
      <c r="AB228" s="881"/>
      <c r="AC228" s="881"/>
      <c r="AD228" s="881"/>
      <c r="AE228" s="881"/>
      <c r="AF228" s="881"/>
      <c r="AG228" s="881"/>
      <c r="AH228" s="881"/>
      <c r="AI228" s="881"/>
      <c r="AJ228" s="881"/>
    </row>
    <row r="229" spans="1:36" x14ac:dyDescent="0.25">
      <c r="A229" s="881"/>
      <c r="B229" s="881" t="str">
        <v>Cash from working capital reserve ($/kg)</v>
      </c>
      <c r="C229" s="881"/>
      <c r="D229" s="881"/>
      <c r="E229" s="881"/>
      <c r="F229" s="881"/>
      <c r="G229" s="881"/>
      <c r="H229" s="881"/>
      <c r="I229" s="881"/>
      <c r="J229" s="881"/>
      <c r="K229" s="881"/>
      <c r="L229" s="881"/>
      <c r="M229" s="881"/>
      <c r="N229" s="881"/>
      <c r="O229" s="881"/>
      <c r="P229" s="881"/>
      <c r="Q229" s="881"/>
      <c r="R229" s="881"/>
      <c r="S229" s="881"/>
      <c r="T229" s="881"/>
      <c r="U229" s="881"/>
      <c r="V229" s="881"/>
      <c r="W229" s="881"/>
      <c r="X229" s="881"/>
      <c r="Y229" s="881"/>
      <c r="Z229" s="881"/>
      <c r="AA229" s="881"/>
      <c r="AB229" s="881"/>
      <c r="AC229" s="881"/>
      <c r="AD229" s="881"/>
      <c r="AE229" s="881"/>
      <c r="AF229" s="881"/>
      <c r="AG229" s="881"/>
      <c r="AH229" s="881"/>
      <c r="AI229" s="881"/>
      <c r="AJ229" s="881"/>
    </row>
    <row r="230" spans="1:36" x14ac:dyDescent="0.25">
      <c r="A230" s="881"/>
      <c r="B230" s="881" t="str">
        <v>Other non-depreciable capital costs ($/kg)</v>
      </c>
      <c r="C230" s="881"/>
      <c r="D230" s="881"/>
      <c r="E230" s="881"/>
      <c r="F230" s="881"/>
      <c r="G230" s="881"/>
      <c r="H230" s="881"/>
      <c r="I230" s="881"/>
      <c r="J230" s="881"/>
      <c r="K230" s="881"/>
      <c r="L230" s="881"/>
      <c r="M230" s="881"/>
      <c r="N230" s="881"/>
      <c r="O230" s="881"/>
      <c r="P230" s="881"/>
      <c r="Q230" s="881"/>
      <c r="R230" s="881"/>
      <c r="S230" s="881"/>
      <c r="T230" s="881"/>
      <c r="U230" s="881"/>
      <c r="V230" s="881"/>
      <c r="W230" s="881"/>
      <c r="X230" s="881"/>
      <c r="Y230" s="881"/>
      <c r="Z230" s="881"/>
      <c r="AA230" s="881"/>
      <c r="AB230" s="881"/>
      <c r="AC230" s="881"/>
      <c r="AD230" s="881"/>
      <c r="AE230" s="881"/>
      <c r="AF230" s="881"/>
      <c r="AG230" s="881"/>
      <c r="AH230" s="881"/>
      <c r="AI230" s="881"/>
      <c r="AJ230" s="881"/>
    </row>
    <row r="231" spans="1:36" x14ac:dyDescent="0.25">
      <c r="A231" s="881"/>
      <c r="B231" s="881" t="str">
        <v>Decommissioning costs ($/kg)</v>
      </c>
      <c r="C231" s="881"/>
      <c r="D231" s="881"/>
      <c r="E231" s="881"/>
      <c r="F231" s="881"/>
      <c r="G231" s="881"/>
      <c r="H231" s="881"/>
      <c r="I231" s="881"/>
      <c r="J231" s="881"/>
      <c r="K231" s="881"/>
      <c r="L231" s="881"/>
      <c r="M231" s="881"/>
      <c r="N231" s="881"/>
      <c r="O231" s="881"/>
      <c r="P231" s="881"/>
      <c r="Q231" s="881"/>
      <c r="R231" s="881"/>
      <c r="S231" s="881"/>
      <c r="T231" s="881"/>
      <c r="U231" s="881"/>
      <c r="V231" s="881"/>
      <c r="W231" s="881"/>
      <c r="X231" s="881"/>
      <c r="Y231" s="881"/>
      <c r="Z231" s="881"/>
      <c r="AA231" s="881"/>
      <c r="AB231" s="881"/>
      <c r="AC231" s="881"/>
      <c r="AD231" s="881"/>
      <c r="AE231" s="881"/>
      <c r="AF231" s="881"/>
      <c r="AG231" s="881"/>
      <c r="AH231" s="881"/>
      <c r="AI231" s="881"/>
      <c r="AJ231" s="881"/>
    </row>
    <row r="232" spans="1:36" x14ac:dyDescent="0.25">
      <c r="A232" s="881"/>
      <c r="B232" s="881" t="str">
        <v>Fixed operating cost ($/kg)</v>
      </c>
      <c r="C232" s="881"/>
      <c r="D232" s="881"/>
      <c r="E232" s="881"/>
      <c r="F232" s="881"/>
      <c r="G232" s="881"/>
      <c r="H232" s="881"/>
      <c r="I232" s="881"/>
      <c r="J232" s="881"/>
      <c r="K232" s="881"/>
      <c r="L232" s="881"/>
      <c r="M232" s="881"/>
      <c r="N232" s="881"/>
      <c r="O232" s="881"/>
      <c r="P232" s="881"/>
      <c r="Q232" s="881"/>
      <c r="R232" s="881"/>
      <c r="S232" s="881"/>
      <c r="T232" s="881"/>
      <c r="U232" s="881"/>
      <c r="V232" s="881"/>
      <c r="W232" s="881"/>
      <c r="X232" s="881"/>
      <c r="Y232" s="881"/>
      <c r="Z232" s="881"/>
      <c r="AA232" s="881"/>
      <c r="AB232" s="881"/>
      <c r="AC232" s="881"/>
      <c r="AD232" s="881"/>
      <c r="AE232" s="881"/>
      <c r="AF232" s="881"/>
      <c r="AG232" s="881"/>
      <c r="AH232" s="881"/>
      <c r="AI232" s="881"/>
      <c r="AJ232" s="881"/>
    </row>
    <row r="233" spans="1:36" x14ac:dyDescent="0.25">
      <c r="A233" s="881"/>
      <c r="B233" s="881" t="str">
        <v>Feedstock cost ($/kg)</v>
      </c>
      <c r="C233" s="881"/>
      <c r="D233" s="881"/>
      <c r="E233" s="881"/>
      <c r="F233" s="881"/>
      <c r="G233" s="881"/>
      <c r="H233" s="881"/>
      <c r="I233" s="881"/>
      <c r="J233" s="881"/>
      <c r="K233" s="881"/>
      <c r="L233" s="881"/>
      <c r="M233" s="881"/>
      <c r="N233" s="881"/>
      <c r="O233" s="881"/>
      <c r="P233" s="881"/>
      <c r="Q233" s="881"/>
      <c r="R233" s="881"/>
      <c r="S233" s="881"/>
      <c r="T233" s="881"/>
      <c r="U233" s="881"/>
      <c r="V233" s="881"/>
      <c r="W233" s="881"/>
      <c r="X233" s="881"/>
      <c r="Y233" s="881"/>
      <c r="Z233" s="881"/>
      <c r="AA233" s="881"/>
      <c r="AB233" s="881"/>
      <c r="AC233" s="881"/>
      <c r="AD233" s="881"/>
      <c r="AE233" s="881"/>
      <c r="AF233" s="881"/>
      <c r="AG233" s="881"/>
      <c r="AH233" s="881"/>
      <c r="AI233" s="881"/>
      <c r="AJ233" s="881"/>
    </row>
    <row r="234" spans="1:36" x14ac:dyDescent="0.25">
      <c r="A234" s="881"/>
      <c r="B234" s="881" t="str">
        <v>Other raw material cost ($/kg)</v>
      </c>
      <c r="C234" s="881"/>
      <c r="D234" s="881"/>
      <c r="E234" s="881"/>
      <c r="F234" s="881"/>
      <c r="G234" s="881"/>
      <c r="H234" s="881"/>
      <c r="I234" s="881"/>
      <c r="J234" s="881"/>
      <c r="K234" s="881"/>
      <c r="L234" s="881"/>
      <c r="M234" s="881"/>
      <c r="N234" s="881"/>
      <c r="O234" s="881"/>
      <c r="P234" s="881"/>
      <c r="Q234" s="881"/>
      <c r="R234" s="881"/>
      <c r="S234" s="881"/>
      <c r="T234" s="881"/>
      <c r="U234" s="881"/>
      <c r="V234" s="881"/>
      <c r="W234" s="881"/>
      <c r="X234" s="881"/>
      <c r="Y234" s="881"/>
      <c r="Z234" s="881"/>
      <c r="AA234" s="881"/>
      <c r="AB234" s="881"/>
      <c r="AC234" s="881"/>
      <c r="AD234" s="881"/>
      <c r="AE234" s="881"/>
      <c r="AF234" s="881"/>
      <c r="AG234" s="881"/>
      <c r="AH234" s="881"/>
      <c r="AI234" s="881"/>
      <c r="AJ234" s="881"/>
    </row>
    <row r="235" spans="1:36" x14ac:dyDescent="0.25">
      <c r="A235" s="881"/>
      <c r="B235" s="881" t="str">
        <v>Other variable operating costs ($/kg)</v>
      </c>
      <c r="C235" s="881"/>
      <c r="D235" s="881"/>
      <c r="E235" s="881"/>
      <c r="F235" s="881"/>
      <c r="G235" s="881"/>
      <c r="H235" s="881"/>
      <c r="I235" s="881"/>
      <c r="J235" s="881"/>
      <c r="K235" s="881"/>
      <c r="L235" s="881"/>
      <c r="M235" s="881"/>
      <c r="N235" s="881"/>
      <c r="O235" s="881"/>
      <c r="P235" s="881"/>
      <c r="Q235" s="881"/>
      <c r="R235" s="881"/>
      <c r="S235" s="881"/>
      <c r="T235" s="881"/>
      <c r="U235" s="881"/>
      <c r="V235" s="881"/>
      <c r="W235" s="881"/>
      <c r="X235" s="881"/>
      <c r="Y235" s="881"/>
      <c r="Z235" s="881"/>
      <c r="AA235" s="881"/>
      <c r="AB235" s="881"/>
      <c r="AC235" s="881"/>
      <c r="AD235" s="881"/>
      <c r="AE235" s="881"/>
      <c r="AF235" s="881"/>
      <c r="AG235" s="881"/>
      <c r="AH235" s="881"/>
      <c r="AI235" s="881"/>
      <c r="AJ235" s="881"/>
    </row>
    <row r="236" spans="1:36" x14ac:dyDescent="0.25">
      <c r="A236" s="881"/>
      <c r="B236" s="881" t="str">
        <v>Debt interest ($/kg)</v>
      </c>
      <c r="C236" s="881"/>
      <c r="D236" s="881"/>
      <c r="E236" s="881"/>
      <c r="F236" s="881"/>
      <c r="G236" s="881"/>
      <c r="H236" s="881"/>
      <c r="I236" s="881"/>
      <c r="J236" s="881"/>
      <c r="K236" s="881"/>
      <c r="L236" s="881"/>
      <c r="M236" s="881"/>
      <c r="N236" s="881"/>
      <c r="O236" s="881"/>
      <c r="P236" s="881"/>
      <c r="Q236" s="881"/>
      <c r="R236" s="881"/>
      <c r="S236" s="881"/>
      <c r="T236" s="881"/>
      <c r="U236" s="881"/>
      <c r="V236" s="881"/>
      <c r="W236" s="881"/>
      <c r="X236" s="881"/>
      <c r="Y236" s="881"/>
      <c r="Z236" s="881"/>
      <c r="AA236" s="881"/>
      <c r="AB236" s="881"/>
      <c r="AC236" s="881"/>
      <c r="AD236" s="881"/>
      <c r="AE236" s="881"/>
      <c r="AF236" s="881"/>
      <c r="AG236" s="881"/>
      <c r="AH236" s="881"/>
      <c r="AI236" s="881"/>
      <c r="AJ236" s="881"/>
    </row>
    <row r="237" spans="1:36" x14ac:dyDescent="0.25">
      <c r="A237" s="881"/>
      <c r="B237" s="881" t="str">
        <v>Taxes ($/kg)</v>
      </c>
      <c r="C237" s="881"/>
      <c r="D237" s="881"/>
      <c r="E237" s="881"/>
      <c r="F237" s="881"/>
      <c r="G237" s="881"/>
      <c r="H237" s="881"/>
      <c r="I237" s="881"/>
      <c r="J237" s="881"/>
      <c r="K237" s="881"/>
      <c r="L237" s="881"/>
      <c r="M237" s="881"/>
      <c r="N237" s="881"/>
      <c r="O237" s="881"/>
      <c r="P237" s="881"/>
      <c r="Q237" s="881"/>
      <c r="R237" s="881"/>
      <c r="S237" s="881"/>
      <c r="T237" s="881"/>
      <c r="U237" s="881"/>
      <c r="V237" s="881"/>
      <c r="W237" s="881"/>
      <c r="X237" s="881"/>
      <c r="Y237" s="881"/>
      <c r="Z237" s="881"/>
      <c r="AA237" s="881"/>
      <c r="AB237" s="881"/>
      <c r="AC237" s="881"/>
      <c r="AD237" s="881"/>
      <c r="AE237" s="881"/>
      <c r="AF237" s="881"/>
      <c r="AG237" s="881"/>
      <c r="AH237" s="881"/>
      <c r="AI237" s="881"/>
      <c r="AJ237" s="881"/>
    </row>
    <row r="238" spans="1:36" x14ac:dyDescent="0.25">
      <c r="A238" s="881"/>
      <c r="B238" s="881" t="str">
        <v>Principal payment ($/kg)</v>
      </c>
      <c r="C238" s="881"/>
      <c r="D238" s="881"/>
      <c r="E238" s="881"/>
      <c r="F238" s="881"/>
      <c r="G238" s="881"/>
      <c r="H238" s="881"/>
      <c r="I238" s="881"/>
      <c r="J238" s="881"/>
      <c r="K238" s="881"/>
      <c r="L238" s="881"/>
      <c r="M238" s="881"/>
      <c r="N238" s="881"/>
      <c r="O238" s="881"/>
      <c r="P238" s="881"/>
      <c r="Q238" s="881"/>
      <c r="R238" s="881"/>
      <c r="S238" s="881"/>
      <c r="T238" s="881"/>
      <c r="U238" s="881"/>
      <c r="V238" s="881"/>
      <c r="W238" s="881"/>
      <c r="X238" s="881"/>
      <c r="Y238" s="881"/>
      <c r="Z238" s="881"/>
      <c r="AA238" s="881"/>
      <c r="AB238" s="881"/>
      <c r="AC238" s="881"/>
      <c r="AD238" s="881"/>
      <c r="AE238" s="881"/>
      <c r="AF238" s="881"/>
      <c r="AG238" s="881"/>
      <c r="AH238" s="881"/>
      <c r="AI238" s="881"/>
      <c r="AJ238" s="881"/>
    </row>
    <row r="239" spans="1:36" x14ac:dyDescent="0.25">
      <c r="A239" s="881"/>
      <c r="B239" s="881" t="str">
        <f t="array" ref="B239:B245">+TRANSPOSE(C50:I50)</f>
        <v>Operating capacity factor</v>
      </c>
      <c r="C239" s="881"/>
      <c r="D239" s="881"/>
      <c r="E239" s="881"/>
      <c r="F239" s="881"/>
      <c r="G239" s="881"/>
      <c r="H239" s="881"/>
      <c r="I239" s="881"/>
      <c r="J239" s="881"/>
      <c r="K239" s="881"/>
      <c r="L239" s="881"/>
      <c r="M239" s="881"/>
      <c r="N239" s="881"/>
      <c r="O239" s="881"/>
      <c r="P239" s="881"/>
      <c r="Q239" s="881"/>
      <c r="R239" s="881"/>
      <c r="S239" s="881"/>
      <c r="T239" s="881"/>
      <c r="U239" s="881"/>
      <c r="V239" s="881"/>
      <c r="W239" s="881"/>
      <c r="X239" s="881"/>
      <c r="Y239" s="881"/>
      <c r="Z239" s="881"/>
      <c r="AA239" s="881"/>
      <c r="AB239" s="881"/>
      <c r="AC239" s="881"/>
      <c r="AD239" s="881"/>
      <c r="AE239" s="881"/>
      <c r="AF239" s="881"/>
      <c r="AG239" s="881"/>
      <c r="AH239" s="881"/>
      <c r="AI239" s="881"/>
      <c r="AJ239" s="881"/>
    </row>
    <row r="240" spans="1:36" x14ac:dyDescent="0.25">
      <c r="A240" s="881"/>
      <c r="B240" s="881" t="str">
        <v>Plant design capacity (kg of H2/day)</v>
      </c>
      <c r="C240" s="881"/>
      <c r="D240" s="881"/>
      <c r="E240" s="881"/>
      <c r="F240" s="881"/>
      <c r="G240" s="881"/>
      <c r="H240" s="881"/>
      <c r="I240" s="881"/>
      <c r="J240" s="881"/>
      <c r="K240" s="881"/>
      <c r="L240" s="881"/>
      <c r="M240" s="881"/>
      <c r="N240" s="881"/>
      <c r="O240" s="881"/>
      <c r="P240" s="881"/>
      <c r="Q240" s="881"/>
      <c r="R240" s="881"/>
      <c r="S240" s="881"/>
      <c r="T240" s="881"/>
      <c r="U240" s="881"/>
      <c r="V240" s="881"/>
      <c r="W240" s="881"/>
      <c r="X240" s="881"/>
      <c r="Y240" s="881"/>
      <c r="Z240" s="881"/>
      <c r="AA240" s="881"/>
      <c r="AB240" s="881"/>
      <c r="AC240" s="881"/>
      <c r="AD240" s="881"/>
      <c r="AE240" s="881"/>
      <c r="AF240" s="881"/>
      <c r="AG240" s="881"/>
      <c r="AH240" s="881"/>
      <c r="AI240" s="881"/>
      <c r="AJ240" s="881"/>
    </row>
    <row r="241" spans="1:36" x14ac:dyDescent="0.25">
      <c r="A241" s="881"/>
      <c r="B241" s="881" t="str">
        <v>After-tax real IRR (%)</v>
      </c>
      <c r="C241" s="881"/>
      <c r="D241" s="881"/>
      <c r="E241" s="881"/>
      <c r="F241" s="881"/>
      <c r="G241" s="881"/>
      <c r="H241" s="881"/>
      <c r="I241" s="881"/>
      <c r="J241" s="881"/>
      <c r="K241" s="881"/>
      <c r="L241" s="881"/>
      <c r="M241" s="881"/>
      <c r="N241" s="881"/>
      <c r="O241" s="881"/>
      <c r="P241" s="881"/>
      <c r="Q241" s="881"/>
      <c r="R241" s="881"/>
      <c r="S241" s="881"/>
      <c r="T241" s="881"/>
      <c r="U241" s="881"/>
      <c r="V241" s="881"/>
      <c r="W241" s="881"/>
      <c r="X241" s="881"/>
      <c r="Y241" s="881"/>
      <c r="Z241" s="881"/>
      <c r="AA241" s="881"/>
      <c r="AB241" s="881"/>
      <c r="AC241" s="881"/>
      <c r="AD241" s="881"/>
      <c r="AE241" s="881"/>
      <c r="AF241" s="881"/>
      <c r="AG241" s="881"/>
      <c r="AH241" s="881"/>
      <c r="AI241" s="881"/>
      <c r="AJ241" s="881"/>
    </row>
    <row r="242" spans="1:36" x14ac:dyDescent="0.25">
      <c r="A242" s="881"/>
      <c r="B242" s="881" t="str">
        <v>Feedstock consumption (% of most likely value)</v>
      </c>
      <c r="C242" s="881"/>
      <c r="D242" s="881"/>
      <c r="E242" s="881"/>
      <c r="F242" s="881"/>
      <c r="G242" s="881"/>
      <c r="H242" s="881"/>
      <c r="I242" s="881"/>
      <c r="J242" s="881"/>
      <c r="K242" s="881"/>
      <c r="L242" s="881"/>
      <c r="M242" s="881"/>
      <c r="N242" s="881"/>
      <c r="O242" s="881"/>
      <c r="P242" s="881"/>
      <c r="Q242" s="881"/>
      <c r="R242" s="881"/>
      <c r="S242" s="881"/>
      <c r="T242" s="881"/>
      <c r="U242" s="881"/>
      <c r="V242" s="881"/>
      <c r="W242" s="881"/>
      <c r="X242" s="881"/>
      <c r="Y242" s="881"/>
      <c r="Z242" s="881"/>
      <c r="AA242" s="881"/>
      <c r="AB242" s="881"/>
      <c r="AC242" s="881"/>
      <c r="AD242" s="881"/>
      <c r="AE242" s="881"/>
      <c r="AF242" s="881"/>
      <c r="AG242" s="881"/>
      <c r="AH242" s="881"/>
      <c r="AI242" s="881"/>
      <c r="AJ242" s="881"/>
    </row>
    <row r="243" spans="1:36" x14ac:dyDescent="0.25">
      <c r="A243" s="881"/>
      <c r="B243" s="881" t="str">
        <v>Utilities consumption (% of most likely value)</v>
      </c>
      <c r="C243" s="881"/>
      <c r="D243" s="881"/>
      <c r="E243" s="881"/>
      <c r="F243" s="881"/>
      <c r="G243" s="881"/>
      <c r="H243" s="881"/>
      <c r="I243" s="881"/>
      <c r="J243" s="881"/>
      <c r="K243" s="881"/>
      <c r="L243" s="881"/>
      <c r="M243" s="881"/>
      <c r="N243" s="881"/>
      <c r="O243" s="881"/>
      <c r="P243" s="881"/>
      <c r="Q243" s="881"/>
      <c r="R243" s="881"/>
      <c r="S243" s="881"/>
      <c r="T243" s="881"/>
      <c r="U243" s="881"/>
      <c r="V243" s="881"/>
      <c r="W243" s="881"/>
      <c r="X243" s="881"/>
      <c r="Y243" s="881"/>
      <c r="Z243" s="881"/>
      <c r="AA243" s="881"/>
      <c r="AB243" s="881"/>
      <c r="AC243" s="881"/>
      <c r="AD243" s="881"/>
      <c r="AE243" s="881"/>
      <c r="AF243" s="881"/>
      <c r="AG243" s="881"/>
      <c r="AH243" s="881"/>
      <c r="AI243" s="881"/>
      <c r="AJ243" s="881"/>
    </row>
    <row r="244" spans="1:36" x14ac:dyDescent="0.25">
      <c r="A244" s="881"/>
      <c r="B244" s="881" t="str">
        <v>Total capital investment ($)</v>
      </c>
      <c r="C244" s="881"/>
      <c r="D244" s="881"/>
      <c r="E244" s="881"/>
      <c r="F244" s="881"/>
      <c r="G244" s="881"/>
      <c r="H244" s="881"/>
      <c r="I244" s="881"/>
      <c r="J244" s="881"/>
      <c r="K244" s="881"/>
      <c r="L244" s="881"/>
      <c r="M244" s="881"/>
      <c r="N244" s="881"/>
      <c r="O244" s="881"/>
      <c r="P244" s="881"/>
      <c r="Q244" s="881"/>
      <c r="R244" s="881"/>
      <c r="S244" s="881"/>
      <c r="T244" s="881"/>
      <c r="U244" s="881"/>
      <c r="V244" s="881"/>
      <c r="W244" s="881"/>
      <c r="X244" s="881"/>
      <c r="Y244" s="881"/>
      <c r="Z244" s="881"/>
      <c r="AA244" s="881"/>
      <c r="AB244" s="881"/>
      <c r="AC244" s="881"/>
      <c r="AD244" s="881"/>
      <c r="AE244" s="881"/>
      <c r="AF244" s="881"/>
      <c r="AG244" s="881"/>
      <c r="AH244" s="881"/>
      <c r="AI244" s="881"/>
      <c r="AJ244" s="881"/>
    </row>
    <row r="245" spans="1:36" x14ac:dyDescent="0.25">
      <c r="A245" s="881"/>
      <c r="B245" s="881" t="str">
        <v>Total fixed operating cost ($/year)</v>
      </c>
      <c r="C245" s="881"/>
      <c r="D245" s="881"/>
      <c r="E245" s="881"/>
      <c r="F245" s="881"/>
      <c r="G245" s="881"/>
      <c r="H245" s="881"/>
      <c r="I245" s="881"/>
      <c r="J245" s="881"/>
      <c r="K245" s="881"/>
      <c r="L245" s="881"/>
      <c r="M245" s="881"/>
      <c r="N245" s="881"/>
      <c r="O245" s="881"/>
      <c r="P245" s="881"/>
      <c r="Q245" s="881"/>
      <c r="R245" s="881"/>
      <c r="S245" s="881"/>
      <c r="T245" s="881"/>
      <c r="U245" s="881"/>
      <c r="V245" s="881"/>
      <c r="W245" s="881"/>
      <c r="X245" s="881"/>
      <c r="Y245" s="881"/>
      <c r="Z245" s="881"/>
      <c r="AA245" s="881"/>
      <c r="AB245" s="881"/>
      <c r="AC245" s="881"/>
      <c r="AD245" s="881"/>
      <c r="AE245" s="881"/>
      <c r="AF245" s="881"/>
      <c r="AG245" s="881"/>
      <c r="AH245" s="881"/>
      <c r="AI245" s="881"/>
      <c r="AJ245" s="881"/>
    </row>
    <row r="246" spans="1:36" x14ac:dyDescent="0.25">
      <c r="A246" s="881"/>
      <c r="B246" s="881"/>
      <c r="C246" s="881"/>
      <c r="D246" s="881"/>
      <c r="E246" s="881"/>
      <c r="F246" s="881"/>
      <c r="G246" s="881"/>
      <c r="H246" s="881"/>
      <c r="I246" s="881"/>
      <c r="J246" s="881"/>
      <c r="K246" s="881"/>
      <c r="L246" s="881"/>
      <c r="M246" s="881"/>
      <c r="N246" s="881"/>
      <c r="O246" s="881"/>
      <c r="P246" s="881"/>
      <c r="Q246" s="881"/>
      <c r="R246" s="881"/>
      <c r="S246" s="881"/>
      <c r="T246" s="881"/>
      <c r="U246" s="881"/>
      <c r="V246" s="881"/>
      <c r="W246" s="881"/>
      <c r="X246" s="881"/>
      <c r="Y246" s="881"/>
      <c r="Z246" s="881"/>
      <c r="AA246" s="881"/>
      <c r="AB246" s="881"/>
      <c r="AC246" s="881"/>
      <c r="AD246" s="881"/>
      <c r="AE246" s="881"/>
      <c r="AF246" s="881"/>
      <c r="AG246" s="881"/>
      <c r="AH246" s="881"/>
      <c r="AI246" s="881"/>
      <c r="AJ246" s="881"/>
    </row>
    <row r="247" spans="1:36" x14ac:dyDescent="0.25">
      <c r="A247" s="881"/>
      <c r="B247" s="881"/>
      <c r="C247" s="881"/>
      <c r="D247" s="881"/>
      <c r="E247" s="881"/>
      <c r="F247" s="881"/>
      <c r="G247" s="881"/>
      <c r="H247" s="881"/>
      <c r="I247" s="881"/>
      <c r="J247" s="881"/>
      <c r="K247" s="881"/>
      <c r="L247" s="881"/>
      <c r="M247" s="881"/>
      <c r="N247" s="881"/>
      <c r="O247" s="881"/>
      <c r="P247" s="881"/>
      <c r="Q247" s="881"/>
      <c r="R247" s="881"/>
      <c r="S247" s="881"/>
      <c r="T247" s="881"/>
      <c r="U247" s="881"/>
      <c r="V247" s="881"/>
      <c r="W247" s="881"/>
      <c r="X247" s="881"/>
      <c r="Y247" s="881"/>
      <c r="Z247" s="881"/>
      <c r="AA247" s="881"/>
      <c r="AB247" s="881"/>
      <c r="AC247" s="881"/>
      <c r="AD247" s="881"/>
      <c r="AE247" s="881"/>
      <c r="AF247" s="881"/>
      <c r="AG247" s="881"/>
      <c r="AH247" s="881"/>
      <c r="AI247" s="881"/>
      <c r="AJ247" s="881"/>
    </row>
    <row r="248" spans="1:36" x14ac:dyDescent="0.25">
      <c r="A248" s="881"/>
      <c r="B248" s="882"/>
      <c r="C248">
        <f ca="1">+RAND()</f>
        <v>6.5479431742865302E-2</v>
      </c>
      <c r="D248">
        <f t="shared" ref="D248:I248" ca="1" si="96">+RAND()</f>
        <v>0.5225183149173539</v>
      </c>
      <c r="E248">
        <f t="shared" ca="1" si="96"/>
        <v>0.4105775821927965</v>
      </c>
      <c r="F248">
        <f t="shared" ca="1" si="96"/>
        <v>0.94430114836567591</v>
      </c>
      <c r="G248">
        <f t="shared" ca="1" si="96"/>
        <v>0.13935663367278317</v>
      </c>
      <c r="H248">
        <f t="shared" ca="1" si="96"/>
        <v>0.36923008539786428</v>
      </c>
      <c r="I248">
        <f t="shared" ca="1" si="96"/>
        <v>0.73072074707524393</v>
      </c>
      <c r="J248" s="881"/>
      <c r="K248" s="881"/>
      <c r="L248" s="881"/>
      <c r="M248" s="881"/>
      <c r="N248" s="881"/>
      <c r="O248" s="881"/>
      <c r="P248" s="881"/>
      <c r="Q248" s="881"/>
      <c r="R248" s="881"/>
      <c r="S248" s="881"/>
      <c r="T248" s="881"/>
      <c r="U248" s="881"/>
      <c r="V248" s="881"/>
      <c r="W248" s="881"/>
      <c r="X248" s="881"/>
      <c r="Y248" s="881"/>
      <c r="Z248" s="881"/>
      <c r="AA248" s="881"/>
      <c r="AB248" s="881"/>
      <c r="AC248" s="881"/>
      <c r="AD248" s="881"/>
      <c r="AE248" s="881"/>
      <c r="AF248" s="881"/>
      <c r="AG248" s="881"/>
      <c r="AH248" s="881"/>
      <c r="AI248" s="881"/>
      <c r="AJ248" s="881"/>
    </row>
    <row r="249" spans="1:36" x14ac:dyDescent="0.25">
      <c r="A249" s="881"/>
      <c r="B249" s="299"/>
      <c r="C249" s="886">
        <f ca="1">IFERROR(IF(C$248&lt;=(C$190-C$189)/(C$191-C$189),C$189+SQRT(C$248*(C$191-C$189)*(C$190-C$189)),C$191-SQRT((1-C$248)*(C$191-C$189)*(C$191-C$190))),1)</f>
        <v>0.96809411945120083</v>
      </c>
      <c r="D249" s="886">
        <f t="shared" ref="D249:I249" ca="1" si="97">IFERROR(IF(D$248&lt;=(D$190-D$189)/(D$191-D$189),D$189+SQRT(D$248*(D$191-D$189)*(D$190-D$189)),D$191-SQRT((1-D$248)*(D$191-D$189)*(D$191-D$190))),1)</f>
        <v>1.0011388863674473</v>
      </c>
      <c r="E249" s="886">
        <f t="shared" ca="1" si="97"/>
        <v>0.99530880610834915</v>
      </c>
      <c r="F249" s="886">
        <f t="shared" ca="1" si="97"/>
        <v>1.033311852763964</v>
      </c>
      <c r="G249" s="886">
        <f t="shared" ca="1" si="97"/>
        <v>0.9763966507035251</v>
      </c>
      <c r="H249" s="886">
        <f t="shared" ca="1" si="97"/>
        <v>0.99296685265398577</v>
      </c>
      <c r="I249" s="886">
        <f t="shared" ca="1" si="97"/>
        <v>1.0133067272565695</v>
      </c>
    </row>
    <row r="250" spans="1:36" x14ac:dyDescent="0.25">
      <c r="A250" s="881"/>
      <c r="B250" s="299"/>
    </row>
    <row r="251" spans="1:36" x14ac:dyDescent="0.25">
      <c r="A251" s="881"/>
      <c r="B251" s="1131">
        <v>1</v>
      </c>
      <c r="C251" s="886">
        <v>0.95876510047606167</v>
      </c>
      <c r="D251" s="886">
        <v>1.0330832995215729</v>
      </c>
      <c r="E251" s="886">
        <v>0.99548803862858759</v>
      </c>
      <c r="F251" s="886">
        <v>1.0221950078802398</v>
      </c>
      <c r="G251" s="886">
        <v>1.0016264756679978</v>
      </c>
      <c r="H251" s="886">
        <v>1.0171957818847701</v>
      </c>
      <c r="I251" s="886">
        <v>0.99692165474004968</v>
      </c>
      <c r="K251">
        <v>1.9638472975674075</v>
      </c>
      <c r="L251">
        <v>0</v>
      </c>
      <c r="M251">
        <v>2.0587156702404435E-3</v>
      </c>
      <c r="N251">
        <v>0.20454785336512019</v>
      </c>
      <c r="O251">
        <v>2.5812206364188704E-2</v>
      </c>
      <c r="P251">
        <v>2.1205425769421991E-2</v>
      </c>
      <c r="Q251">
        <v>3.025436434571079E-3</v>
      </c>
      <c r="R251">
        <v>2.0466072466526824E-3</v>
      </c>
      <c r="S251">
        <v>0.21264176011325756</v>
      </c>
      <c r="T251">
        <v>1.0587871808886256</v>
      </c>
      <c r="U251">
        <v>3.8925395367839274E-2</v>
      </c>
      <c r="V251">
        <v>0.24972808392032406</v>
      </c>
      <c r="W251">
        <v>0.12264612184226394</v>
      </c>
      <c r="X251">
        <v>2.0969751663892162E-2</v>
      </c>
      <c r="Y251">
        <v>5.5701902614910615E-3</v>
      </c>
    </row>
    <row r="252" spans="1:36" x14ac:dyDescent="0.25">
      <c r="A252" s="881"/>
      <c r="B252" s="1131">
        <v>2</v>
      </c>
      <c r="C252" s="886">
        <v>1.010835447307211</v>
      </c>
      <c r="D252" s="886">
        <v>0.97280204798323888</v>
      </c>
      <c r="E252" s="886">
        <v>0.99639397579690436</v>
      </c>
      <c r="F252" s="886">
        <v>0.95943992433170511</v>
      </c>
      <c r="G252" s="886">
        <v>1.0036071388442496</v>
      </c>
      <c r="H252" s="886">
        <v>0.98021322292262936</v>
      </c>
      <c r="I252" s="886">
        <v>0.97354494856262397</v>
      </c>
      <c r="K252">
        <v>1.927134455777866</v>
      </c>
      <c r="L252">
        <v>0</v>
      </c>
      <c r="M252">
        <v>1.9347529846724164E-3</v>
      </c>
      <c r="N252">
        <v>0.19273590103084765</v>
      </c>
      <c r="O252">
        <v>2.5221863807604702E-2</v>
      </c>
      <c r="P252">
        <v>2.1003323204435476E-2</v>
      </c>
      <c r="Q252">
        <v>2.9465797566852617E-3</v>
      </c>
      <c r="R252">
        <v>1.9229933627553186E-3</v>
      </c>
      <c r="S252">
        <v>0.19881810894724078</v>
      </c>
      <c r="T252">
        <v>1.0587038207120416</v>
      </c>
      <c r="U252">
        <v>3.6920263036219571E-2</v>
      </c>
      <c r="V252">
        <v>0.24973446216361317</v>
      </c>
      <c r="W252">
        <v>0.11549190307879932</v>
      </c>
      <c r="X252">
        <v>2.0336235643466569E-2</v>
      </c>
      <c r="Y252">
        <v>5.2337540188283141E-3</v>
      </c>
    </row>
    <row r="253" spans="1:36" x14ac:dyDescent="0.25">
      <c r="A253" s="881"/>
      <c r="B253" s="1131">
        <v>3</v>
      </c>
      <c r="C253" s="886">
        <v>0.99149676040310952</v>
      </c>
      <c r="D253" s="886">
        <v>1.0372957326895793</v>
      </c>
      <c r="E253" s="886">
        <v>1.0091958825387581</v>
      </c>
      <c r="F253" s="886">
        <v>0.99053298320378158</v>
      </c>
      <c r="G253" s="886">
        <v>0.99019685172590777</v>
      </c>
      <c r="H253" s="886">
        <v>1.0145217424028421</v>
      </c>
      <c r="I253" s="886">
        <v>0.98188692502847064</v>
      </c>
      <c r="K253">
        <v>1.9350801074448489</v>
      </c>
      <c r="L253">
        <v>0</v>
      </c>
      <c r="M253">
        <v>1.9251411338255752E-3</v>
      </c>
      <c r="N253">
        <v>0.19960509593271084</v>
      </c>
      <c r="O253">
        <v>2.4910097902900667E-2</v>
      </c>
      <c r="P253">
        <v>2.1168492055417869E-2</v>
      </c>
      <c r="Q253">
        <v>2.9609837066055136E-3</v>
      </c>
      <c r="R253">
        <v>1.9137853371715341E-3</v>
      </c>
      <c r="S253">
        <v>0.20188143804531597</v>
      </c>
      <c r="T253">
        <v>1.0575292662931861</v>
      </c>
      <c r="U253">
        <v>3.7640375734302615E-2</v>
      </c>
      <c r="V253">
        <v>0.24450862674071827</v>
      </c>
      <c r="W253">
        <v>0.11856696392821102</v>
      </c>
      <c r="X253">
        <v>2.1111430093519772E-2</v>
      </c>
      <c r="Y253">
        <v>5.2086928086140707E-3</v>
      </c>
    </row>
    <row r="254" spans="1:36" x14ac:dyDescent="0.25">
      <c r="A254" s="881"/>
      <c r="B254" s="1131">
        <v>4</v>
      </c>
      <c r="C254" s="886">
        <v>1.0124109948106923</v>
      </c>
      <c r="D254" s="886">
        <v>0.99307276373841458</v>
      </c>
      <c r="E254" s="886">
        <v>0.97053727146375923</v>
      </c>
      <c r="F254" s="886">
        <v>0.96614732738304965</v>
      </c>
      <c r="G254" s="886">
        <v>0.99139712130236091</v>
      </c>
      <c r="H254" s="886">
        <v>1.0386821444869263</v>
      </c>
      <c r="I254" s="886">
        <v>1.0229943167248348</v>
      </c>
      <c r="K254">
        <v>1.9478298366632893</v>
      </c>
      <c r="L254">
        <v>0</v>
      </c>
      <c r="M254">
        <v>2.1392328399471735E-3</v>
      </c>
      <c r="N254">
        <v>0.19668089545693421</v>
      </c>
      <c r="O254">
        <v>2.4926238137366646E-2</v>
      </c>
      <c r="P254">
        <v>2.077395895991949E-2</v>
      </c>
      <c r="Q254">
        <v>2.84076397331989E-3</v>
      </c>
      <c r="R254">
        <v>2.1269446151616178E-3</v>
      </c>
      <c r="S254">
        <v>0.21262204275155355</v>
      </c>
      <c r="T254">
        <v>1.061095567527689</v>
      </c>
      <c r="U254">
        <v>3.6862806500728804E-2</v>
      </c>
      <c r="V254">
        <v>0.24693627735928758</v>
      </c>
      <c r="W254">
        <v>0.11998426749446499</v>
      </c>
      <c r="X254">
        <v>1.9330464631443164E-2</v>
      </c>
      <c r="Y254">
        <v>5.7888420953659718E-3</v>
      </c>
    </row>
    <row r="255" spans="1:36" x14ac:dyDescent="0.25">
      <c r="A255" s="881"/>
      <c r="B255" s="1131">
        <v>5</v>
      </c>
      <c r="C255" s="886">
        <v>1.00507070983276</v>
      </c>
      <c r="D255" s="886">
        <v>1.0078844500863855</v>
      </c>
      <c r="E255" s="886">
        <v>0.98311052642918229</v>
      </c>
      <c r="F255" s="886">
        <v>0.99402088137942246</v>
      </c>
      <c r="G255" s="886">
        <v>0.97621686713680933</v>
      </c>
      <c r="H255" s="886">
        <v>0.96220186614786019</v>
      </c>
      <c r="I255" s="886">
        <v>0.98230115792483352</v>
      </c>
      <c r="K255">
        <v>1.9090223879189838</v>
      </c>
      <c r="L255">
        <v>0</v>
      </c>
      <c r="M255">
        <v>1.9300319972654851E-3</v>
      </c>
      <c r="N255">
        <v>0.18445217942519854</v>
      </c>
      <c r="O255">
        <v>2.4924963861088497E-2</v>
      </c>
      <c r="P255">
        <v>2.0736784444099775E-2</v>
      </c>
      <c r="Q255">
        <v>2.8801887688726575E-3</v>
      </c>
      <c r="R255">
        <v>1.9180519777684038E-3</v>
      </c>
      <c r="S255">
        <v>0.19672529167688291</v>
      </c>
      <c r="T255">
        <v>1.0599292994884379</v>
      </c>
      <c r="U255">
        <v>3.7132024877261485E-2</v>
      </c>
      <c r="V255">
        <v>0.24612826409832475</v>
      </c>
      <c r="W255">
        <v>0.11154457537578058</v>
      </c>
      <c r="X255">
        <v>1.9360490724709242E-2</v>
      </c>
      <c r="Y255">
        <v>5.2203051978210535E-3</v>
      </c>
    </row>
    <row r="256" spans="1:36" x14ac:dyDescent="0.25">
      <c r="A256" s="881"/>
      <c r="B256" s="1131">
        <v>6</v>
      </c>
      <c r="C256" s="886">
        <v>0.95350487570901832</v>
      </c>
      <c r="D256" s="886">
        <v>1.012480317002181</v>
      </c>
      <c r="E256" s="886">
        <v>0.99278041616900936</v>
      </c>
      <c r="F256" s="886">
        <v>1.0005254482794506</v>
      </c>
      <c r="G256" s="886">
        <v>0.995517849439983</v>
      </c>
      <c r="H256" s="886">
        <v>0.99169436267665678</v>
      </c>
      <c r="I256" s="886">
        <v>1.0154167219195882</v>
      </c>
      <c r="K256">
        <v>1.9685194026349435</v>
      </c>
      <c r="L256">
        <v>0</v>
      </c>
      <c r="M256">
        <v>2.0499658305995006E-3</v>
      </c>
      <c r="N256">
        <v>0.20194019806754324</v>
      </c>
      <c r="O256">
        <v>2.6213896268805135E-2</v>
      </c>
      <c r="P256">
        <v>2.1274272910861865E-2</v>
      </c>
      <c r="Q256">
        <v>3.0598825668037319E-3</v>
      </c>
      <c r="R256">
        <v>2.0376159063164824E-3</v>
      </c>
      <c r="S256">
        <v>0.21706805728461687</v>
      </c>
      <c r="T256">
        <v>1.0590365142386355</v>
      </c>
      <c r="U256">
        <v>3.9140136093342735E-2</v>
      </c>
      <c r="V256">
        <v>0.2530796960611234</v>
      </c>
      <c r="W256">
        <v>0.12130803827195903</v>
      </c>
      <c r="X256">
        <v>2.0865341998445485E-2</v>
      </c>
      <c r="Y256">
        <v>5.545718797090469E-3</v>
      </c>
    </row>
    <row r="257" spans="1:25" x14ac:dyDescent="0.25">
      <c r="A257" s="881"/>
      <c r="B257" s="1131">
        <v>7</v>
      </c>
      <c r="C257" s="886">
        <v>1.0241623567838907</v>
      </c>
      <c r="D257" s="886">
        <v>1.0086317974607344</v>
      </c>
      <c r="E257" s="886">
        <v>1.0433411330446083</v>
      </c>
      <c r="F257" s="886">
        <v>1.0078021655811937</v>
      </c>
      <c r="G257" s="886">
        <v>1.0330279663369479</v>
      </c>
      <c r="H257" s="886">
        <v>1.0050160632092999</v>
      </c>
      <c r="I257" s="886">
        <v>1.0142852306393482</v>
      </c>
      <c r="K257">
        <v>1.9315262641748558</v>
      </c>
      <c r="L257">
        <v>0</v>
      </c>
      <c r="M257">
        <v>1.7415798936076779E-3</v>
      </c>
      <c r="N257">
        <v>0.20076058991420176</v>
      </c>
      <c r="O257">
        <v>2.445136916954745E-2</v>
      </c>
      <c r="P257">
        <v>2.1649873339011683E-2</v>
      </c>
      <c r="Q257">
        <v>3.0006520176433789E-3</v>
      </c>
      <c r="R257">
        <v>1.7312296198729856E-3</v>
      </c>
      <c r="S257">
        <v>0.20354929276608302</v>
      </c>
      <c r="T257">
        <v>1.0544278073439652</v>
      </c>
      <c r="U257">
        <v>3.6439838228492796E-2</v>
      </c>
      <c r="V257">
        <v>0.24343298091000079</v>
      </c>
      <c r="W257">
        <v>0.11654865911877041</v>
      </c>
      <c r="X257">
        <v>2.2563715315269753E-2</v>
      </c>
      <c r="Y257">
        <v>4.7118363256034562E-3</v>
      </c>
    </row>
    <row r="258" spans="1:25" x14ac:dyDescent="0.25">
      <c r="A258" s="881"/>
      <c r="B258" s="1131">
        <v>8</v>
      </c>
      <c r="C258" s="886">
        <v>0.97177768524647923</v>
      </c>
      <c r="D258" s="886">
        <v>0.98600046952626619</v>
      </c>
      <c r="E258" s="886">
        <v>1.0371773317515924</v>
      </c>
      <c r="F258" s="886">
        <v>1.0387346157489517</v>
      </c>
      <c r="G258" s="886">
        <v>1.000585248715846</v>
      </c>
      <c r="H258" s="886">
        <v>1.0430797479393343</v>
      </c>
      <c r="I258" s="886">
        <v>1.0015014566465097</v>
      </c>
      <c r="K258">
        <v>1.9947879899780296</v>
      </c>
      <c r="L258">
        <v>0</v>
      </c>
      <c r="M258">
        <v>1.951810035523552E-3</v>
      </c>
      <c r="N258">
        <v>0.22078415108671018</v>
      </c>
      <c r="O258">
        <v>2.6060655690540998E-2</v>
      </c>
      <c r="P258">
        <v>2.1936766490541073E-2</v>
      </c>
      <c r="Q258">
        <v>3.1737894850382533E-3</v>
      </c>
      <c r="R258">
        <v>1.9406512300788042E-3</v>
      </c>
      <c r="S258">
        <v>0.21803525062221929</v>
      </c>
      <c r="T258">
        <v>1.0549842975163013</v>
      </c>
      <c r="U258">
        <v>3.8404165034362815E-2</v>
      </c>
      <c r="V258">
        <v>0.25371976920766715</v>
      </c>
      <c r="W258">
        <v>0.12869979997104408</v>
      </c>
      <c r="X258">
        <v>2.3718690766280616E-2</v>
      </c>
      <c r="Y258">
        <v>5.2818129127684427E-3</v>
      </c>
    </row>
    <row r="259" spans="1:25" x14ac:dyDescent="0.25">
      <c r="A259" s="881"/>
      <c r="B259" s="1131">
        <v>9</v>
      </c>
      <c r="C259" s="886">
        <v>0.96526718992773952</v>
      </c>
      <c r="D259" s="886">
        <v>1.0310609131312172</v>
      </c>
      <c r="E259" s="886">
        <v>1.0294912249492207</v>
      </c>
      <c r="F259" s="886">
        <v>1.0066293192248843</v>
      </c>
      <c r="G259" s="886">
        <v>1.0009036180232116</v>
      </c>
      <c r="H259" s="886">
        <v>0.99991821244490364</v>
      </c>
      <c r="I259" s="886">
        <v>1.0102086500921998</v>
      </c>
      <c r="K259">
        <v>1.9618146390061335</v>
      </c>
      <c r="L259">
        <v>0</v>
      </c>
      <c r="M259">
        <v>1.8727576900858778E-3</v>
      </c>
      <c r="N259">
        <v>0.20679339577834105</v>
      </c>
      <c r="O259">
        <v>2.5663105976313664E-2</v>
      </c>
      <c r="P259">
        <v>2.1684116180215689E-2</v>
      </c>
      <c r="Q259">
        <v>3.1113992106145921E-3</v>
      </c>
      <c r="R259">
        <v>1.8615541637184909E-3</v>
      </c>
      <c r="S259">
        <v>0.2124137768403834</v>
      </c>
      <c r="T259">
        <v>1.0556803126918051</v>
      </c>
      <c r="U259">
        <v>3.8663191902037715E-2</v>
      </c>
      <c r="V259">
        <v>0.24900632891063954</v>
      </c>
      <c r="W259">
        <v>0.12116532707659833</v>
      </c>
      <c r="X259">
        <v>2.2578351193074799E-2</v>
      </c>
      <c r="Y259">
        <v>5.0665367724765879E-3</v>
      </c>
    </row>
    <row r="260" spans="1:25" x14ac:dyDescent="0.25">
      <c r="A260" s="881"/>
      <c r="B260" s="1131">
        <v>10</v>
      </c>
      <c r="C260" s="886">
        <v>1.031048275066792</v>
      </c>
      <c r="D260" s="886">
        <v>0.97179687117665714</v>
      </c>
      <c r="E260" s="886">
        <v>0.97871137978271305</v>
      </c>
      <c r="F260" s="886">
        <v>0.9991009991348363</v>
      </c>
      <c r="G260" s="886">
        <v>0.98228201055201469</v>
      </c>
      <c r="H260" s="886">
        <v>1.0346467698072941</v>
      </c>
      <c r="I260" s="886">
        <v>0.9955878534886532</v>
      </c>
      <c r="K260">
        <v>1.9369945822035568</v>
      </c>
      <c r="L260">
        <v>0</v>
      </c>
      <c r="M260">
        <v>2.0790379509643534E-3</v>
      </c>
      <c r="N260">
        <v>0.19607657336942297</v>
      </c>
      <c r="O260">
        <v>2.4740116861291638E-2</v>
      </c>
      <c r="P260">
        <v>2.0781757781875996E-2</v>
      </c>
      <c r="Q260">
        <v>2.838823286882842E-3</v>
      </c>
      <c r="R260">
        <v>2.0670670399113686E-3</v>
      </c>
      <c r="S260">
        <v>0.20482390462101632</v>
      </c>
      <c r="T260">
        <v>1.0603366580065605</v>
      </c>
      <c r="U260">
        <v>3.6196472564293106E-2</v>
      </c>
      <c r="V260">
        <v>0.2470549982607062</v>
      </c>
      <c r="W260">
        <v>0.11893651805260873</v>
      </c>
      <c r="X260">
        <v>1.9594855235779168E-2</v>
      </c>
      <c r="Y260">
        <v>5.6258750741721708E-3</v>
      </c>
    </row>
    <row r="261" spans="1:25" x14ac:dyDescent="0.25">
      <c r="A261" s="881"/>
      <c r="B261" s="1131">
        <v>11</v>
      </c>
      <c r="C261" s="886">
        <v>1.0234949352012401</v>
      </c>
      <c r="D261" s="886">
        <v>0.99522334436058602</v>
      </c>
      <c r="E261" s="886">
        <v>0.97134384833686305</v>
      </c>
      <c r="F261" s="886">
        <v>0.99633050517418864</v>
      </c>
      <c r="G261" s="886">
        <v>1.0253380436279564</v>
      </c>
      <c r="H261" s="886">
        <v>0.98556851513325405</v>
      </c>
      <c r="I261" s="886">
        <v>1.0131147168619685</v>
      </c>
      <c r="K261">
        <v>1.9146558991216354</v>
      </c>
      <c r="L261">
        <v>0</v>
      </c>
      <c r="M261">
        <v>2.0023225310294547E-3</v>
      </c>
      <c r="N261">
        <v>0.18449927541084288</v>
      </c>
      <c r="O261">
        <v>2.4629890477742281E-2</v>
      </c>
      <c r="P261">
        <v>2.0624676896269012E-2</v>
      </c>
      <c r="Q261">
        <v>2.8097287217198224E-3</v>
      </c>
      <c r="R261">
        <v>1.9901990806659013E-3</v>
      </c>
      <c r="S261">
        <v>0.20274788160626417</v>
      </c>
      <c r="T261">
        <v>1.0610205673896</v>
      </c>
      <c r="U261">
        <v>3.6463600666063828E-2</v>
      </c>
      <c r="V261">
        <v>0.24514577954892908</v>
      </c>
      <c r="W261">
        <v>0.11248954895798526</v>
      </c>
      <c r="X261">
        <v>1.8820407067960159E-2</v>
      </c>
      <c r="Y261">
        <v>5.4166658286219629E-3</v>
      </c>
    </row>
    <row r="262" spans="1:25" x14ac:dyDescent="0.25">
      <c r="A262" s="881"/>
      <c r="B262" s="1131">
        <v>12</v>
      </c>
      <c r="C262" s="886">
        <v>0.97202137849472692</v>
      </c>
      <c r="D262" s="886">
        <v>0.97443440071359122</v>
      </c>
      <c r="E262" s="886">
        <v>0.99170122898388791</v>
      </c>
      <c r="F262" s="886">
        <v>0.96669409344775836</v>
      </c>
      <c r="G262" s="886">
        <v>0.99544359675437188</v>
      </c>
      <c r="H262" s="886">
        <v>1.0274360058622658</v>
      </c>
      <c r="I262" s="886">
        <v>1.0205210683820605</v>
      </c>
      <c r="K262">
        <v>1.9864636101604585</v>
      </c>
      <c r="L262">
        <v>0</v>
      </c>
      <c r="M262">
        <v>2.1280946397846663E-3</v>
      </c>
      <c r="N262">
        <v>0.20898082306725424</v>
      </c>
      <c r="O262">
        <v>2.6207166438588322E-2</v>
      </c>
      <c r="P262">
        <v>2.1339403075603613E-2</v>
      </c>
      <c r="Q262">
        <v>3.0475938759167015E-3</v>
      </c>
      <c r="R262">
        <v>2.1157529223876652E-3</v>
      </c>
      <c r="S262">
        <v>0.2216486440043528</v>
      </c>
      <c r="T262">
        <v>1.0591359714497575</v>
      </c>
      <c r="U262">
        <v>3.8394536814314907E-2</v>
      </c>
      <c r="V262">
        <v>0.2552187403712789</v>
      </c>
      <c r="W262">
        <v>0.12563066962198002</v>
      </c>
      <c r="X262">
        <v>2.1114021161830587E-2</v>
      </c>
      <c r="Y262">
        <v>5.7583819969758065E-3</v>
      </c>
    </row>
    <row r="263" spans="1:25" x14ac:dyDescent="0.25">
      <c r="A263" s="881"/>
      <c r="B263" s="1131">
        <v>13</v>
      </c>
      <c r="C263" s="886">
        <v>1.0185260192645385</v>
      </c>
      <c r="D263" s="886">
        <v>1.0063252630949779</v>
      </c>
      <c r="E263" s="886">
        <v>1.0208568462779246</v>
      </c>
      <c r="F263" s="886">
        <v>1.0066594115669789</v>
      </c>
      <c r="G263" s="886">
        <v>1.0039436968697253</v>
      </c>
      <c r="H263" s="886">
        <v>0.9527835014241649</v>
      </c>
      <c r="I263" s="886">
        <v>0.98372030480488359</v>
      </c>
      <c r="K263">
        <v>1.9033828883892732</v>
      </c>
      <c r="L263">
        <v>0</v>
      </c>
      <c r="M263">
        <v>1.7430766807888208E-3</v>
      </c>
      <c r="N263">
        <v>0.18732782685346519</v>
      </c>
      <c r="O263">
        <v>2.4614528327986215E-2</v>
      </c>
      <c r="P263">
        <v>2.120750528807637E-2</v>
      </c>
      <c r="Q263">
        <v>2.9538708177808091E-3</v>
      </c>
      <c r="R263">
        <v>1.7321513390956471E-3</v>
      </c>
      <c r="S263">
        <v>0.19362707171806312</v>
      </c>
      <c r="T263">
        <v>1.0564649569189459</v>
      </c>
      <c r="U263">
        <v>3.6641489657638068E-2</v>
      </c>
      <c r="V263">
        <v>0.2444693747379198</v>
      </c>
      <c r="W263">
        <v>0.11039902872896037</v>
      </c>
      <c r="X263">
        <v>2.097381574064771E-2</v>
      </c>
      <c r="Y263">
        <v>4.7143449414828792E-3</v>
      </c>
    </row>
    <row r="264" spans="1:25" x14ac:dyDescent="0.25">
      <c r="A264" s="881"/>
      <c r="B264" s="1131">
        <v>14</v>
      </c>
      <c r="C264" s="886">
        <v>1.0032977690325866</v>
      </c>
      <c r="D264" s="886">
        <v>0.99669470594423615</v>
      </c>
      <c r="E264" s="886">
        <v>1.003699540450677</v>
      </c>
      <c r="F264" s="886">
        <v>1.0010175646876882</v>
      </c>
      <c r="G264" s="886">
        <v>0.99407665011391533</v>
      </c>
      <c r="H264" s="886">
        <v>1.016528376014959</v>
      </c>
      <c r="I264" s="886">
        <v>0.99721330359588667</v>
      </c>
      <c r="K264">
        <v>1.9451082243557203</v>
      </c>
      <c r="L264">
        <v>0</v>
      </c>
      <c r="M264">
        <v>1.9668471105475467E-3</v>
      </c>
      <c r="N264">
        <v>0.20047906145574135</v>
      </c>
      <c r="O264">
        <v>2.5107332200839907E-2</v>
      </c>
      <c r="P264">
        <v>2.1191678708174809E-2</v>
      </c>
      <c r="Q264">
        <v>2.9598540500626294E-3</v>
      </c>
      <c r="R264">
        <v>1.9552999644727245E-3</v>
      </c>
      <c r="S264">
        <v>0.20656424920191735</v>
      </c>
      <c r="T264">
        <v>1.0580327643032035</v>
      </c>
      <c r="U264">
        <v>3.7197641371117911E-2</v>
      </c>
      <c r="V264">
        <v>0.24775489495728503</v>
      </c>
      <c r="W264">
        <v>0.11953279390703904</v>
      </c>
      <c r="X264">
        <v>2.0977819407579711E-2</v>
      </c>
      <c r="Y264">
        <v>5.3216819388346983E-3</v>
      </c>
    </row>
    <row r="265" spans="1:25" x14ac:dyDescent="0.25">
      <c r="A265" s="881"/>
      <c r="B265" s="1131">
        <v>15</v>
      </c>
      <c r="C265" s="886">
        <v>1.0039392795356707</v>
      </c>
      <c r="D265" s="886">
        <v>0.96100159152069231</v>
      </c>
      <c r="E265" s="886">
        <v>1.0075950072924493</v>
      </c>
      <c r="F265" s="886">
        <v>1.0355553496137926</v>
      </c>
      <c r="G265" s="886">
        <v>0.9966430707767584</v>
      </c>
      <c r="H265" s="886">
        <v>0.98585374015505123</v>
      </c>
      <c r="I265" s="886">
        <v>1.0062865521233781</v>
      </c>
      <c r="K265">
        <v>1.948775299430265</v>
      </c>
      <c r="L265">
        <v>0</v>
      </c>
      <c r="M265">
        <v>1.9252032961386779E-3</v>
      </c>
      <c r="N265">
        <v>0.19859259874368967</v>
      </c>
      <c r="O265">
        <v>2.5549717283859828E-2</v>
      </c>
      <c r="P265">
        <v>2.1338725629272633E-2</v>
      </c>
      <c r="Q265">
        <v>3.0160358700333494E-3</v>
      </c>
      <c r="R265">
        <v>1.9135786497334517E-3</v>
      </c>
      <c r="S265">
        <v>0.2086672578452618</v>
      </c>
      <c r="T265">
        <v>1.057675794475001</v>
      </c>
      <c r="U265">
        <v>3.7173872326399841E-2</v>
      </c>
      <c r="V265">
        <v>0.25227371119240766</v>
      </c>
      <c r="W265">
        <v>0.11809406598977477</v>
      </c>
      <c r="X265">
        <v>2.1197014447428084E-2</v>
      </c>
      <c r="Y265">
        <v>5.2081302735421057E-3</v>
      </c>
    </row>
    <row r="266" spans="1:25" x14ac:dyDescent="0.25">
      <c r="A266" s="881"/>
      <c r="B266" s="1131">
        <v>16</v>
      </c>
      <c r="C266" s="886">
        <v>1.0103249521910103</v>
      </c>
      <c r="D266" s="886">
        <v>1.0182971504439033</v>
      </c>
      <c r="E266" s="886">
        <v>0.98713124755222204</v>
      </c>
      <c r="F266" s="886">
        <v>0.97487478603920552</v>
      </c>
      <c r="G266" s="886">
        <v>0.98291924995952729</v>
      </c>
      <c r="H266" s="886">
        <v>0.96180773326371183</v>
      </c>
      <c r="I266" s="886">
        <v>1.0061253340524341</v>
      </c>
      <c r="K266">
        <v>1.906728748570921</v>
      </c>
      <c r="L266">
        <v>0</v>
      </c>
      <c r="M266">
        <v>1.8934315508343199E-3</v>
      </c>
      <c r="N266">
        <v>0.18323329966793295</v>
      </c>
      <c r="O266">
        <v>2.4669735872581151E-2</v>
      </c>
      <c r="P266">
        <v>2.0802671018584074E-2</v>
      </c>
      <c r="Q266">
        <v>2.8643763592911191E-3</v>
      </c>
      <c r="R266">
        <v>1.88166557077114E-3</v>
      </c>
      <c r="S266">
        <v>0.19946888655314704</v>
      </c>
      <c r="T266">
        <v>1.0595576398987157</v>
      </c>
      <c r="U266">
        <v>3.6938918038184949E-2</v>
      </c>
      <c r="V266">
        <v>0.24415087726398382</v>
      </c>
      <c r="W266">
        <v>0.11049986710844875</v>
      </c>
      <c r="X266">
        <v>1.943296937736461E-2</v>
      </c>
      <c r="Y266">
        <v>5.1212733927503452E-3</v>
      </c>
    </row>
    <row r="267" spans="1:25" x14ac:dyDescent="0.25">
      <c r="A267" s="881"/>
      <c r="B267" s="1131">
        <v>17</v>
      </c>
      <c r="C267" s="886">
        <v>0.99283441998574651</v>
      </c>
      <c r="D267" s="886">
        <v>0.99859016819645641</v>
      </c>
      <c r="E267" s="886">
        <v>0.99054920489615395</v>
      </c>
      <c r="F267" s="886">
        <v>1.0122994458259973</v>
      </c>
      <c r="G267" s="886">
        <v>0.99855349896096668</v>
      </c>
      <c r="H267" s="886">
        <v>0.99869077636033976</v>
      </c>
      <c r="I267" s="886">
        <v>0.99800424946420185</v>
      </c>
      <c r="K267">
        <v>1.9420292697847981</v>
      </c>
      <c r="L267">
        <v>0</v>
      </c>
      <c r="M267">
        <v>2.0056205840864407E-3</v>
      </c>
      <c r="N267">
        <v>0.19621370163102156</v>
      </c>
      <c r="O267">
        <v>2.534807726535283E-2</v>
      </c>
      <c r="P267">
        <v>2.1027482774924923E-2</v>
      </c>
      <c r="Q267">
        <v>2.9493238774337643E-3</v>
      </c>
      <c r="R267">
        <v>1.9936339143329469E-3</v>
      </c>
      <c r="S267">
        <v>0.20690863458993333</v>
      </c>
      <c r="T267">
        <v>1.0592421912417176</v>
      </c>
      <c r="U267">
        <v>3.7589662334080509E-2</v>
      </c>
      <c r="V267">
        <v>0.24900450153792461</v>
      </c>
      <c r="W267">
        <v>0.11804919740944959</v>
      </c>
      <c r="X267">
        <v>2.0282469479140586E-2</v>
      </c>
      <c r="Y267">
        <v>5.4260143135710483E-3</v>
      </c>
    </row>
    <row r="268" spans="1:25" x14ac:dyDescent="0.25">
      <c r="A268" s="881"/>
      <c r="B268" s="1131">
        <v>18</v>
      </c>
      <c r="C268" s="886">
        <v>0.98739010907157365</v>
      </c>
      <c r="D268" s="886">
        <v>0.98404656316500161</v>
      </c>
      <c r="E268" s="886">
        <v>0.99927211523120107</v>
      </c>
      <c r="F268" s="886">
        <v>1.0089679125181548</v>
      </c>
      <c r="G268" s="886">
        <v>1.0395159281040243</v>
      </c>
      <c r="H268" s="886">
        <v>0.978090736183299</v>
      </c>
      <c r="I268" s="886">
        <v>0.97500786705111486</v>
      </c>
      <c r="K268">
        <v>1.940012492325712</v>
      </c>
      <c r="L268">
        <v>0</v>
      </c>
      <c r="M268">
        <v>1.9532974642374654E-3</v>
      </c>
      <c r="N268">
        <v>0.19633013457018375</v>
      </c>
      <c r="O268">
        <v>2.5673838288951537E-2</v>
      </c>
      <c r="P268">
        <v>2.1134057280728154E-2</v>
      </c>
      <c r="Q268">
        <v>3.0105167764019562E-3</v>
      </c>
      <c r="R268">
        <v>1.9413897934046093E-3</v>
      </c>
      <c r="S268">
        <v>0.20255579337031274</v>
      </c>
      <c r="T268">
        <v>1.0584391995456361</v>
      </c>
      <c r="U268">
        <v>3.7796925711569666E-2</v>
      </c>
      <c r="V268">
        <v>0.25165151004530684</v>
      </c>
      <c r="W268">
        <v>0.11741384598860982</v>
      </c>
      <c r="X268">
        <v>2.0734755380168498E-2</v>
      </c>
      <c r="Y268">
        <v>5.2838230386739495E-3</v>
      </c>
    </row>
    <row r="269" spans="1:25" x14ac:dyDescent="0.25">
      <c r="A269" s="881"/>
      <c r="B269" s="1131">
        <v>19</v>
      </c>
      <c r="C269" s="886">
        <v>1.0122582911773299</v>
      </c>
      <c r="D269" s="886">
        <v>1.0109630354989172</v>
      </c>
      <c r="E269" s="886">
        <v>1.0122745063902385</v>
      </c>
      <c r="F269" s="886">
        <v>0.98129004647848461</v>
      </c>
      <c r="G269" s="886">
        <v>1.0465954005201581</v>
      </c>
      <c r="H269" s="886">
        <v>1.0328843308558666</v>
      </c>
      <c r="I269" s="886">
        <v>0.96368183300954913</v>
      </c>
      <c r="K269">
        <v>1.9344419827142545</v>
      </c>
      <c r="L269">
        <v>0</v>
      </c>
      <c r="M269">
        <v>1.9316905434077661E-3</v>
      </c>
      <c r="N269">
        <v>0.20223355493402317</v>
      </c>
      <c r="O269">
        <v>2.4710698848109624E-2</v>
      </c>
      <c r="P269">
        <v>2.1154116526017612E-2</v>
      </c>
      <c r="Q269">
        <v>2.9411097613328907E-3</v>
      </c>
      <c r="R269">
        <v>1.9205184005523894E-3</v>
      </c>
      <c r="S269">
        <v>0.19813185510342854</v>
      </c>
      <c r="T269">
        <v>1.0572477608327844</v>
      </c>
      <c r="U269">
        <v>3.6868367417875796E-2</v>
      </c>
      <c r="V269">
        <v>0.24476621742925034</v>
      </c>
      <c r="W269">
        <v>0.11987738538254397</v>
      </c>
      <c r="X269">
        <v>2.1295070634159106E-2</v>
      </c>
      <c r="Y269">
        <v>5.2270179875830115E-3</v>
      </c>
    </row>
    <row r="270" spans="1:25" x14ac:dyDescent="0.25">
      <c r="A270" s="881"/>
      <c r="B270" s="1131">
        <v>20</v>
      </c>
      <c r="C270" s="886">
        <v>0.96913488912364654</v>
      </c>
      <c r="D270" s="886">
        <v>0.97943631977243883</v>
      </c>
      <c r="E270" s="886">
        <v>0.96561315187040564</v>
      </c>
      <c r="F270" s="886">
        <v>1.0014334091579233</v>
      </c>
      <c r="G270" s="886">
        <v>0.97180907003118133</v>
      </c>
      <c r="H270" s="886">
        <v>1.0151374755875833</v>
      </c>
      <c r="I270" s="886">
        <v>0.9915664525452984</v>
      </c>
      <c r="K270">
        <v>1.9691549317965664</v>
      </c>
      <c r="L270">
        <v>0</v>
      </c>
      <c r="M270">
        <v>2.2219244621446686E-3</v>
      </c>
      <c r="N270">
        <v>0.20114477125903771</v>
      </c>
      <c r="O270">
        <v>2.6218475246971865E-2</v>
      </c>
      <c r="P270">
        <v>2.0851629713911125E-2</v>
      </c>
      <c r="Q270">
        <v>2.9701378479827915E-3</v>
      </c>
      <c r="R270">
        <v>2.2088777962964174E-3</v>
      </c>
      <c r="S270">
        <v>0.21420542302919188</v>
      </c>
      <c r="T270">
        <v>1.0615539860508685</v>
      </c>
      <c r="U270">
        <v>3.8508891816560566E-2</v>
      </c>
      <c r="V270">
        <v>0.25498847526622148</v>
      </c>
      <c r="W270">
        <v>0.12313096112293281</v>
      </c>
      <c r="X270">
        <v>1.9583389903585147E-2</v>
      </c>
      <c r="Y270">
        <v>6.0118372051489949E-3</v>
      </c>
    </row>
    <row r="271" spans="1:25" x14ac:dyDescent="0.25">
      <c r="A271" s="881"/>
      <c r="B271" s="1131">
        <v>21</v>
      </c>
      <c r="C271" s="886">
        <v>1.0125872297723961</v>
      </c>
      <c r="D271" s="886">
        <v>0.99318037514938451</v>
      </c>
      <c r="E271" s="886">
        <v>1.0129412940393228</v>
      </c>
      <c r="F271" s="886">
        <v>1.0168931848032825</v>
      </c>
      <c r="G271" s="886">
        <v>0.96997567779129445</v>
      </c>
      <c r="H271" s="886">
        <v>0.9610879557148917</v>
      </c>
      <c r="I271" s="886">
        <v>0.97390666422043515</v>
      </c>
      <c r="K271">
        <v>1.9127681862469614</v>
      </c>
      <c r="L271">
        <v>0</v>
      </c>
      <c r="M271">
        <v>1.8101208766669876E-3</v>
      </c>
      <c r="N271">
        <v>0.18981821511797156</v>
      </c>
      <c r="O271">
        <v>2.4920561933148875E-2</v>
      </c>
      <c r="P271">
        <v>2.1146895307932307E-2</v>
      </c>
      <c r="Q271">
        <v>2.9643965800674639E-3</v>
      </c>
      <c r="R271">
        <v>1.7988835897541535E-3</v>
      </c>
      <c r="S271">
        <v>0.19479605186404073</v>
      </c>
      <c r="T271">
        <v>1.0571868393636441</v>
      </c>
      <c r="U271">
        <v>3.6856390742065329E-2</v>
      </c>
      <c r="V271">
        <v>0.24689525248554198</v>
      </c>
      <c r="W271">
        <v>0.11246710625210807</v>
      </c>
      <c r="X271">
        <v>2.0831745757857272E-2</v>
      </c>
      <c r="Y271">
        <v>4.8959681294948156E-3</v>
      </c>
    </row>
    <row r="272" spans="1:25" x14ac:dyDescent="0.25">
      <c r="A272" s="881"/>
      <c r="B272" s="1131">
        <v>22</v>
      </c>
      <c r="C272" s="886">
        <v>0.99781585367528425</v>
      </c>
      <c r="D272" s="886">
        <v>0.99990939541324975</v>
      </c>
      <c r="E272" s="886">
        <v>0.97665911320003751</v>
      </c>
      <c r="F272" s="886">
        <v>1.0207401622454628</v>
      </c>
      <c r="G272" s="886">
        <v>0.97713009689353247</v>
      </c>
      <c r="H272" s="886">
        <v>0.99318012417738166</v>
      </c>
      <c r="I272" s="886">
        <v>1.020715933055365</v>
      </c>
      <c r="K272">
        <v>1.9373612275719296</v>
      </c>
      <c r="L272">
        <v>0</v>
      </c>
      <c r="M272">
        <v>2.0420190471790545E-3</v>
      </c>
      <c r="N272">
        <v>0.19130897907387798</v>
      </c>
      <c r="O272">
        <v>2.5205052582352557E-2</v>
      </c>
      <c r="P272">
        <v>2.0849956050917762E-2</v>
      </c>
      <c r="Q272">
        <v>2.8919180501120944E-3</v>
      </c>
      <c r="R272">
        <v>2.0297460025362089E-3</v>
      </c>
      <c r="S272">
        <v>0.20986272557168273</v>
      </c>
      <c r="T272">
        <v>1.0605269534510784</v>
      </c>
      <c r="U272">
        <v>3.740200204622314E-2</v>
      </c>
      <c r="V272">
        <v>0.24812606335077028</v>
      </c>
      <c r="W272">
        <v>0.11621022124772612</v>
      </c>
      <c r="X272">
        <v>1.9465329678517631E-2</v>
      </c>
      <c r="Y272">
        <v>5.5242995133136493E-3</v>
      </c>
    </row>
    <row r="273" spans="1:25" x14ac:dyDescent="0.25">
      <c r="A273" s="881"/>
      <c r="B273" s="1131">
        <v>23</v>
      </c>
      <c r="C273" s="886">
        <v>1.0383665900800674</v>
      </c>
      <c r="D273" s="886">
        <v>1.0003836581868226</v>
      </c>
      <c r="E273" s="886">
        <v>1.0105828716063712</v>
      </c>
      <c r="F273" s="886">
        <v>0.99805748598877508</v>
      </c>
      <c r="G273" s="886">
        <v>0.98773808900733817</v>
      </c>
      <c r="H273" s="886">
        <v>0.9794168201669512</v>
      </c>
      <c r="I273" s="886">
        <v>1.0343342827606805</v>
      </c>
      <c r="K273">
        <v>1.9112479536557787</v>
      </c>
      <c r="L273">
        <v>0</v>
      </c>
      <c r="M273">
        <v>1.8013650770107208E-3</v>
      </c>
      <c r="N273">
        <v>0.18754163505460947</v>
      </c>
      <c r="O273">
        <v>2.4215049730985289E-2</v>
      </c>
      <c r="P273">
        <v>2.1152380670637752E-2</v>
      </c>
      <c r="Q273">
        <v>2.8751469603971211E-3</v>
      </c>
      <c r="R273">
        <v>1.790385920015801E-3</v>
      </c>
      <c r="S273">
        <v>0.20292607272604896</v>
      </c>
      <c r="T273">
        <v>1.0574023959801804</v>
      </c>
      <c r="U273">
        <v>3.5941363057568315E-2</v>
      </c>
      <c r="V273">
        <v>0.2425388215888008</v>
      </c>
      <c r="W273">
        <v>0.11129622769598158</v>
      </c>
      <c r="X273">
        <v>2.0496999073838465E-2</v>
      </c>
      <c r="Y273">
        <v>4.8728402737230987E-3</v>
      </c>
    </row>
    <row r="274" spans="1:25" x14ac:dyDescent="0.25">
      <c r="A274" s="881"/>
      <c r="B274" s="1131">
        <v>24</v>
      </c>
      <c r="C274" s="886">
        <v>0.97988914801900562</v>
      </c>
      <c r="D274" s="886">
        <v>1.0273877980481747</v>
      </c>
      <c r="E274" s="886">
        <v>0.97073253619735766</v>
      </c>
      <c r="F274" s="886">
        <v>0.97879142163481159</v>
      </c>
      <c r="G274" s="886">
        <v>1.036692607703821</v>
      </c>
      <c r="H274" s="886">
        <v>0.99264108988607946</v>
      </c>
      <c r="I274" s="886">
        <v>1.0008618393108359</v>
      </c>
      <c r="K274">
        <v>1.934571981046985</v>
      </c>
      <c r="L274">
        <v>0</v>
      </c>
      <c r="M274">
        <v>2.0762671071406984E-3</v>
      </c>
      <c r="N274">
        <v>0.19095419033303426</v>
      </c>
      <c r="O274">
        <v>2.5324680121570919E-2</v>
      </c>
      <c r="P274">
        <v>2.0722011894058687E-2</v>
      </c>
      <c r="Q274">
        <v>2.8935631753461586E-3</v>
      </c>
      <c r="R274">
        <v>2.0637581080892001E-3</v>
      </c>
      <c r="S274">
        <v>0.20690437424357178</v>
      </c>
      <c r="T274">
        <v>1.0610774083848784</v>
      </c>
      <c r="U274">
        <v>3.8086257691868075E-2</v>
      </c>
      <c r="V274">
        <v>0.24732446522681395</v>
      </c>
      <c r="W274">
        <v>0.11647483084164961</v>
      </c>
      <c r="X274">
        <v>1.9205838880701834E-2</v>
      </c>
      <c r="Y274">
        <v>5.6168692525413091E-3</v>
      </c>
    </row>
    <row r="275" spans="1:25" x14ac:dyDescent="0.25">
      <c r="A275" s="881"/>
      <c r="B275" s="1131">
        <v>25</v>
      </c>
      <c r="C275" s="886">
        <v>0.99766302119632577</v>
      </c>
      <c r="D275" s="886">
        <v>0.9900575205934431</v>
      </c>
      <c r="E275" s="886">
        <v>1.007819673170113</v>
      </c>
      <c r="F275" s="886">
        <v>1.0168630479355765</v>
      </c>
      <c r="G275" s="886">
        <v>1.0059940010587625</v>
      </c>
      <c r="H275" s="886">
        <v>1.0344912642595261</v>
      </c>
      <c r="I275" s="886">
        <v>0.98360359363670047</v>
      </c>
      <c r="K275">
        <v>1.9579243976290044</v>
      </c>
      <c r="L275">
        <v>0</v>
      </c>
      <c r="M275">
        <v>2.0021137092652223E-3</v>
      </c>
      <c r="N275">
        <v>0.20672707282458547</v>
      </c>
      <c r="O275">
        <v>2.5332858182029721E-2</v>
      </c>
      <c r="P275">
        <v>2.1287184787209017E-2</v>
      </c>
      <c r="Q275">
        <v>2.9973947717600001E-3</v>
      </c>
      <c r="R275">
        <v>1.9905689783944287E-3</v>
      </c>
      <c r="S275">
        <v>0.20732740540426794</v>
      </c>
      <c r="T275">
        <v>1.057655224765689</v>
      </c>
      <c r="U275">
        <v>3.7407731676939469E-2</v>
      </c>
      <c r="V275">
        <v>0.24938680394078952</v>
      </c>
      <c r="W275">
        <v>0.12291247610058308</v>
      </c>
      <c r="X275">
        <v>2.1484117337718028E-2</v>
      </c>
      <c r="Y275">
        <v>5.4176725683022613E-3</v>
      </c>
    </row>
    <row r="276" spans="1:25" x14ac:dyDescent="0.25">
      <c r="A276" s="881"/>
      <c r="B276" s="1131">
        <v>26</v>
      </c>
      <c r="C276" s="886">
        <v>0.9778725018096267</v>
      </c>
      <c r="D276" s="886">
        <v>1.021811426950322</v>
      </c>
      <c r="E276" s="886">
        <v>0.97831532542841548</v>
      </c>
      <c r="F276" s="886">
        <v>0.99005381910624213</v>
      </c>
      <c r="G276" s="886">
        <v>1.0061540739776782</v>
      </c>
      <c r="H276" s="886">
        <v>0.98242540673171119</v>
      </c>
      <c r="I276" s="886">
        <v>1.0180469591076653</v>
      </c>
      <c r="K276">
        <v>1.9389807981857223</v>
      </c>
      <c r="L276">
        <v>0</v>
      </c>
      <c r="M276">
        <v>2.0320902446044312E-3</v>
      </c>
      <c r="N276">
        <v>0.19134950704654013</v>
      </c>
      <c r="O276">
        <v>2.5445134582422285E-2</v>
      </c>
      <c r="P276">
        <v>2.0893226053937081E-2</v>
      </c>
      <c r="Q276">
        <v>2.9287892670233741E-3</v>
      </c>
      <c r="R276">
        <v>2.0197247085961476E-3</v>
      </c>
      <c r="S276">
        <v>0.21035166461677618</v>
      </c>
      <c r="T276">
        <v>1.0603733692454786</v>
      </c>
      <c r="U276">
        <v>3.8164802192364428E-2</v>
      </c>
      <c r="V276">
        <v>0.24829037297753756</v>
      </c>
      <c r="W276">
        <v>0.11610110039387776</v>
      </c>
      <c r="X276">
        <v>1.9598172491043005E-2</v>
      </c>
      <c r="Y276">
        <v>5.4970248547274629E-3</v>
      </c>
    </row>
    <row r="277" spans="1:25" x14ac:dyDescent="0.25">
      <c r="A277" s="881"/>
      <c r="B277" s="1131">
        <v>27</v>
      </c>
      <c r="C277" s="886">
        <v>1.0025590577530172</v>
      </c>
      <c r="D277" s="886">
        <v>0.98230953844394342</v>
      </c>
      <c r="E277" s="886">
        <v>1.0075735935242758</v>
      </c>
      <c r="F277" s="886">
        <v>1.0359421765785488</v>
      </c>
      <c r="G277" s="886">
        <v>1.0159860213100089</v>
      </c>
      <c r="H277" s="886">
        <v>0.99884064346641421</v>
      </c>
      <c r="I277" s="886">
        <v>1.0228261478865117</v>
      </c>
      <c r="K277">
        <v>1.9500623370878183</v>
      </c>
      <c r="L277">
        <v>0</v>
      </c>
      <c r="M277">
        <v>1.9321824404514619E-3</v>
      </c>
      <c r="N277">
        <v>0.19931315675939487</v>
      </c>
      <c r="O277">
        <v>2.530756159842102E-2</v>
      </c>
      <c r="P277">
        <v>2.1343841057334178E-2</v>
      </c>
      <c r="Q277">
        <v>2.9920150454430068E-3</v>
      </c>
      <c r="R277">
        <v>1.9206496091601114E-3</v>
      </c>
      <c r="S277">
        <v>0.21160635224371108</v>
      </c>
      <c r="T277">
        <v>1.057677755155833</v>
      </c>
      <c r="U277">
        <v>3.7225049549261438E-2</v>
      </c>
      <c r="V277">
        <v>0.24967886962547925</v>
      </c>
      <c r="W277">
        <v>0.11852427682243651</v>
      </c>
      <c r="X277">
        <v>2.117761696763313E-2</v>
      </c>
      <c r="Y277">
        <v>5.2273750941603256E-3</v>
      </c>
    </row>
    <row r="278" spans="1:25" x14ac:dyDescent="0.25">
      <c r="A278" s="881"/>
      <c r="B278" s="1131">
        <v>28</v>
      </c>
      <c r="C278" s="886">
        <v>1.0193931106255594</v>
      </c>
      <c r="D278" s="886">
        <v>0.96774908093113587</v>
      </c>
      <c r="E278" s="886">
        <v>1.0409256768817912</v>
      </c>
      <c r="F278" s="886">
        <v>1.0035274447083073</v>
      </c>
      <c r="G278" s="886">
        <v>1.014274508934927</v>
      </c>
      <c r="H278" s="886">
        <v>0.97051094522846282</v>
      </c>
      <c r="I278" s="886">
        <v>0.96707362654974849</v>
      </c>
      <c r="K278">
        <v>1.926269982543122</v>
      </c>
      <c r="L278">
        <v>0</v>
      </c>
      <c r="M278">
        <v>1.7334985306978507E-3</v>
      </c>
      <c r="N278">
        <v>0.19829898670285664</v>
      </c>
      <c r="O278">
        <v>2.5074954908160661E-2</v>
      </c>
      <c r="P278">
        <v>2.158355562709639E-2</v>
      </c>
      <c r="Q278">
        <v>3.0609973664003027E-3</v>
      </c>
      <c r="R278">
        <v>1.7228607111362917E-3</v>
      </c>
      <c r="S278">
        <v>0.19536232785794386</v>
      </c>
      <c r="T278">
        <v>1.0546457059387939</v>
      </c>
      <c r="U278">
        <v>3.6610322565369287E-2</v>
      </c>
      <c r="V278">
        <v>0.24918723639498189</v>
      </c>
      <c r="W278">
        <v>0.11530453981638421</v>
      </c>
      <c r="X278">
        <v>2.2462934269862289E-2</v>
      </c>
      <c r="Y278">
        <v>4.6890589148321964E-3</v>
      </c>
    </row>
    <row r="279" spans="1:25" x14ac:dyDescent="0.25">
      <c r="A279" s="881"/>
      <c r="B279" s="1131">
        <v>29</v>
      </c>
      <c r="C279" s="886">
        <v>0.99546951335568534</v>
      </c>
      <c r="D279" s="886">
        <v>1.0109300645981212</v>
      </c>
      <c r="E279" s="886">
        <v>0.98834156103204174</v>
      </c>
      <c r="F279" s="886">
        <v>0.97595967991286536</v>
      </c>
      <c r="G279" s="886">
        <v>0.99891532207933675</v>
      </c>
      <c r="H279" s="886">
        <v>1.0175185846840615</v>
      </c>
      <c r="I279" s="886">
        <v>0.99949919716970603</v>
      </c>
      <c r="K279">
        <v>1.9430712266060546</v>
      </c>
      <c r="L279">
        <v>0</v>
      </c>
      <c r="M279">
        <v>2.0351127195880388E-3</v>
      </c>
      <c r="N279">
        <v>0.19775614687563781</v>
      </c>
      <c r="O279">
        <v>2.5127854404958787E-2</v>
      </c>
      <c r="P279">
        <v>2.0975004728779605E-2</v>
      </c>
      <c r="Q279">
        <v>2.9196750437560193E-3</v>
      </c>
      <c r="R279">
        <v>2.0231647046395911E-3</v>
      </c>
      <c r="S279">
        <v>0.20741178009509187</v>
      </c>
      <c r="T279">
        <v>1.0594458862474216</v>
      </c>
      <c r="U279">
        <v>3.7490159266768172E-2</v>
      </c>
      <c r="V279">
        <v>0.24710136662385643</v>
      </c>
      <c r="W279">
        <v>0.11915837920389123</v>
      </c>
      <c r="X279">
        <v>2.0190534740878639E-2</v>
      </c>
      <c r="Y279">
        <v>5.5063873899633235E-3</v>
      </c>
    </row>
    <row r="280" spans="1:25" x14ac:dyDescent="0.25">
      <c r="A280" s="881"/>
      <c r="B280" s="1131">
        <v>30</v>
      </c>
      <c r="C280" s="886">
        <v>0.98270516174783484</v>
      </c>
      <c r="D280" s="886">
        <v>0.97982624811128627</v>
      </c>
      <c r="E280" s="886">
        <v>0.9827184172031781</v>
      </c>
      <c r="F280" s="886">
        <v>0.98978117243906849</v>
      </c>
      <c r="G280" s="886">
        <v>1.0031111487685094</v>
      </c>
      <c r="H280" s="886">
        <v>0.96641069764854315</v>
      </c>
      <c r="I280" s="886">
        <v>1.0240215753274784</v>
      </c>
      <c r="K280">
        <v>1.9472700767748174</v>
      </c>
      <c r="L280">
        <v>0</v>
      </c>
      <c r="M280">
        <v>2.0121514488675484E-3</v>
      </c>
      <c r="N280">
        <v>0.19207311910837571</v>
      </c>
      <c r="O280">
        <v>2.5851313360261193E-2</v>
      </c>
      <c r="P280">
        <v>2.1051931477394509E-2</v>
      </c>
      <c r="Q280">
        <v>2.9801566742552509E-3</v>
      </c>
      <c r="R280">
        <v>1.9997404672002124E-3</v>
      </c>
      <c r="S280">
        <v>0.2129312294077268</v>
      </c>
      <c r="T280">
        <v>1.0599655781049111</v>
      </c>
      <c r="U280">
        <v>3.797711872657631E-2</v>
      </c>
      <c r="V280">
        <v>0.25289117587211618</v>
      </c>
      <c r="W280">
        <v>0.11618476241556805</v>
      </c>
      <c r="X280">
        <v>1.9933468271846586E-2</v>
      </c>
      <c r="Y280">
        <v>5.442634337451133E-3</v>
      </c>
    </row>
    <row r="281" spans="1:25" x14ac:dyDescent="0.25">
      <c r="A281" s="881"/>
      <c r="B281" s="1131">
        <v>31</v>
      </c>
      <c r="C281" s="886">
        <v>1.0288832049782597</v>
      </c>
      <c r="D281" s="886">
        <v>0.99009344991357084</v>
      </c>
      <c r="E281" s="886">
        <v>0.98957240522922252</v>
      </c>
      <c r="F281" s="886">
        <v>0.98630014352163642</v>
      </c>
      <c r="G281" s="886">
        <v>0.97904544949709105</v>
      </c>
      <c r="H281" s="886">
        <v>1.014767170200443</v>
      </c>
      <c r="I281" s="886">
        <v>0.99725001289694426</v>
      </c>
      <c r="K281">
        <v>1.9253141482389278</v>
      </c>
      <c r="L281">
        <v>0</v>
      </c>
      <c r="M281">
        <v>1.9788995411567593E-3</v>
      </c>
      <c r="N281">
        <v>0.19303071842690567</v>
      </c>
      <c r="O281">
        <v>2.4563722193140427E-2</v>
      </c>
      <c r="P281">
        <v>2.0873784198018108E-2</v>
      </c>
      <c r="Q281">
        <v>2.8535369487184626E-3</v>
      </c>
      <c r="R281">
        <v>1.967266846258176E-3</v>
      </c>
      <c r="S281">
        <v>0.20187780859426754</v>
      </c>
      <c r="T281">
        <v>1.0593322952817847</v>
      </c>
      <c r="U281">
        <v>3.627264049052624E-2</v>
      </c>
      <c r="V281">
        <v>0.2450540430008773</v>
      </c>
      <c r="W281">
        <v>0.11621238841137788</v>
      </c>
      <c r="X281">
        <v>1.9900591542038736E-2</v>
      </c>
      <c r="Y281">
        <v>5.3542518461731775E-3</v>
      </c>
    </row>
    <row r="282" spans="1:25" x14ac:dyDescent="0.25">
      <c r="A282" s="881"/>
      <c r="B282" s="1131">
        <v>32</v>
      </c>
      <c r="C282" s="885">
        <v>0.96546180386752389</v>
      </c>
      <c r="D282" s="885">
        <v>0.96772852121126629</v>
      </c>
      <c r="E282" s="885">
        <v>0.98395087968612605</v>
      </c>
      <c r="F282" s="885">
        <v>0.97911135651331627</v>
      </c>
      <c r="G282" s="885">
        <v>1.0038472351685443</v>
      </c>
      <c r="H282" s="885">
        <v>0.98125350357748109</v>
      </c>
      <c r="I282" s="885">
        <v>1.0129148499506009</v>
      </c>
      <c r="K282">
        <v>1.9705546603450297</v>
      </c>
      <c r="L282">
        <v>0</v>
      </c>
      <c r="M282">
        <v>2.0869995680757964E-3</v>
      </c>
      <c r="N282">
        <v>0.20000398462299881</v>
      </c>
      <c r="O282">
        <v>2.6475937433493753E-2</v>
      </c>
      <c r="P282">
        <v>2.1194182335652869E-2</v>
      </c>
      <c r="Q282">
        <v>3.0533059045969725E-3</v>
      </c>
      <c r="R282">
        <v>2.0743326760241376E-3</v>
      </c>
      <c r="S282">
        <v>0.21721464627364293</v>
      </c>
      <c r="T282">
        <v>1.0598515686665291</v>
      </c>
      <c r="U282">
        <v>3.8655398330018055E-2</v>
      </c>
      <c r="V282">
        <v>0.25713425453122407</v>
      </c>
      <c r="W282">
        <v>0.12087895462740944</v>
      </c>
      <c r="X282">
        <v>2.0459444770958582E-2</v>
      </c>
      <c r="Y282">
        <v>5.6456497405548275E-3</v>
      </c>
    </row>
    <row r="283" spans="1:25" x14ac:dyDescent="0.25">
      <c r="A283" s="881"/>
      <c r="B283" s="1131">
        <v>33</v>
      </c>
      <c r="C283" s="885">
        <v>0.98400644950086891</v>
      </c>
      <c r="D283" s="885">
        <v>1.0074272247461316</v>
      </c>
      <c r="E283" s="885">
        <v>0.9759649011471011</v>
      </c>
      <c r="F283" s="885">
        <v>1.0034598790616724</v>
      </c>
      <c r="G283" s="885">
        <v>1.0024132543546556</v>
      </c>
      <c r="H283" s="885">
        <v>0.97836274232766218</v>
      </c>
      <c r="I283" s="885">
        <v>0.98868047204360732</v>
      </c>
      <c r="K283">
        <v>1.9315586722057885</v>
      </c>
      <c r="L283">
        <v>0</v>
      </c>
      <c r="M283">
        <v>2.0352071900439188E-3</v>
      </c>
      <c r="N283">
        <v>0.19024069051050863</v>
      </c>
      <c r="O283">
        <v>2.5464235985396561E-2</v>
      </c>
      <c r="P283">
        <v>2.0781185302519555E-2</v>
      </c>
      <c r="Q283">
        <v>2.9211130594731516E-3</v>
      </c>
      <c r="R283">
        <v>2.0227833937005229E-3</v>
      </c>
      <c r="S283">
        <v>0.20392071589765176</v>
      </c>
      <c r="T283">
        <v>1.0605913608796662</v>
      </c>
      <c r="U283">
        <v>3.7926896332689045E-2</v>
      </c>
      <c r="V283">
        <v>0.24917101739391045</v>
      </c>
      <c r="W283">
        <v>0.11561711625797839</v>
      </c>
      <c r="X283">
        <v>1.9431414795051474E-2</v>
      </c>
      <c r="Y283">
        <v>5.5053495872862991E-3</v>
      </c>
    </row>
    <row r="284" spans="1:25" x14ac:dyDescent="0.25">
      <c r="A284" s="881"/>
      <c r="B284" s="1131">
        <v>34</v>
      </c>
      <c r="C284" s="885">
        <v>0.99590349687623669</v>
      </c>
      <c r="D284" s="885">
        <v>0.98719766501692363</v>
      </c>
      <c r="E284" s="885">
        <v>1.0068666657711314</v>
      </c>
      <c r="F284" s="885">
        <v>0.97974684491777686</v>
      </c>
      <c r="G284" s="885">
        <v>1.019780627968105</v>
      </c>
      <c r="H284" s="885">
        <v>1.0109832764953361</v>
      </c>
      <c r="I284" s="885">
        <v>0.98800645678094479</v>
      </c>
      <c r="K284">
        <v>1.9509361323271164</v>
      </c>
      <c r="L284">
        <v>0</v>
      </c>
      <c r="M284">
        <v>1.9668327181942028E-3</v>
      </c>
      <c r="N284">
        <v>0.20245618183462663</v>
      </c>
      <c r="O284">
        <v>2.5414036918063002E-2</v>
      </c>
      <c r="P284">
        <v>2.1271781828495262E-2</v>
      </c>
      <c r="Q284">
        <v>3.0035235910621976E-3</v>
      </c>
      <c r="R284">
        <v>1.9552300503399862E-3</v>
      </c>
      <c r="S284">
        <v>0.20652621477187658</v>
      </c>
      <c r="T284">
        <v>1.0577424926992987</v>
      </c>
      <c r="U284">
        <v>3.7473822230744518E-2</v>
      </c>
      <c r="V284">
        <v>0.25000787400108609</v>
      </c>
      <c r="W284">
        <v>0.12045127609704186</v>
      </c>
      <c r="X284">
        <v>2.1279039367061277E-2</v>
      </c>
      <c r="Y284">
        <v>5.321491655612574E-3</v>
      </c>
    </row>
    <row r="285" spans="1:25" x14ac:dyDescent="0.25">
      <c r="A285" s="881"/>
      <c r="B285" s="1131">
        <v>35</v>
      </c>
      <c r="C285" s="885">
        <v>1.0214088981865403</v>
      </c>
      <c r="D285" s="885">
        <v>0.96262749086652666</v>
      </c>
      <c r="E285" s="885">
        <v>1.0051677347852037</v>
      </c>
      <c r="F285" s="885">
        <v>1.0084959558183302</v>
      </c>
      <c r="G285" s="885">
        <v>0.99695395220431382</v>
      </c>
      <c r="H285" s="885">
        <v>0.9941555537593002</v>
      </c>
      <c r="I285" s="885">
        <v>0.99709325047090935</v>
      </c>
      <c r="K285">
        <v>1.9362530686356043</v>
      </c>
      <c r="L285">
        <v>0</v>
      </c>
      <c r="M285">
        <v>1.9163876284467969E-3</v>
      </c>
      <c r="N285">
        <v>0.19620655304722145</v>
      </c>
      <c r="O285">
        <v>2.5091610832524282E-2</v>
      </c>
      <c r="P285">
        <v>2.1192389702887903E-2</v>
      </c>
      <c r="Q285">
        <v>2.9551200316085837E-3</v>
      </c>
      <c r="R285">
        <v>1.9049114734130364E-3</v>
      </c>
      <c r="S285">
        <v>0.20390188667275205</v>
      </c>
      <c r="T285">
        <v>1.0578981535414451</v>
      </c>
      <c r="U285">
        <v>3.6538070763997822E-2</v>
      </c>
      <c r="V285">
        <v>0.2495742598801268</v>
      </c>
      <c r="W285">
        <v>0.11686826976574895</v>
      </c>
      <c r="X285">
        <v>2.0853689475594069E-2</v>
      </c>
      <c r="Y285">
        <v>5.1845410767318422E-3</v>
      </c>
    </row>
    <row r="286" spans="1:25" x14ac:dyDescent="0.25">
      <c r="A286" s="881"/>
      <c r="B286" s="1131">
        <v>36</v>
      </c>
      <c r="C286" s="885">
        <v>1.0007886648142132</v>
      </c>
      <c r="D286" s="885">
        <v>0.96928947854419445</v>
      </c>
      <c r="E286" s="885">
        <v>0.96719055983599789</v>
      </c>
      <c r="F286" s="885">
        <v>1.0007468201730072</v>
      </c>
      <c r="G286" s="885">
        <v>1.0119915723747219</v>
      </c>
      <c r="H286" s="885">
        <v>0.96012318924707263</v>
      </c>
      <c r="I286" s="885">
        <v>1.0018709039039848</v>
      </c>
      <c r="K286">
        <v>1.9275745946896821</v>
      </c>
      <c r="L286">
        <v>0</v>
      </c>
      <c r="M286">
        <v>2.0388397260329952E-3</v>
      </c>
      <c r="N286">
        <v>0.18541895628541508</v>
      </c>
      <c r="O286">
        <v>2.5520903944426406E-2</v>
      </c>
      <c r="P286">
        <v>2.0690675311096304E-2</v>
      </c>
      <c r="Q286">
        <v>2.8936628421172544E-3</v>
      </c>
      <c r="R286">
        <v>2.0261913651923669E-3</v>
      </c>
      <c r="S286">
        <v>0.20493451088325268</v>
      </c>
      <c r="T286">
        <v>1.0614070327718876</v>
      </c>
      <c r="U286">
        <v>3.7290900579739314E-2</v>
      </c>
      <c r="V286">
        <v>0.25163261223972766</v>
      </c>
      <c r="W286">
        <v>0.11337902791917698</v>
      </c>
      <c r="X286">
        <v>1.890433531143396E-2</v>
      </c>
      <c r="Y286">
        <v>5.5146249622495995E-3</v>
      </c>
    </row>
    <row r="287" spans="1:25" x14ac:dyDescent="0.25">
      <c r="A287" s="881"/>
      <c r="B287" s="1131">
        <v>37</v>
      </c>
      <c r="C287" s="885">
        <v>0.99652746718388407</v>
      </c>
      <c r="D287" s="885">
        <v>0.9882667442734987</v>
      </c>
      <c r="E287" s="885">
        <v>1.0112602128421109</v>
      </c>
      <c r="F287" s="885">
        <v>1.0053603262920883</v>
      </c>
      <c r="G287" s="885">
        <v>0.99790992246614063</v>
      </c>
      <c r="H287" s="885">
        <v>0.98796952996266829</v>
      </c>
      <c r="I287" s="885">
        <v>0.97832251206658605</v>
      </c>
      <c r="K287">
        <v>1.9388024408627846</v>
      </c>
      <c r="L287">
        <v>0</v>
      </c>
      <c r="M287">
        <v>1.9021212291075056E-3</v>
      </c>
      <c r="N287">
        <v>0.19846040910057974</v>
      </c>
      <c r="O287">
        <v>2.5384497207353134E-2</v>
      </c>
      <c r="P287">
        <v>2.1269383784789181E-2</v>
      </c>
      <c r="Q287">
        <v>3.0134729270089623E-3</v>
      </c>
      <c r="R287">
        <v>1.8906380589753563E-3</v>
      </c>
      <c r="S287">
        <v>0.20197231865852358</v>
      </c>
      <c r="T287">
        <v>1.0573404656818595</v>
      </c>
      <c r="U287">
        <v>3.7450358198737307E-2</v>
      </c>
      <c r="V287">
        <v>0.24977760515528769</v>
      </c>
      <c r="W287">
        <v>0.1177217949724763</v>
      </c>
      <c r="X287">
        <v>2.1277924798438458E-2</v>
      </c>
      <c r="Y287">
        <v>5.1456935478622796E-3</v>
      </c>
    </row>
    <row r="288" spans="1:25" x14ac:dyDescent="0.25">
      <c r="A288" s="881"/>
      <c r="B288" s="1131">
        <v>38</v>
      </c>
      <c r="C288" s="885">
        <v>1.0095638998679399</v>
      </c>
      <c r="D288" s="885">
        <v>0.97895574110605788</v>
      </c>
      <c r="E288" s="885">
        <v>1.0094265071707225</v>
      </c>
      <c r="F288" s="885">
        <v>0.97800471590166338</v>
      </c>
      <c r="G288" s="885">
        <v>0.98046805592490616</v>
      </c>
      <c r="H288" s="885">
        <v>0.9867793486707801</v>
      </c>
      <c r="I288" s="885">
        <v>1.0067753001236652</v>
      </c>
      <c r="K288">
        <v>1.9378985479158866</v>
      </c>
      <c r="L288">
        <v>0</v>
      </c>
      <c r="M288">
        <v>1.8914193657455088E-3</v>
      </c>
      <c r="N288">
        <v>0.1962214092898667</v>
      </c>
      <c r="O288">
        <v>2.5174662722085295E-2</v>
      </c>
      <c r="P288">
        <v>2.1281589444118183E-2</v>
      </c>
      <c r="Q288">
        <v>2.9811085074518419E-3</v>
      </c>
      <c r="R288">
        <v>1.8799945821541444E-3</v>
      </c>
      <c r="S288">
        <v>0.20593630941803812</v>
      </c>
      <c r="T288">
        <v>1.0575081654512459</v>
      </c>
      <c r="U288">
        <v>3.6966764169953717E-2</v>
      </c>
      <c r="V288">
        <v>0.24911457712534721</v>
      </c>
      <c r="W288">
        <v>0.11653875545523909</v>
      </c>
      <c r="X288">
        <v>2.1069905603555161E-2</v>
      </c>
      <c r="Y288">
        <v>5.1167255125761351E-3</v>
      </c>
    </row>
    <row r="289" spans="1:25" x14ac:dyDescent="0.25">
      <c r="A289" s="881"/>
      <c r="B289" s="1131">
        <v>39</v>
      </c>
      <c r="C289" s="885">
        <v>0.99612722332645975</v>
      </c>
      <c r="D289" s="885">
        <v>1.0256145565829411</v>
      </c>
      <c r="E289" s="885">
        <v>0.98478453268904353</v>
      </c>
      <c r="F289" s="885">
        <v>0.98266817994761846</v>
      </c>
      <c r="G289" s="885">
        <v>1.0370705025670601</v>
      </c>
      <c r="H289" s="885">
        <v>0.99145447273047838</v>
      </c>
      <c r="I289" s="885">
        <v>0.9669472352777041</v>
      </c>
      <c r="K289">
        <v>1.9182692736595928</v>
      </c>
      <c r="L289">
        <v>0</v>
      </c>
      <c r="M289">
        <v>1.9823878032155804E-3</v>
      </c>
      <c r="N289">
        <v>0.19047995195384301</v>
      </c>
      <c r="O289">
        <v>2.4933091202781161E-2</v>
      </c>
      <c r="P289">
        <v>2.0752745688265916E-2</v>
      </c>
      <c r="Q289">
        <v>2.8895084497194421E-3</v>
      </c>
      <c r="R289">
        <v>1.9704315243926924E-3</v>
      </c>
      <c r="S289">
        <v>0.19667507110435167</v>
      </c>
      <c r="T289">
        <v>1.0597744846900823</v>
      </c>
      <c r="U289">
        <v>3.7465405750371654E-2</v>
      </c>
      <c r="V289">
        <v>0.24523349924577928</v>
      </c>
      <c r="W289">
        <v>0.11505642230857291</v>
      </c>
      <c r="X289">
        <v>1.9658184487827551E-2</v>
      </c>
      <c r="Y289">
        <v>5.3628650568194637E-3</v>
      </c>
    </row>
    <row r="290" spans="1:25" x14ac:dyDescent="0.25">
      <c r="A290" s="881"/>
      <c r="B290" s="1131">
        <v>40</v>
      </c>
      <c r="C290" s="885">
        <v>0.98175600548168285</v>
      </c>
      <c r="D290" s="885">
        <v>0.9942433288534791</v>
      </c>
      <c r="E290" s="885">
        <v>1.0052724814972647</v>
      </c>
      <c r="F290" s="885">
        <v>0.99719460864539333</v>
      </c>
      <c r="G290" s="885">
        <v>1.0393857200906176</v>
      </c>
      <c r="H290" s="885">
        <v>1.0390205662676393</v>
      </c>
      <c r="I290" s="885">
        <v>0.99465702430039449</v>
      </c>
      <c r="K290">
        <v>1.9725236386838358</v>
      </c>
      <c r="L290">
        <v>0</v>
      </c>
      <c r="M290">
        <v>2.0501761844596645E-3</v>
      </c>
      <c r="N290">
        <v>0.21002456971064679</v>
      </c>
      <c r="O290">
        <v>2.5689553630445311E-2</v>
      </c>
      <c r="P290">
        <v>2.1361977707048948E-2</v>
      </c>
      <c r="Q290">
        <v>3.0327494995707445E-3</v>
      </c>
      <c r="R290">
        <v>2.0384023927645365E-3</v>
      </c>
      <c r="S290">
        <v>0.21310674672666527</v>
      </c>
      <c r="T290">
        <v>1.0578885530965692</v>
      </c>
      <c r="U290">
        <v>3.8013834794528481E-2</v>
      </c>
      <c r="V290">
        <v>0.25116021208878264</v>
      </c>
      <c r="W290">
        <v>0.12508988585658645</v>
      </c>
      <c r="X290">
        <v>2.1619470010749504E-2</v>
      </c>
      <c r="Y290">
        <v>5.5478593539368846E-3</v>
      </c>
    </row>
    <row r="291" spans="1:25" x14ac:dyDescent="0.25">
      <c r="A291" s="881"/>
      <c r="B291" s="1131">
        <v>41</v>
      </c>
      <c r="C291" s="885">
        <v>1.0129690034408771</v>
      </c>
      <c r="D291" s="885">
        <v>0.98694823765608453</v>
      </c>
      <c r="E291" s="885">
        <v>0.95930885420088685</v>
      </c>
      <c r="F291" s="885">
        <v>0.99659450749250011</v>
      </c>
      <c r="G291" s="885">
        <v>0.97018678041290773</v>
      </c>
      <c r="H291" s="885">
        <v>0.97499898748209413</v>
      </c>
      <c r="I291" s="885">
        <v>0.9770088089545228</v>
      </c>
      <c r="K291">
        <v>1.9113382474130356</v>
      </c>
      <c r="L291">
        <v>0</v>
      </c>
      <c r="M291">
        <v>2.0610251254161746E-3</v>
      </c>
      <c r="N291">
        <v>0.18290011293918859</v>
      </c>
      <c r="O291">
        <v>2.498901728945703E-2</v>
      </c>
      <c r="P291">
        <v>2.0414575583325902E-2</v>
      </c>
      <c r="Q291">
        <v>2.8141109555111037E-3</v>
      </c>
      <c r="R291">
        <v>2.0484182958735294E-3</v>
      </c>
      <c r="S291">
        <v>0.19727483086108799</v>
      </c>
      <c r="T291">
        <v>1.0621422617257443</v>
      </c>
      <c r="U291">
        <v>3.6842500090473004E-2</v>
      </c>
      <c r="V291">
        <v>0.24762209563634086</v>
      </c>
      <c r="W291">
        <v>0.11245943853062072</v>
      </c>
      <c r="X291">
        <v>1.8316791290370771E-2</v>
      </c>
      <c r="Y291">
        <v>5.5751193404579933E-3</v>
      </c>
    </row>
    <row r="292" spans="1:25" x14ac:dyDescent="0.25">
      <c r="A292" s="881"/>
      <c r="B292" s="1131">
        <v>42</v>
      </c>
      <c r="C292" s="885">
        <v>1.0196547281598662</v>
      </c>
      <c r="D292" s="885">
        <v>1.0237648974522935</v>
      </c>
      <c r="E292" s="885">
        <v>1.0045222923999089</v>
      </c>
      <c r="F292" s="885">
        <v>0.96583637020458868</v>
      </c>
      <c r="G292" s="885">
        <v>0.98983688286719251</v>
      </c>
      <c r="H292" s="885">
        <v>0.98004137515215528</v>
      </c>
      <c r="I292" s="885">
        <v>0.98149219691429213</v>
      </c>
      <c r="K292">
        <v>1.9040140754709343</v>
      </c>
      <c r="L292">
        <v>0</v>
      </c>
      <c r="M292">
        <v>1.8381093277798754E-3</v>
      </c>
      <c r="N292">
        <v>0.18779354082122857</v>
      </c>
      <c r="O292">
        <v>2.4379485610379576E-2</v>
      </c>
      <c r="P292">
        <v>2.0949182978702192E-2</v>
      </c>
      <c r="Q292">
        <v>2.8817767258364621E-3</v>
      </c>
      <c r="R292">
        <v>1.8268955129770673E-3</v>
      </c>
      <c r="S292">
        <v>0.19408924069085104</v>
      </c>
      <c r="T292">
        <v>1.0579573202947488</v>
      </c>
      <c r="U292">
        <v>3.6600929285413607E-2</v>
      </c>
      <c r="V292">
        <v>0.24224669949904545</v>
      </c>
      <c r="W292">
        <v>0.11190639629183806</v>
      </c>
      <c r="X292">
        <v>2.0248509737312039E-2</v>
      </c>
      <c r="Y292">
        <v>4.9722073503795788E-3</v>
      </c>
    </row>
    <row r="293" spans="1:25" x14ac:dyDescent="0.25">
      <c r="A293" s="881"/>
      <c r="B293" s="1131">
        <v>43</v>
      </c>
      <c r="C293" s="885">
        <v>0.98415179486120441</v>
      </c>
      <c r="D293" s="885">
        <v>1.002348674902102</v>
      </c>
      <c r="E293" s="885">
        <v>0.97973756310714988</v>
      </c>
      <c r="F293" s="885">
        <v>1.02531365172708</v>
      </c>
      <c r="G293" s="885">
        <v>0.96831668382460123</v>
      </c>
      <c r="H293" s="885">
        <v>0.99708059261786586</v>
      </c>
      <c r="I293" s="885">
        <v>0.99996813148475017</v>
      </c>
      <c r="K293">
        <v>1.9446855500759503</v>
      </c>
      <c r="L293">
        <v>0</v>
      </c>
      <c r="M293">
        <v>2.0626292841608869E-3</v>
      </c>
      <c r="N293">
        <v>0.19510693914040203</v>
      </c>
      <c r="O293">
        <v>2.552420442302044E-2</v>
      </c>
      <c r="P293">
        <v>2.0907573613047358E-2</v>
      </c>
      <c r="Q293">
        <v>2.9382216769449272E-3</v>
      </c>
      <c r="R293">
        <v>2.0502787781740634E-3</v>
      </c>
      <c r="S293">
        <v>0.20861910507965645</v>
      </c>
      <c r="T293">
        <v>1.0602415668782048</v>
      </c>
      <c r="U293">
        <v>3.7921295064223481E-2</v>
      </c>
      <c r="V293">
        <v>0.24978326466644699</v>
      </c>
      <c r="W293">
        <v>0.11826406854775826</v>
      </c>
      <c r="X293">
        <v>1.9811478532261517E-2</v>
      </c>
      <c r="Y293">
        <v>5.5801829599722201E-3</v>
      </c>
    </row>
    <row r="294" spans="1:25" x14ac:dyDescent="0.25">
      <c r="A294" s="881"/>
      <c r="B294" s="1131">
        <v>44</v>
      </c>
      <c r="C294" s="885">
        <v>0.99341507530536888</v>
      </c>
      <c r="D294" s="885">
        <v>1.0225867715126162</v>
      </c>
      <c r="E294" s="885">
        <v>1.0025699139716246</v>
      </c>
      <c r="F294" s="885">
        <v>1.0224968483107399</v>
      </c>
      <c r="G294" s="885">
        <v>1.033484344467051</v>
      </c>
      <c r="H294" s="885">
        <v>1.011431230544424</v>
      </c>
      <c r="I294" s="885">
        <v>0.98074892578048245</v>
      </c>
      <c r="K294">
        <v>1.9363827621164671</v>
      </c>
      <c r="L294">
        <v>0</v>
      </c>
      <c r="M294">
        <v>1.9562251168753083E-3</v>
      </c>
      <c r="N294">
        <v>0.19868900293212677</v>
      </c>
      <c r="O294">
        <v>2.503765641407233E-2</v>
      </c>
      <c r="P294">
        <v>2.1097347064488306E-2</v>
      </c>
      <c r="Q294">
        <v>2.9535500075401019E-3</v>
      </c>
      <c r="R294">
        <v>1.9446620078892988E-3</v>
      </c>
      <c r="S294">
        <v>0.20227152586099198</v>
      </c>
      <c r="T294">
        <v>1.0581363908182237</v>
      </c>
      <c r="U294">
        <v>3.7567691017216388E-2</v>
      </c>
      <c r="V294">
        <v>0.24597768358438571</v>
      </c>
      <c r="W294">
        <v>0.11855689838558084</v>
      </c>
      <c r="X294">
        <v>2.0813850213012328E-2</v>
      </c>
      <c r="Y294">
        <v>5.2927289278160575E-3</v>
      </c>
    </row>
    <row r="295" spans="1:25" x14ac:dyDescent="0.25">
      <c r="A295" s="881"/>
      <c r="B295" s="1131">
        <v>45</v>
      </c>
      <c r="C295" s="885">
        <v>0.99378513888947273</v>
      </c>
      <c r="D295" s="885">
        <v>1.0255155783308039</v>
      </c>
      <c r="E295" s="885">
        <v>1.0289380407905615</v>
      </c>
      <c r="F295" s="885">
        <v>1.0042175374312206</v>
      </c>
      <c r="G295" s="885">
        <v>1.0001427954913806</v>
      </c>
      <c r="H295" s="885">
        <v>0.97475374627138456</v>
      </c>
      <c r="I295" s="885">
        <v>0.99367567305286408</v>
      </c>
      <c r="K295">
        <v>1.9270914155214629</v>
      </c>
      <c r="L295">
        <v>0</v>
      </c>
      <c r="M295">
        <v>1.7800374378520109E-3</v>
      </c>
      <c r="N295">
        <v>0.19618775850634396</v>
      </c>
      <c r="O295">
        <v>2.4993041586584181E-2</v>
      </c>
      <c r="P295">
        <v>2.1452668121330197E-2</v>
      </c>
      <c r="Q295">
        <v>3.0273785333752024E-3</v>
      </c>
      <c r="R295">
        <v>1.7691177167856479E-3</v>
      </c>
      <c r="S295">
        <v>0.20092781377957566</v>
      </c>
      <c r="T295">
        <v>1.0557304955162956</v>
      </c>
      <c r="U295">
        <v>3.7553701640800713E-2</v>
      </c>
      <c r="V295">
        <v>0.2455758062898141</v>
      </c>
      <c r="W295">
        <v>0.11499386704829846</v>
      </c>
      <c r="X295">
        <v>2.1844848984516073E-2</v>
      </c>
      <c r="Y295">
        <v>4.8149552355919315E-3</v>
      </c>
    </row>
    <row r="296" spans="1:25" x14ac:dyDescent="0.25">
      <c r="A296" s="881"/>
      <c r="B296" s="1131">
        <v>46</v>
      </c>
      <c r="C296" s="885">
        <v>0.99760970583132924</v>
      </c>
      <c r="D296" s="885">
        <v>1.0155309350094373</v>
      </c>
      <c r="E296" s="885">
        <v>0.98477833275476157</v>
      </c>
      <c r="F296" s="885">
        <v>0.97502247604125725</v>
      </c>
      <c r="G296" s="885">
        <v>0.99537783763900145</v>
      </c>
      <c r="H296" s="885">
        <v>0.99793607079572266</v>
      </c>
      <c r="I296" s="885">
        <v>1.0029722439503057</v>
      </c>
      <c r="K296">
        <v>1.9312785984047562</v>
      </c>
      <c r="L296">
        <v>0</v>
      </c>
      <c r="M296">
        <v>2.0021409562332028E-3</v>
      </c>
      <c r="N296">
        <v>0.19238260917266661</v>
      </c>
      <c r="O296">
        <v>2.5017754662217867E-2</v>
      </c>
      <c r="P296">
        <v>2.0881488952694739E-2</v>
      </c>
      <c r="Q296">
        <v>2.8973234401550845E-3</v>
      </c>
      <c r="R296">
        <v>1.990152108843673E-3</v>
      </c>
      <c r="S296">
        <v>0.20527676351795654</v>
      </c>
      <c r="T296">
        <v>1.0597750578692884</v>
      </c>
      <c r="U296">
        <v>3.7409730862448941E-2</v>
      </c>
      <c r="V296">
        <v>0.24623564739098841</v>
      </c>
      <c r="W296">
        <v>0.11620619076074691</v>
      </c>
      <c r="X296">
        <v>1.9791482636174463E-2</v>
      </c>
      <c r="Y296">
        <v>5.416537986806115E-3</v>
      </c>
    </row>
    <row r="297" spans="1:25" x14ac:dyDescent="0.25">
      <c r="A297" s="881"/>
      <c r="B297" s="1131">
        <v>47</v>
      </c>
      <c r="C297" s="885">
        <v>0.96667726310768365</v>
      </c>
      <c r="D297" s="885">
        <v>1.0019466249286149</v>
      </c>
      <c r="E297" s="885">
        <v>0.9639285898753488</v>
      </c>
      <c r="F297" s="885">
        <v>0.97026945047749125</v>
      </c>
      <c r="G297" s="885">
        <v>1.0204702423091851</v>
      </c>
      <c r="H297" s="885">
        <v>0.96156905770776591</v>
      </c>
      <c r="I297" s="885">
        <v>0.97428937384782854</v>
      </c>
      <c r="K297">
        <v>1.9343071150055497</v>
      </c>
      <c r="L297">
        <v>0</v>
      </c>
      <c r="M297">
        <v>2.0937880408602974E-3</v>
      </c>
      <c r="N297">
        <v>0.18848766220177499</v>
      </c>
      <c r="O297">
        <v>2.5990762339759815E-2</v>
      </c>
      <c r="P297">
        <v>2.0649781872907825E-2</v>
      </c>
      <c r="Q297">
        <v>2.9439405967503296E-3</v>
      </c>
      <c r="R297">
        <v>2.0807883205843786E-3</v>
      </c>
      <c r="S297">
        <v>0.20335572957950743</v>
      </c>
      <c r="T297">
        <v>1.0617110280872424</v>
      </c>
      <c r="U297">
        <v>3.8606794661683895E-2</v>
      </c>
      <c r="V297">
        <v>0.25242088371347626</v>
      </c>
      <c r="W297">
        <v>0.11551930454695725</v>
      </c>
      <c r="X297">
        <v>1.8971007248818932E-2</v>
      </c>
      <c r="Y297">
        <v>5.6632198769451464E-3</v>
      </c>
    </row>
    <row r="298" spans="1:25" x14ac:dyDescent="0.25">
      <c r="A298" s="881"/>
      <c r="B298" s="1131">
        <v>48</v>
      </c>
      <c r="C298" s="885">
        <v>0.99548346671773635</v>
      </c>
      <c r="D298" s="885">
        <v>1.0294234974791763</v>
      </c>
      <c r="E298" s="885">
        <v>0.98953701931840721</v>
      </c>
      <c r="F298" s="885">
        <v>1.006140737062561</v>
      </c>
      <c r="G298" s="885">
        <v>0.98274872541970482</v>
      </c>
      <c r="H298" s="885">
        <v>1.0357625762498768</v>
      </c>
      <c r="I298" s="885">
        <v>1.0021742719267226</v>
      </c>
      <c r="K298">
        <v>1.9443893648526536</v>
      </c>
      <c r="L298">
        <v>0</v>
      </c>
      <c r="M298">
        <v>2.0479798472617388E-3</v>
      </c>
      <c r="N298">
        <v>0.19976793962451617</v>
      </c>
      <c r="O298">
        <v>2.4903648329349999E-2</v>
      </c>
      <c r="P298">
        <v>2.0971268396052081E-2</v>
      </c>
      <c r="Q298">
        <v>2.9007560191170703E-3</v>
      </c>
      <c r="R298">
        <v>2.0361533567517104E-3</v>
      </c>
      <c r="S298">
        <v>0.20807661852499457</v>
      </c>
      <c r="T298">
        <v>1.0593355601206471</v>
      </c>
      <c r="U298">
        <v>3.7489633779622424E-2</v>
      </c>
      <c r="V298">
        <v>0.24487502768024433</v>
      </c>
      <c r="W298">
        <v>0.12027140454026666</v>
      </c>
      <c r="X298">
        <v>2.0267596109048144E-2</v>
      </c>
      <c r="Y298">
        <v>5.5417382193044956E-3</v>
      </c>
    </row>
    <row r="299" spans="1:25" x14ac:dyDescent="0.25">
      <c r="A299" s="881"/>
      <c r="B299" s="1131">
        <v>49</v>
      </c>
      <c r="C299" s="885">
        <v>0.98267047725494305</v>
      </c>
      <c r="D299" s="885">
        <v>0.98329258814544063</v>
      </c>
      <c r="E299" s="885">
        <v>0.99128441943986201</v>
      </c>
      <c r="F299" s="885">
        <v>0.98567981006634586</v>
      </c>
      <c r="G299" s="885">
        <v>0.98761296984497227</v>
      </c>
      <c r="H299" s="885">
        <v>1.009614093638493</v>
      </c>
      <c r="I299" s="885">
        <v>0.99439994320203973</v>
      </c>
      <c r="K299">
        <v>1.9603438421947976</v>
      </c>
      <c r="L299">
        <v>0</v>
      </c>
      <c r="M299">
        <v>2.0610601447826815E-3</v>
      </c>
      <c r="N299">
        <v>0.20211394836539917</v>
      </c>
      <c r="O299">
        <v>2.5806958036768302E-2</v>
      </c>
      <c r="P299">
        <v>2.1144238656847579E-2</v>
      </c>
      <c r="Q299">
        <v>3.0017020285433892E-3</v>
      </c>
      <c r="R299">
        <v>2.0488884905488615E-3</v>
      </c>
      <c r="S299">
        <v>0.21090509531739846</v>
      </c>
      <c r="T299">
        <v>1.0591743964793239</v>
      </c>
      <c r="U299">
        <v>3.7978459172977271E-2</v>
      </c>
      <c r="V299">
        <v>0.25243969971982178</v>
      </c>
      <c r="W299">
        <v>0.12153745118982084</v>
      </c>
      <c r="X299">
        <v>2.0677665826763496E-2</v>
      </c>
      <c r="Y299">
        <v>5.576399055364614E-3</v>
      </c>
    </row>
    <row r="300" spans="1:25" x14ac:dyDescent="0.25">
      <c r="A300" s="881"/>
      <c r="B300" s="1131">
        <v>50</v>
      </c>
      <c r="C300" s="885">
        <v>0.99444508330435388</v>
      </c>
      <c r="D300" s="885">
        <v>1.0184682622778212</v>
      </c>
      <c r="E300" s="885">
        <v>0.96834428977556097</v>
      </c>
      <c r="F300" s="885">
        <v>1.0153401768055375</v>
      </c>
      <c r="G300" s="885">
        <v>1.002388219859804</v>
      </c>
      <c r="H300" s="885">
        <v>1.0053529676505653</v>
      </c>
      <c r="I300" s="885">
        <v>0.95717732502848396</v>
      </c>
      <c r="K300">
        <v>1.9228270992880585</v>
      </c>
      <c r="L300">
        <v>0</v>
      </c>
      <c r="M300">
        <v>2.0914453853597935E-3</v>
      </c>
      <c r="N300">
        <v>0.19093835897783717</v>
      </c>
      <c r="O300">
        <v>2.506159712497915E-2</v>
      </c>
      <c r="P300">
        <v>2.0534146346985527E-2</v>
      </c>
      <c r="Q300">
        <v>2.8548020728911914E-3</v>
      </c>
      <c r="R300">
        <v>2.0790117037190483E-3</v>
      </c>
      <c r="S300">
        <v>0.19698362982320186</v>
      </c>
      <c r="T300">
        <v>1.0612996107597081</v>
      </c>
      <c r="U300">
        <v>3.7528779846654328E-2</v>
      </c>
      <c r="V300">
        <v>0.24632890901783042</v>
      </c>
      <c r="W300">
        <v>0.11665976549698556</v>
      </c>
      <c r="X300">
        <v>1.89915489911246E-2</v>
      </c>
      <c r="Y300">
        <v>5.6583845114993071E-3</v>
      </c>
    </row>
    <row r="301" spans="1:25" x14ac:dyDescent="0.25">
      <c r="A301" s="881"/>
      <c r="B301" s="1131">
        <v>51</v>
      </c>
      <c r="C301" s="885">
        <v>0.98992332099523805</v>
      </c>
      <c r="D301" s="885">
        <v>1.0201669989530522</v>
      </c>
      <c r="E301" s="885">
        <v>1.0115413256389822</v>
      </c>
      <c r="F301" s="885">
        <v>1.0013608373392711</v>
      </c>
      <c r="G301" s="885">
        <v>1.0178469407237059</v>
      </c>
      <c r="H301" s="885">
        <v>0.98137317484293562</v>
      </c>
      <c r="I301" s="885">
        <v>1.0211217626522098</v>
      </c>
      <c r="K301">
        <v>1.937185925865605</v>
      </c>
      <c r="L301">
        <v>0</v>
      </c>
      <c r="M301">
        <v>1.8712814616166484E-3</v>
      </c>
      <c r="N301">
        <v>0.19540277819365459</v>
      </c>
      <c r="O301">
        <v>2.5155368175240153E-2</v>
      </c>
      <c r="P301">
        <v>2.1324747007032338E-2</v>
      </c>
      <c r="Q301">
        <v>2.9937218076256803E-3</v>
      </c>
      <c r="R301">
        <v>1.8598835195737296E-3</v>
      </c>
      <c r="S301">
        <v>0.20846336498831425</v>
      </c>
      <c r="T301">
        <v>1.0573147683872131</v>
      </c>
      <c r="U301">
        <v>3.7700203449491571E-2</v>
      </c>
      <c r="V301">
        <v>0.24676347075301769</v>
      </c>
      <c r="W301">
        <v>0.11588596793116497</v>
      </c>
      <c r="X301">
        <v>2.113094328505196E-2</v>
      </c>
      <c r="Y301">
        <v>5.0619898298422429E-3</v>
      </c>
    </row>
    <row r="302" spans="1:25" x14ac:dyDescent="0.25">
      <c r="A302" s="881"/>
      <c r="B302" s="1131">
        <v>52</v>
      </c>
      <c r="C302" s="885">
        <v>0.97071672147576227</v>
      </c>
      <c r="D302" s="885">
        <v>1.0016583213475188</v>
      </c>
      <c r="E302" s="885">
        <v>0.97258921313315372</v>
      </c>
      <c r="F302" s="885">
        <v>1.0113321312136507</v>
      </c>
      <c r="G302" s="885">
        <v>1.0011264370583148</v>
      </c>
      <c r="H302" s="885">
        <v>0.98211813597385766</v>
      </c>
      <c r="I302" s="885">
        <v>0.96611101357189444</v>
      </c>
      <c r="K302">
        <v>1.9401831709348742</v>
      </c>
      <c r="L302">
        <v>0</v>
      </c>
      <c r="M302">
        <v>2.0916331583165906E-3</v>
      </c>
      <c r="N302">
        <v>0.1934736518101329</v>
      </c>
      <c r="O302">
        <v>2.5886292934335486E-2</v>
      </c>
      <c r="P302">
        <v>2.076099047710395E-2</v>
      </c>
      <c r="Q302">
        <v>2.9581433740762269E-3</v>
      </c>
      <c r="R302">
        <v>2.0789187865637862E-3</v>
      </c>
      <c r="S302">
        <v>0.20290408226216733</v>
      </c>
      <c r="T302">
        <v>1.0609048156826291</v>
      </c>
      <c r="U302">
        <v>3.8446139615458022E-2</v>
      </c>
      <c r="V302">
        <v>0.25184779249297384</v>
      </c>
      <c r="W302">
        <v>0.1178587743390762</v>
      </c>
      <c r="X302">
        <v>1.9497070697042825E-2</v>
      </c>
      <c r="Y302">
        <v>5.6581316216328193E-3</v>
      </c>
    </row>
    <row r="303" spans="1:25" x14ac:dyDescent="0.25">
      <c r="A303" s="881"/>
      <c r="B303" s="1131">
        <v>53</v>
      </c>
      <c r="C303" s="885">
        <v>1.0132019918790858</v>
      </c>
      <c r="D303" s="885">
        <v>1.022109644970562</v>
      </c>
      <c r="E303" s="885">
        <v>1.0071488291814841</v>
      </c>
      <c r="F303" s="885">
        <v>0.98325043436425408</v>
      </c>
      <c r="G303" s="885">
        <v>1.0272841894772773</v>
      </c>
      <c r="H303" s="885">
        <v>0.99968317674202334</v>
      </c>
      <c r="I303" s="885">
        <v>0.97813596751287013</v>
      </c>
      <c r="K303">
        <v>1.9173248255770996</v>
      </c>
      <c r="L303">
        <v>0</v>
      </c>
      <c r="M303">
        <v>1.8779694115802783E-3</v>
      </c>
      <c r="N303">
        <v>0.19346293465180645</v>
      </c>
      <c r="O303">
        <v>2.4554348072833212E-2</v>
      </c>
      <c r="P303">
        <v>2.1040332600965647E-2</v>
      </c>
      <c r="Q303">
        <v>2.9097695917633917E-3</v>
      </c>
      <c r="R303">
        <v>1.866738775110592E-3</v>
      </c>
      <c r="S303">
        <v>0.19669980834569545</v>
      </c>
      <c r="T303">
        <v>1.0577166509940881</v>
      </c>
      <c r="U303">
        <v>3.6834028061573924E-2</v>
      </c>
      <c r="V303">
        <v>0.24330666121836539</v>
      </c>
      <c r="W303">
        <v>0.11507863323430025</v>
      </c>
      <c r="X303">
        <v>2.0652241866599731E-2</v>
      </c>
      <c r="Y303">
        <v>5.0806475755792021E-3</v>
      </c>
    </row>
    <row r="304" spans="1:25" x14ac:dyDescent="0.25">
      <c r="A304" s="881"/>
      <c r="B304" s="1131">
        <v>54</v>
      </c>
      <c r="C304" s="885">
        <v>1.0188395644221711</v>
      </c>
      <c r="D304" s="885">
        <v>0.99021813551128557</v>
      </c>
      <c r="E304" s="885">
        <v>1.0328759240254484</v>
      </c>
      <c r="F304" s="885">
        <v>0.97870501722226055</v>
      </c>
      <c r="G304" s="885">
        <v>0.99709854448580759</v>
      </c>
      <c r="H304" s="885">
        <v>0.96444945770185075</v>
      </c>
      <c r="I304" s="885">
        <v>1.0094335031549835</v>
      </c>
      <c r="K304">
        <v>1.921972644817882</v>
      </c>
      <c r="L304">
        <v>0</v>
      </c>
      <c r="M304">
        <v>1.7333935353044364E-3</v>
      </c>
      <c r="N304">
        <v>0.19338657329853087</v>
      </c>
      <c r="O304">
        <v>2.4804321173658422E-2</v>
      </c>
      <c r="P304">
        <v>2.1512675950935693E-2</v>
      </c>
      <c r="Q304">
        <v>3.0089027961256042E-3</v>
      </c>
      <c r="R304">
        <v>1.7226723080011298E-3</v>
      </c>
      <c r="S304">
        <v>0.2012768986188028</v>
      </c>
      <c r="T304">
        <v>1.0553735262301389</v>
      </c>
      <c r="U304">
        <v>3.6630213336957373E-2</v>
      </c>
      <c r="V304">
        <v>0.24640549167723982</v>
      </c>
      <c r="W304">
        <v>0.11305343905178994</v>
      </c>
      <c r="X304">
        <v>2.1842777767401407E-2</v>
      </c>
      <c r="Y304">
        <v>4.6885461436053637E-3</v>
      </c>
    </row>
    <row r="305" spans="1:25" x14ac:dyDescent="0.25">
      <c r="A305" s="881"/>
      <c r="B305" s="1131">
        <v>55</v>
      </c>
      <c r="C305" s="885">
        <v>1.0146745721222663</v>
      </c>
      <c r="D305" s="885">
        <v>1.0029147132929743</v>
      </c>
      <c r="E305" s="885">
        <v>0.98155913606228817</v>
      </c>
      <c r="F305" s="885">
        <v>1.0156975528668983</v>
      </c>
      <c r="G305" s="885">
        <v>0.96153426906436235</v>
      </c>
      <c r="H305" s="885">
        <v>0.97916256435967475</v>
      </c>
      <c r="I305" s="885">
        <v>1.0196049028335472</v>
      </c>
      <c r="K305">
        <v>1.9185201678514512</v>
      </c>
      <c r="L305">
        <v>0</v>
      </c>
      <c r="M305">
        <v>1.9565856464530684E-3</v>
      </c>
      <c r="N305">
        <v>0.18610890331255051</v>
      </c>
      <c r="O305">
        <v>2.4749487316087695E-2</v>
      </c>
      <c r="P305">
        <v>2.080380563619038E-2</v>
      </c>
      <c r="Q305">
        <v>2.8544300505880175E-3</v>
      </c>
      <c r="R305">
        <v>1.9446552502483893E-3</v>
      </c>
      <c r="S305">
        <v>0.204444137151189</v>
      </c>
      <c r="T305">
        <v>1.0600728716752255</v>
      </c>
      <c r="U305">
        <v>3.6780571452439854E-2</v>
      </c>
      <c r="V305">
        <v>0.24540795657945524</v>
      </c>
      <c r="W305">
        <v>0.11266747558065712</v>
      </c>
      <c r="X305">
        <v>1.9349748957528622E-2</v>
      </c>
      <c r="Y305">
        <v>5.2927105357451565E-3</v>
      </c>
    </row>
    <row r="306" spans="1:25" x14ac:dyDescent="0.25">
      <c r="A306" s="881"/>
      <c r="B306" s="1131">
        <v>56</v>
      </c>
      <c r="C306" s="885">
        <v>1.0168766648037035</v>
      </c>
      <c r="D306" s="885">
        <v>0.96380147523175563</v>
      </c>
      <c r="E306" s="885">
        <v>1.0038514189121102</v>
      </c>
      <c r="F306" s="885">
        <v>0.97466736642567975</v>
      </c>
      <c r="G306" s="885">
        <v>0.97665910806734391</v>
      </c>
      <c r="H306" s="885">
        <v>1.0352370913957119</v>
      </c>
      <c r="I306" s="885">
        <v>1.0278022460526766</v>
      </c>
      <c r="K306">
        <v>1.9632224095365343</v>
      </c>
      <c r="L306">
        <v>0</v>
      </c>
      <c r="M306">
        <v>2.0088234765299161E-3</v>
      </c>
      <c r="N306">
        <v>0.20487906964666758</v>
      </c>
      <c r="O306">
        <v>2.5188164590020174E-2</v>
      </c>
      <c r="P306">
        <v>2.1337875719841765E-2</v>
      </c>
      <c r="Q306">
        <v>2.9628346644819861E-3</v>
      </c>
      <c r="R306">
        <v>1.9972701611463868E-3</v>
      </c>
      <c r="S306">
        <v>0.21527945804485715</v>
      </c>
      <c r="T306">
        <v>1.058018835495085</v>
      </c>
      <c r="U306">
        <v>3.6700921451591303E-2</v>
      </c>
      <c r="V306">
        <v>0.25005682187637479</v>
      </c>
      <c r="W306">
        <v>0.12214357572375718</v>
      </c>
      <c r="X306">
        <v>2.123049466053252E-2</v>
      </c>
      <c r="Y306">
        <v>5.4359109787087924E-3</v>
      </c>
    </row>
    <row r="307" spans="1:25" x14ac:dyDescent="0.25">
      <c r="A307" s="881"/>
      <c r="B307" s="1131">
        <v>57</v>
      </c>
      <c r="C307" s="885">
        <v>1.0172547120956554</v>
      </c>
      <c r="D307" s="885">
        <v>1.006071843979619</v>
      </c>
      <c r="E307" s="885">
        <v>0.9974904534092639</v>
      </c>
      <c r="F307" s="885">
        <v>0.98754365891631402</v>
      </c>
      <c r="G307" s="885">
        <v>1.026850800964314</v>
      </c>
      <c r="H307" s="885">
        <v>0.99442785796423661</v>
      </c>
      <c r="I307" s="885">
        <v>0.9698250902156943</v>
      </c>
      <c r="K307">
        <v>1.9147543283266195</v>
      </c>
      <c r="L307">
        <v>0</v>
      </c>
      <c r="M307">
        <v>1.9137836983324707E-3</v>
      </c>
      <c r="N307">
        <v>0.19131261074401945</v>
      </c>
      <c r="O307">
        <v>2.4648360206646486E-2</v>
      </c>
      <c r="P307">
        <v>2.0897236261832784E-2</v>
      </c>
      <c r="Q307">
        <v>2.8895581870322707E-3</v>
      </c>
      <c r="R307">
        <v>1.9022909267890924E-3</v>
      </c>
      <c r="S307">
        <v>0.19515855101175811</v>
      </c>
      <c r="T307">
        <v>1.058602970612804</v>
      </c>
      <c r="U307">
        <v>3.668728211052763E-2</v>
      </c>
      <c r="V307">
        <v>0.24467445487887968</v>
      </c>
      <c r="W307">
        <v>0.11455287391451713</v>
      </c>
      <c r="X307">
        <v>2.0164514357460799E-2</v>
      </c>
      <c r="Y307">
        <v>5.1774088126844272E-3</v>
      </c>
    </row>
    <row r="308" spans="1:25" x14ac:dyDescent="0.25">
      <c r="A308" s="881"/>
      <c r="B308" s="1131">
        <v>58</v>
      </c>
      <c r="C308" s="885">
        <v>0.98106995284356746</v>
      </c>
      <c r="D308" s="885">
        <v>0.9918167580972661</v>
      </c>
      <c r="E308" s="885">
        <v>0.97853477903065944</v>
      </c>
      <c r="F308" s="885">
        <v>0.99843260055342165</v>
      </c>
      <c r="G308" s="885">
        <v>0.99612898043037135</v>
      </c>
      <c r="H308" s="885">
        <v>1.008805426645379</v>
      </c>
      <c r="I308" s="885">
        <v>1.0009058792979002</v>
      </c>
      <c r="K308">
        <v>1.9564359612695759</v>
      </c>
      <c r="L308">
        <v>0</v>
      </c>
      <c r="M308">
        <v>2.1097287724857103E-3</v>
      </c>
      <c r="N308">
        <v>0.19883041448917887</v>
      </c>
      <c r="O308">
        <v>2.5738661913348546E-2</v>
      </c>
      <c r="P308">
        <v>2.0957060295073875E-2</v>
      </c>
      <c r="Q308">
        <v>2.9571062111450109E-3</v>
      </c>
      <c r="R308">
        <v>2.097252215378756E-3</v>
      </c>
      <c r="S308">
        <v>0.21170470380929085</v>
      </c>
      <c r="T308">
        <v>1.060353026807451</v>
      </c>
      <c r="U308">
        <v>3.804041749800445E-2</v>
      </c>
      <c r="V308">
        <v>0.25157556858345947</v>
      </c>
      <c r="W308">
        <v>0.12062174304550696</v>
      </c>
      <c r="X308">
        <v>1.9961706002970238E-2</v>
      </c>
      <c r="Y308">
        <v>5.7080291712539831E-3</v>
      </c>
    </row>
    <row r="309" spans="1:25" x14ac:dyDescent="0.25">
      <c r="A309" s="881"/>
      <c r="B309" s="1131">
        <v>59</v>
      </c>
      <c r="C309" s="885">
        <v>0.99870868150591896</v>
      </c>
      <c r="D309" s="885">
        <v>1.033262636487138</v>
      </c>
      <c r="E309" s="885">
        <v>0.99663864267664903</v>
      </c>
      <c r="F309" s="885">
        <v>1.0160157363236526</v>
      </c>
      <c r="G309" s="885">
        <v>0.98785176759374937</v>
      </c>
      <c r="H309" s="885">
        <v>0.95776949115270626</v>
      </c>
      <c r="I309" s="885">
        <v>1.0017512211958548</v>
      </c>
      <c r="K309">
        <v>1.9086388419382603</v>
      </c>
      <c r="L309">
        <v>0</v>
      </c>
      <c r="M309">
        <v>1.8562539934924437E-3</v>
      </c>
      <c r="N309">
        <v>0.18502548425756163</v>
      </c>
      <c r="O309">
        <v>2.4777721863050068E-2</v>
      </c>
      <c r="P309">
        <v>2.0939431798670166E-2</v>
      </c>
      <c r="Q309">
        <v>2.9075878338150241E-3</v>
      </c>
      <c r="R309">
        <v>1.844658817709103E-3</v>
      </c>
      <c r="S309">
        <v>0.19917414706005887</v>
      </c>
      <c r="T309">
        <v>1.0586813130685906</v>
      </c>
      <c r="U309">
        <v>3.736856532041239E-2</v>
      </c>
      <c r="V309">
        <v>0.24397684044846829</v>
      </c>
      <c r="W309">
        <v>0.110853034469302</v>
      </c>
      <c r="X309">
        <v>1.9925757783926586E-2</v>
      </c>
      <c r="Y309">
        <v>5.0205532101883481E-3</v>
      </c>
    </row>
    <row r="310" spans="1:25" x14ac:dyDescent="0.25">
      <c r="A310" s="881"/>
      <c r="B310" s="1131">
        <v>60</v>
      </c>
      <c r="C310" s="885">
        <v>0.99492908556752169</v>
      </c>
      <c r="D310" s="885">
        <v>1.0021629213100374</v>
      </c>
      <c r="E310" s="885">
        <v>1.0071299032002381</v>
      </c>
      <c r="F310" s="885">
        <v>1.0023552290644475</v>
      </c>
      <c r="G310" s="885">
        <v>0.99618437059469578</v>
      </c>
      <c r="H310" s="885">
        <v>0.97218278580165496</v>
      </c>
      <c r="I310" s="885">
        <v>0.96992089191215491</v>
      </c>
      <c r="K310">
        <v>1.9249741416601682</v>
      </c>
      <c r="L310">
        <v>0</v>
      </c>
      <c r="M310">
        <v>1.8781117848548389E-3</v>
      </c>
      <c r="N310">
        <v>0.1934349162250889</v>
      </c>
      <c r="O310">
        <v>2.5250036226173E-2</v>
      </c>
      <c r="P310">
        <v>2.1131283709690404E-2</v>
      </c>
      <c r="Q310">
        <v>2.9880677938538052E-3</v>
      </c>
      <c r="R310">
        <v>1.8665782675050572E-3</v>
      </c>
      <c r="S310">
        <v>0.19772190366578266</v>
      </c>
      <c r="T310">
        <v>1.0577183842174365</v>
      </c>
      <c r="U310">
        <v>3.7510523254658736E-2</v>
      </c>
      <c r="V310">
        <v>0.24825677048925696</v>
      </c>
      <c r="W310">
        <v>0.11506344952966609</v>
      </c>
      <c r="X310">
        <v>2.0830129339122552E-2</v>
      </c>
      <c r="Y310">
        <v>5.0802107267882528E-3</v>
      </c>
    </row>
    <row r="311" spans="1:25" x14ac:dyDescent="0.25">
      <c r="A311" s="881"/>
      <c r="B311" s="1131">
        <v>61</v>
      </c>
      <c r="C311" s="885">
        <v>0.98161098847770101</v>
      </c>
      <c r="D311" s="885">
        <v>1.0439801121149417</v>
      </c>
      <c r="E311" s="885">
        <v>1.0292045094103033</v>
      </c>
      <c r="F311" s="885">
        <v>0.96711850181525394</v>
      </c>
      <c r="G311" s="885">
        <v>0.97913262805614376</v>
      </c>
      <c r="H311" s="885">
        <v>1.0063917414338188</v>
      </c>
      <c r="I311" s="885">
        <v>0.9572212679670784</v>
      </c>
      <c r="K311">
        <v>1.9355043181590459</v>
      </c>
      <c r="L311">
        <v>0</v>
      </c>
      <c r="M311">
        <v>1.8432940144134029E-3</v>
      </c>
      <c r="N311">
        <v>0.2033657175477136</v>
      </c>
      <c r="O311">
        <v>2.5081530790831506E-2</v>
      </c>
      <c r="P311">
        <v>2.1407668523152165E-2</v>
      </c>
      <c r="Q311">
        <v>3.0426242575517515E-3</v>
      </c>
      <c r="R311">
        <v>1.8323283770678477E-3</v>
      </c>
      <c r="S311">
        <v>0.19742439861252029</v>
      </c>
      <c r="T311">
        <v>1.0557063209714312</v>
      </c>
      <c r="U311">
        <v>3.8019450718246153E-2</v>
      </c>
      <c r="V311">
        <v>0.24511234647942165</v>
      </c>
      <c r="W311">
        <v>0.11917987273225956</v>
      </c>
      <c r="X311">
        <v>2.2188359347772649E-2</v>
      </c>
      <c r="Y311">
        <v>4.9869938154915167E-3</v>
      </c>
    </row>
    <row r="312" spans="1:25" x14ac:dyDescent="0.25">
      <c r="A312" s="881"/>
      <c r="B312" s="1131">
        <v>62</v>
      </c>
      <c r="C312" s="885">
        <v>0.98200616846728794</v>
      </c>
      <c r="D312" s="885">
        <v>0.97381216673212045</v>
      </c>
      <c r="E312" s="885">
        <v>0.99206634740268751</v>
      </c>
      <c r="F312" s="885">
        <v>0.99827511554386084</v>
      </c>
      <c r="G312" s="885">
        <v>1.0064079689167955</v>
      </c>
      <c r="H312" s="885">
        <v>1.0152918878529886</v>
      </c>
      <c r="I312" s="885">
        <v>0.98030614630570412</v>
      </c>
      <c r="K312">
        <v>1.9645116756582224</v>
      </c>
      <c r="L312">
        <v>0</v>
      </c>
      <c r="M312">
        <v>2.0806204327359569E-3</v>
      </c>
      <c r="N312">
        <v>0.20453695714298428</v>
      </c>
      <c r="O312">
        <v>2.594893173385409E-2</v>
      </c>
      <c r="P312">
        <v>2.1156270321634214E-2</v>
      </c>
      <c r="Q312">
        <v>3.0185408355028758E-3</v>
      </c>
      <c r="R312">
        <v>2.0684102563248066E-3</v>
      </c>
      <c r="S312">
        <v>0.20956846146807781</v>
      </c>
      <c r="T312">
        <v>1.0591023172964313</v>
      </c>
      <c r="U312">
        <v>3.8004150889567545E-2</v>
      </c>
      <c r="V312">
        <v>0.2537929615779857</v>
      </c>
      <c r="W312">
        <v>0.12292831065818283</v>
      </c>
      <c r="X312">
        <v>2.0837453043953617E-2</v>
      </c>
      <c r="Y312">
        <v>5.6295308664583788E-3</v>
      </c>
    </row>
    <row r="313" spans="1:25" x14ac:dyDescent="0.25">
      <c r="A313" s="881"/>
      <c r="B313" s="1131">
        <v>63</v>
      </c>
      <c r="C313" s="885">
        <v>1.0128128122712168</v>
      </c>
      <c r="D313" s="885">
        <v>1.0285267583982098</v>
      </c>
      <c r="E313" s="885">
        <v>0.97944859446970867</v>
      </c>
      <c r="F313" s="885">
        <v>0.9763207699806562</v>
      </c>
      <c r="G313" s="885">
        <v>0.96349870875086296</v>
      </c>
      <c r="H313" s="885">
        <v>0.9841471065723485</v>
      </c>
      <c r="I313" s="885">
        <v>1.0161716450360732</v>
      </c>
      <c r="K313">
        <v>1.9111018865435119</v>
      </c>
      <c r="L313">
        <v>0</v>
      </c>
      <c r="M313">
        <v>1.9544350701870064E-3</v>
      </c>
      <c r="N313">
        <v>0.18468969568991492</v>
      </c>
      <c r="O313">
        <v>2.4488063827715244E-2</v>
      </c>
      <c r="P313">
        <v>2.0707445413072765E-2</v>
      </c>
      <c r="Q313">
        <v>2.8231537638183438E-3</v>
      </c>
      <c r="R313">
        <v>1.9425575506748641E-3</v>
      </c>
      <c r="S313">
        <v>0.20228710472294212</v>
      </c>
      <c r="T313">
        <v>1.0602683399846928</v>
      </c>
      <c r="U313">
        <v>3.6848181765420887E-2</v>
      </c>
      <c r="V313">
        <v>0.24261130092389382</v>
      </c>
      <c r="W313">
        <v>0.11197211254468635</v>
      </c>
      <c r="X313">
        <v>1.9131364137853872E-2</v>
      </c>
      <c r="Y313">
        <v>5.2870012890125009E-3</v>
      </c>
    </row>
    <row r="314" spans="1:25" x14ac:dyDescent="0.25">
      <c r="A314" s="881"/>
      <c r="B314" s="1131">
        <v>64</v>
      </c>
      <c r="C314" s="885">
        <v>1.0006376915395176</v>
      </c>
      <c r="D314" s="885">
        <v>0.99268114216614656</v>
      </c>
      <c r="E314" s="885">
        <v>1.0018261558062764</v>
      </c>
      <c r="F314" s="885">
        <v>1.013445942791062</v>
      </c>
      <c r="G314" s="885">
        <v>0.96980430289724495</v>
      </c>
      <c r="H314" s="885">
        <v>1.0021492736163642</v>
      </c>
      <c r="I314" s="885">
        <v>0.99862766540034642</v>
      </c>
      <c r="K314">
        <v>1.9424263972144078</v>
      </c>
      <c r="L314">
        <v>0</v>
      </c>
      <c r="M314">
        <v>1.9557707276210631E-3</v>
      </c>
      <c r="N314">
        <v>0.19817533629062642</v>
      </c>
      <c r="O314">
        <v>2.5224444492374039E-2</v>
      </c>
      <c r="P314">
        <v>2.1174672092819695E-2</v>
      </c>
      <c r="Q314">
        <v>2.9672376242974147E-3</v>
      </c>
      <c r="R314">
        <v>1.9441271250219539E-3</v>
      </c>
      <c r="S314">
        <v>0.20633469286559059</v>
      </c>
      <c r="T314">
        <v>1.0582046467781212</v>
      </c>
      <c r="U314">
        <v>3.7296526921245847E-2</v>
      </c>
      <c r="V314">
        <v>0.24863040545315326</v>
      </c>
      <c r="W314">
        <v>0.11831049743648554</v>
      </c>
      <c r="X314">
        <v>2.0828307709314934E-2</v>
      </c>
      <c r="Y314">
        <v>5.2912731529752358E-3</v>
      </c>
    </row>
    <row r="315" spans="1:25" x14ac:dyDescent="0.25">
      <c r="A315" s="881"/>
      <c r="B315" s="1131">
        <v>65</v>
      </c>
      <c r="C315" s="885">
        <v>0.97813161188119502</v>
      </c>
      <c r="D315" s="885">
        <v>1.0081360167414539</v>
      </c>
      <c r="E315" s="885">
        <v>1.0296828763962438</v>
      </c>
      <c r="F315" s="885">
        <v>1.0459828019045581</v>
      </c>
      <c r="G315" s="885">
        <v>1.007795248182594</v>
      </c>
      <c r="H315" s="885">
        <v>1.0092293612665091</v>
      </c>
      <c r="I315" s="885">
        <v>0.99024579364821075</v>
      </c>
      <c r="K315">
        <v>1.9607422237864645</v>
      </c>
      <c r="L315">
        <v>0</v>
      </c>
      <c r="M315">
        <v>1.8853758205251889E-3</v>
      </c>
      <c r="N315">
        <v>0.20832409378135699</v>
      </c>
      <c r="O315">
        <v>2.5608271652711064E-2</v>
      </c>
      <c r="P315">
        <v>2.1638922588890802E-2</v>
      </c>
      <c r="Q315">
        <v>3.1005170865912772E-3</v>
      </c>
      <c r="R315">
        <v>1.8742181187047892E-3</v>
      </c>
      <c r="S315">
        <v>0.20855383120966911</v>
      </c>
      <c r="T315">
        <v>1.0556629295743956</v>
      </c>
      <c r="U315">
        <v>3.81546922189136E-2</v>
      </c>
      <c r="V315">
        <v>0.24993566180188337</v>
      </c>
      <c r="W315">
        <v>0.12204652085578352</v>
      </c>
      <c r="X315">
        <v>2.2626936834812608E-2</v>
      </c>
      <c r="Y315">
        <v>5.1010038832776539E-3</v>
      </c>
    </row>
    <row r="316" spans="1:25" x14ac:dyDescent="0.25">
      <c r="A316" s="881"/>
      <c r="B316" s="1131">
        <v>66</v>
      </c>
      <c r="C316" s="885">
        <v>0.97373336318492021</v>
      </c>
      <c r="D316" s="885">
        <v>1.0003758010999064</v>
      </c>
      <c r="E316" s="885">
        <v>0.97847000636548032</v>
      </c>
      <c r="F316" s="885">
        <v>0.98878885740079325</v>
      </c>
      <c r="G316" s="885">
        <v>1.0043100734434895</v>
      </c>
      <c r="H316" s="885">
        <v>0.99930360268925345</v>
      </c>
      <c r="I316" s="885">
        <v>0.97109873868814156</v>
      </c>
      <c r="K316">
        <v>1.9480935262864454</v>
      </c>
      <c r="L316">
        <v>0</v>
      </c>
      <c r="M316">
        <v>2.0969545088599874E-3</v>
      </c>
      <c r="N316">
        <v>0.19757474110818235</v>
      </c>
      <c r="O316">
        <v>2.5822465694053574E-2</v>
      </c>
      <c r="P316">
        <v>2.0872151388946575E-2</v>
      </c>
      <c r="Q316">
        <v>2.9683194816267286E-3</v>
      </c>
      <c r="R316">
        <v>2.0844281129431892E-3</v>
      </c>
      <c r="S316">
        <v>0.20517342267526525</v>
      </c>
      <c r="T316">
        <v>1.0603590307704505</v>
      </c>
      <c r="U316">
        <v>3.8327032853068078E-2</v>
      </c>
      <c r="V316">
        <v>0.25156817090133765</v>
      </c>
      <c r="W316">
        <v>0.11986537366667817</v>
      </c>
      <c r="X316">
        <v>1.9902217950863416E-2</v>
      </c>
      <c r="Y316">
        <v>5.6731261918886019E-3</v>
      </c>
    </row>
    <row r="317" spans="1:25" x14ac:dyDescent="0.25">
      <c r="A317" s="881"/>
      <c r="B317" s="1131">
        <v>67</v>
      </c>
      <c r="C317" s="885">
        <v>0.98224319220221823</v>
      </c>
      <c r="D317" s="885">
        <v>1.0053018356783328</v>
      </c>
      <c r="E317" s="885">
        <v>1.0067182492500169</v>
      </c>
      <c r="F317" s="885">
        <v>0.99470680994775373</v>
      </c>
      <c r="G317" s="885">
        <v>0.99873315615935521</v>
      </c>
      <c r="H317" s="885">
        <v>0.99457742446465169</v>
      </c>
      <c r="I317" s="885">
        <v>1.0268336135249634</v>
      </c>
      <c r="K317">
        <v>1.9550855648925007</v>
      </c>
      <c r="L317">
        <v>0</v>
      </c>
      <c r="M317">
        <v>1.9448707524076581E-3</v>
      </c>
      <c r="N317">
        <v>0.2000820427165205</v>
      </c>
      <c r="O317">
        <v>2.5536606261156208E-2</v>
      </c>
      <c r="P317">
        <v>2.1376155953149466E-2</v>
      </c>
      <c r="Q317">
        <v>3.0213923534780068E-3</v>
      </c>
      <c r="R317">
        <v>1.9331936693649055E-3</v>
      </c>
      <c r="S317">
        <v>0.21408657607124051</v>
      </c>
      <c r="T317">
        <v>1.0577560865513886</v>
      </c>
      <c r="U317">
        <v>3.7994980160914793E-2</v>
      </c>
      <c r="V317">
        <v>0.24969304762107289</v>
      </c>
      <c r="W317">
        <v>0.11905081453991416</v>
      </c>
      <c r="X317">
        <v>2.1238023855818803E-2</v>
      </c>
      <c r="Y317">
        <v>5.2615158908894373E-3</v>
      </c>
    </row>
    <row r="318" spans="1:25" x14ac:dyDescent="0.25">
      <c r="A318" s="881"/>
      <c r="B318" s="1131">
        <v>68</v>
      </c>
      <c r="C318" s="885">
        <v>0.97795942068140562</v>
      </c>
      <c r="D318" s="885">
        <v>0.98339695438429897</v>
      </c>
      <c r="E318" s="885">
        <v>1.0211447031666869</v>
      </c>
      <c r="F318" s="885">
        <v>0.98789453132305793</v>
      </c>
      <c r="G318" s="885">
        <v>1.0057691048213246</v>
      </c>
      <c r="H318" s="885">
        <v>1.0063074575109359</v>
      </c>
      <c r="I318" s="885">
        <v>0.99860930750454757</v>
      </c>
      <c r="K318">
        <v>1.9698657225574168</v>
      </c>
      <c r="L318">
        <v>0</v>
      </c>
      <c r="M318">
        <v>1.9381802725696921E-3</v>
      </c>
      <c r="N318">
        <v>0.20855380655230338</v>
      </c>
      <c r="O318">
        <v>2.5929910674419781E-2</v>
      </c>
      <c r="P318">
        <v>2.1613882041706667E-2</v>
      </c>
      <c r="Q318">
        <v>3.1076052130031887E-3</v>
      </c>
      <c r="R318">
        <v>1.9266965936528852E-3</v>
      </c>
      <c r="S318">
        <v>0.2124632118794329</v>
      </c>
      <c r="T318">
        <v>1.0564387510963333</v>
      </c>
      <c r="U318">
        <v>3.8161410189099132E-2</v>
      </c>
      <c r="V318">
        <v>0.25313157440196343</v>
      </c>
      <c r="W318">
        <v>0.12288440756342232</v>
      </c>
      <c r="X318">
        <v>2.2348813632087895E-2</v>
      </c>
      <c r="Y318">
        <v>5.2438329925617528E-3</v>
      </c>
    </row>
    <row r="319" spans="1:25" x14ac:dyDescent="0.25">
      <c r="A319" s="881"/>
      <c r="B319" s="1131">
        <v>69</v>
      </c>
      <c r="C319" s="885">
        <v>0.99044984303749262</v>
      </c>
      <c r="D319" s="885">
        <v>0.99736614747598384</v>
      </c>
      <c r="E319" s="885">
        <v>0.99843255473136561</v>
      </c>
      <c r="F319" s="885">
        <v>0.9900187406665869</v>
      </c>
      <c r="G319" s="885">
        <v>0.96548410316045097</v>
      </c>
      <c r="H319" s="885">
        <v>0.95947620997068794</v>
      </c>
      <c r="I319" s="885">
        <v>1.0062345709494602</v>
      </c>
      <c r="K319">
        <v>1.930528318564922</v>
      </c>
      <c r="L319">
        <v>0</v>
      </c>
      <c r="M319">
        <v>1.9008852755202357E-3</v>
      </c>
      <c r="N319">
        <v>0.1905398423855896</v>
      </c>
      <c r="O319">
        <v>2.5424539595244555E-2</v>
      </c>
      <c r="P319">
        <v>2.1126958115135822E-2</v>
      </c>
      <c r="Q319">
        <v>2.981572162343191E-3</v>
      </c>
      <c r="R319">
        <v>1.8890612447041023E-3</v>
      </c>
      <c r="S319">
        <v>0.20519801925058326</v>
      </c>
      <c r="T319">
        <v>1.058516356881845</v>
      </c>
      <c r="U319">
        <v>3.7680162062991171E-2</v>
      </c>
      <c r="V319">
        <v>0.24950021633583425</v>
      </c>
      <c r="W319">
        <v>0.11401653457941792</v>
      </c>
      <c r="X319">
        <v>2.0414539247540598E-2</v>
      </c>
      <c r="Y319">
        <v>5.1414019792126123E-3</v>
      </c>
    </row>
    <row r="320" spans="1:25" x14ac:dyDescent="0.25">
      <c r="A320" s="881"/>
      <c r="B320" s="1131">
        <v>70</v>
      </c>
      <c r="C320" s="885">
        <v>1.0327535672128338</v>
      </c>
      <c r="D320" s="885">
        <v>0.99304110719920546</v>
      </c>
      <c r="E320" s="885">
        <v>0.99595047394358183</v>
      </c>
      <c r="F320" s="885">
        <v>1.0041686703061976</v>
      </c>
      <c r="G320" s="885">
        <v>0.99652021318401762</v>
      </c>
      <c r="H320" s="885">
        <v>0.96725925049753902</v>
      </c>
      <c r="I320" s="885">
        <v>1.0098425611359318</v>
      </c>
      <c r="K320">
        <v>1.9052500687548142</v>
      </c>
      <c r="L320">
        <v>0</v>
      </c>
      <c r="M320">
        <v>1.8514140758203344E-3</v>
      </c>
      <c r="N320">
        <v>0.18416275785301486</v>
      </c>
      <c r="O320">
        <v>2.4435641703288009E-2</v>
      </c>
      <c r="P320">
        <v>2.0908514164288346E-2</v>
      </c>
      <c r="Q320">
        <v>2.857583324335083E-3</v>
      </c>
      <c r="R320">
        <v>1.8399938822996997E-3</v>
      </c>
      <c r="S320">
        <v>0.1986652192193484</v>
      </c>
      <c r="T320">
        <v>1.0587446257239279</v>
      </c>
      <c r="U320">
        <v>3.6136704617381214E-2</v>
      </c>
      <c r="V320">
        <v>0.24417489376581156</v>
      </c>
      <c r="W320">
        <v>0.11038825649142123</v>
      </c>
      <c r="X320">
        <v>1.9779435291716139E-2</v>
      </c>
      <c r="Y320">
        <v>5.0078567937994981E-3</v>
      </c>
    </row>
    <row r="321" spans="1:25" x14ac:dyDescent="0.25">
      <c r="A321" s="881"/>
      <c r="B321" s="1131">
        <v>71</v>
      </c>
      <c r="C321" s="885">
        <v>0.99943258999154805</v>
      </c>
      <c r="D321" s="885">
        <v>0.97526278570501812</v>
      </c>
      <c r="E321" s="885">
        <v>1.0196433761476442</v>
      </c>
      <c r="F321" s="885">
        <v>0.99722193103400925</v>
      </c>
      <c r="G321" s="885">
        <v>0.96530134309679194</v>
      </c>
      <c r="H321" s="885">
        <v>0.98863635156890528</v>
      </c>
      <c r="I321" s="885">
        <v>0.99479500767621343</v>
      </c>
      <c r="K321">
        <v>1.9474584080553108</v>
      </c>
      <c r="L321">
        <v>0</v>
      </c>
      <c r="M321">
        <v>1.8768689868835925E-3</v>
      </c>
      <c r="N321">
        <v>0.20099614566177218</v>
      </c>
      <c r="O321">
        <v>2.5477631807580944E-2</v>
      </c>
      <c r="P321">
        <v>2.1463516530539219E-2</v>
      </c>
      <c r="Q321">
        <v>3.0470672789922378E-3</v>
      </c>
      <c r="R321">
        <v>1.865556380296435E-3</v>
      </c>
      <c r="S321">
        <v>0.2060958568945106</v>
      </c>
      <c r="T321">
        <v>1.0565754640361873</v>
      </c>
      <c r="U321">
        <v>3.7341498540919608E-2</v>
      </c>
      <c r="V321">
        <v>0.2510397780414575</v>
      </c>
      <c r="W321">
        <v>0.11855127676985393</v>
      </c>
      <c r="X321">
        <v>2.1804055613410981E-2</v>
      </c>
      <c r="Y321">
        <v>5.0774294866714111E-3</v>
      </c>
    </row>
    <row r="322" spans="1:25" x14ac:dyDescent="0.25">
      <c r="A322" s="881"/>
      <c r="B322" s="1131">
        <v>72</v>
      </c>
      <c r="C322" s="885">
        <v>0.98329695680751683</v>
      </c>
      <c r="D322" s="885">
        <v>0.98914601324709628</v>
      </c>
      <c r="E322" s="885">
        <v>1.0204761790152375</v>
      </c>
      <c r="F322" s="885">
        <v>0.99520277446958227</v>
      </c>
      <c r="G322" s="885">
        <v>1.0249119707613958</v>
      </c>
      <c r="H322" s="885">
        <v>0.97549589099884926</v>
      </c>
      <c r="I322" s="885">
        <v>1.0388732683695518</v>
      </c>
      <c r="K322">
        <v>1.9577528570686253</v>
      </c>
      <c r="L322">
        <v>0</v>
      </c>
      <c r="M322">
        <v>1.8658812364694089E-3</v>
      </c>
      <c r="N322">
        <v>0.20031949561350898</v>
      </c>
      <c r="O322">
        <v>2.5714712089734162E-2</v>
      </c>
      <c r="P322">
        <v>2.1627915764307636E-2</v>
      </c>
      <c r="Q322">
        <v>3.0810271772974515E-3</v>
      </c>
      <c r="R322">
        <v>1.8544721044012572E-3</v>
      </c>
      <c r="S322">
        <v>0.21592893779141281</v>
      </c>
      <c r="T322">
        <v>1.056499616957624</v>
      </c>
      <c r="U322">
        <v>3.7954262283171544E-2</v>
      </c>
      <c r="V322">
        <v>0.25158876789879692</v>
      </c>
      <c r="W322">
        <v>0.11808580088822129</v>
      </c>
      <c r="X322">
        <v>2.1916467995001496E-2</v>
      </c>
      <c r="Y322">
        <v>5.047261741615303E-3</v>
      </c>
    </row>
    <row r="323" spans="1:25" x14ac:dyDescent="0.25">
      <c r="A323" s="881"/>
      <c r="B323" s="1131">
        <v>73</v>
      </c>
      <c r="C323" s="885">
        <v>1.0086390387473259</v>
      </c>
      <c r="D323" s="885">
        <v>1.0333939252275901</v>
      </c>
      <c r="E323" s="885">
        <v>1.017824141173638</v>
      </c>
      <c r="F323" s="885">
        <v>0.9685289112510661</v>
      </c>
      <c r="G323" s="885">
        <v>1.0007394221990114</v>
      </c>
      <c r="H323" s="885">
        <v>0.97794091391977378</v>
      </c>
      <c r="I323" s="885">
        <v>0.96654013976708919</v>
      </c>
      <c r="K323">
        <v>1.9068977526672175</v>
      </c>
      <c r="L323">
        <v>0</v>
      </c>
      <c r="M323">
        <v>1.7945983029393783E-3</v>
      </c>
      <c r="N323">
        <v>0.19108513510434055</v>
      </c>
      <c r="O323">
        <v>2.4532241737903509E-2</v>
      </c>
      <c r="P323">
        <v>2.112365804080055E-2</v>
      </c>
      <c r="Q323">
        <v>2.9405195265405026E-3</v>
      </c>
      <c r="R323">
        <v>1.7836193900241095E-3</v>
      </c>
      <c r="S323">
        <v>0.19219492449544889</v>
      </c>
      <c r="T323">
        <v>1.0567412441941804</v>
      </c>
      <c r="U323">
        <v>3.7000660461513214E-2</v>
      </c>
      <c r="V323">
        <v>0.2426108269931023</v>
      </c>
      <c r="W323">
        <v>0.11284413978335568</v>
      </c>
      <c r="X323">
        <v>2.0980957233276396E-2</v>
      </c>
      <c r="Y323">
        <v>4.8544240096717256E-3</v>
      </c>
    </row>
    <row r="324" spans="1:25" x14ac:dyDescent="0.25">
      <c r="A324" s="881"/>
      <c r="B324" s="1131">
        <v>74</v>
      </c>
      <c r="C324" s="885">
        <v>0.97479683183876753</v>
      </c>
      <c r="D324" s="885">
        <v>0.964626198927932</v>
      </c>
      <c r="E324" s="885">
        <v>1.0375825150383646</v>
      </c>
      <c r="F324" s="885">
        <v>1.0266188906678086</v>
      </c>
      <c r="G324" s="885">
        <v>1.0163516558165482</v>
      </c>
      <c r="H324" s="885">
        <v>0.98941422135588664</v>
      </c>
      <c r="I324" s="885">
        <v>0.96218562512022299</v>
      </c>
      <c r="K324">
        <v>1.9684974660934442</v>
      </c>
      <c r="L324">
        <v>0</v>
      </c>
      <c r="M324">
        <v>1.8642410512783552E-3</v>
      </c>
      <c r="N324">
        <v>0.21107992613609847</v>
      </c>
      <c r="O324">
        <v>2.6264303689478984E-2</v>
      </c>
      <c r="P324">
        <v>2.1798710490066511E-2</v>
      </c>
      <c r="Q324">
        <v>3.1949282495860368E-3</v>
      </c>
      <c r="R324">
        <v>1.8530220357000648E-3</v>
      </c>
      <c r="S324">
        <v>0.20549269103186785</v>
      </c>
      <c r="T324">
        <v>1.0549476703771314</v>
      </c>
      <c r="U324">
        <v>3.8285219424153534E-2</v>
      </c>
      <c r="V324">
        <v>0.25611962265553101</v>
      </c>
      <c r="W324">
        <v>0.12300976585273947</v>
      </c>
      <c r="X324">
        <v>2.3272532069742408E-2</v>
      </c>
      <c r="Y324">
        <v>5.0433151326256765E-3</v>
      </c>
    </row>
    <row r="325" spans="1:25" x14ac:dyDescent="0.25">
      <c r="A325" s="881"/>
      <c r="B325" s="1131">
        <v>75</v>
      </c>
      <c r="C325" s="885">
        <v>1.0043834921549408</v>
      </c>
      <c r="D325" s="885">
        <v>0.96022361508865628</v>
      </c>
      <c r="E325" s="885">
        <v>0.99343080906015158</v>
      </c>
      <c r="F325" s="885">
        <v>1.0162155141662108</v>
      </c>
      <c r="G325" s="885">
        <v>0.97885401700879815</v>
      </c>
      <c r="H325" s="885">
        <v>0.95979004738774987</v>
      </c>
      <c r="I325" s="885">
        <v>1.004710184050269</v>
      </c>
      <c r="K325">
        <v>1.9341441452897701</v>
      </c>
      <c r="L325">
        <v>0</v>
      </c>
      <c r="M325">
        <v>1.9309839332183781E-3</v>
      </c>
      <c r="N325">
        <v>0.19057088958060356</v>
      </c>
      <c r="O325">
        <v>2.5548714429428132E-2</v>
      </c>
      <c r="P325">
        <v>2.1091289158680068E-2</v>
      </c>
      <c r="Q325">
        <v>2.9731234365345783E-3</v>
      </c>
      <c r="R325">
        <v>1.9190084442169558E-3</v>
      </c>
      <c r="S325">
        <v>0.20563394229629911</v>
      </c>
      <c r="T325">
        <v>1.0589765963162168</v>
      </c>
      <c r="U325">
        <v>3.7157431292349094E-2</v>
      </c>
      <c r="V325">
        <v>0.25231773283954989</v>
      </c>
      <c r="W325">
        <v>0.11442717004474988</v>
      </c>
      <c r="X325">
        <v>2.0236323000165243E-2</v>
      </c>
      <c r="Y325">
        <v>5.2229083841949346E-3</v>
      </c>
    </row>
    <row r="326" spans="1:25" x14ac:dyDescent="0.25">
      <c r="A326" s="881"/>
      <c r="B326" s="1131">
        <v>76</v>
      </c>
      <c r="C326" s="885">
        <v>1.0188130514643972</v>
      </c>
      <c r="D326" s="885">
        <v>1.002313274592417</v>
      </c>
      <c r="E326" s="885">
        <v>1.0053861698038637</v>
      </c>
      <c r="F326" s="885">
        <v>1.0256454762965155</v>
      </c>
      <c r="G326" s="885">
        <v>1.0255140922721917</v>
      </c>
      <c r="H326" s="885">
        <v>0.98478332198442486</v>
      </c>
      <c r="I326" s="885">
        <v>1.0373730189391297</v>
      </c>
      <c r="K326">
        <v>1.9263413547660655</v>
      </c>
      <c r="L326">
        <v>0</v>
      </c>
      <c r="M326">
        <v>1.8645582597910132E-3</v>
      </c>
      <c r="N326">
        <v>0.19101556757857877</v>
      </c>
      <c r="O326">
        <v>2.4656270909641696E-2</v>
      </c>
      <c r="P326">
        <v>2.1186394859466159E-2</v>
      </c>
      <c r="Q326">
        <v>2.9127404387631036E-3</v>
      </c>
      <c r="R326">
        <v>1.8532543665946142E-3</v>
      </c>
      <c r="S326">
        <v>0.20779744948260837</v>
      </c>
      <c r="T326">
        <v>1.0578781336038516</v>
      </c>
      <c r="U326">
        <v>3.6631166578867738E-2</v>
      </c>
      <c r="V326">
        <v>0.24491716702246252</v>
      </c>
      <c r="W326">
        <v>0.11375937501405171</v>
      </c>
      <c r="X326">
        <v>2.0554445710237495E-2</v>
      </c>
      <c r="Y326">
        <v>5.0439474607327818E-3</v>
      </c>
    </row>
    <row r="327" spans="1:25" x14ac:dyDescent="0.25">
      <c r="A327" s="881"/>
      <c r="B327" s="1131">
        <v>77</v>
      </c>
      <c r="C327" s="885">
        <v>0.97695583764697236</v>
      </c>
      <c r="D327" s="885">
        <v>1.000423689939733</v>
      </c>
      <c r="E327" s="885">
        <v>1.0181668875203682</v>
      </c>
      <c r="F327" s="885">
        <v>1.025728915445852</v>
      </c>
      <c r="G327" s="885">
        <v>0.97940952727845887</v>
      </c>
      <c r="H327" s="885">
        <v>0.98338880731273171</v>
      </c>
      <c r="I327" s="885">
        <v>1.0196022335913839</v>
      </c>
      <c r="K327">
        <v>1.9570708383865649</v>
      </c>
      <c r="L327">
        <v>0</v>
      </c>
      <c r="M327">
        <v>1.8917992064823061E-3</v>
      </c>
      <c r="N327">
        <v>0.20165913658499188</v>
      </c>
      <c r="O327">
        <v>2.5736680863646846E-2</v>
      </c>
      <c r="P327">
        <v>2.1550421876470233E-2</v>
      </c>
      <c r="Q327">
        <v>3.0790235122344755E-3</v>
      </c>
      <c r="R327">
        <v>1.8803154018193259E-3</v>
      </c>
      <c r="S327">
        <v>0.21302541974600139</v>
      </c>
      <c r="T327">
        <v>1.0567100010967712</v>
      </c>
      <c r="U327">
        <v>3.8200611698891114E-2</v>
      </c>
      <c r="V327">
        <v>0.25107966277463878</v>
      </c>
      <c r="W327">
        <v>0.11906097297682795</v>
      </c>
      <c r="X327">
        <v>2.1862792382805595E-2</v>
      </c>
      <c r="Y327">
        <v>5.1175986779465827E-3</v>
      </c>
    </row>
    <row r="328" spans="1:25" x14ac:dyDescent="0.25">
      <c r="A328" s="881"/>
      <c r="B328" s="1131">
        <v>78</v>
      </c>
      <c r="C328" s="885">
        <v>1.0317876079831598</v>
      </c>
      <c r="D328" s="885">
        <v>0.98916992231550727</v>
      </c>
      <c r="E328" s="885">
        <v>0.97490632313093617</v>
      </c>
      <c r="F328" s="885">
        <v>1.0298162360802727</v>
      </c>
      <c r="G328" s="885">
        <v>0.96464480979979694</v>
      </c>
      <c r="H328" s="885">
        <v>1.0046050306736591</v>
      </c>
      <c r="I328" s="885">
        <v>0.98974597588885393</v>
      </c>
      <c r="K328">
        <v>1.9149838963787316</v>
      </c>
      <c r="L328">
        <v>0</v>
      </c>
      <c r="M328">
        <v>2.0156048447666137E-3</v>
      </c>
      <c r="N328">
        <v>0.1878193143287516</v>
      </c>
      <c r="O328">
        <v>2.4505910875084448E-2</v>
      </c>
      <c r="P328">
        <v>2.0615939918176854E-2</v>
      </c>
      <c r="Q328">
        <v>2.8045680378497506E-3</v>
      </c>
      <c r="R328">
        <v>2.0036373063504146E-3</v>
      </c>
      <c r="S328">
        <v>0.19888869728333106</v>
      </c>
      <c r="T328">
        <v>1.060689609303056</v>
      </c>
      <c r="U328">
        <v>3.6170535788724069E-2</v>
      </c>
      <c r="V328">
        <v>0.24477527219961115</v>
      </c>
      <c r="W328">
        <v>0.11422969047638806</v>
      </c>
      <c r="X328">
        <v>1.9043085457148116E-2</v>
      </c>
      <c r="Y328">
        <v>5.4532402490253028E-3</v>
      </c>
    </row>
    <row r="329" spans="1:25" x14ac:dyDescent="0.25">
      <c r="A329" s="881"/>
      <c r="B329" s="1131">
        <v>79</v>
      </c>
      <c r="C329" s="885">
        <v>1.0195980034965435</v>
      </c>
      <c r="D329" s="885">
        <v>1.0117110937232243</v>
      </c>
      <c r="E329" s="885">
        <v>0.99846310278686357</v>
      </c>
      <c r="F329" s="885">
        <v>0.99703983625376846</v>
      </c>
      <c r="G329" s="885">
        <v>0.99029525326318191</v>
      </c>
      <c r="H329" s="885">
        <v>1.0087269716512779</v>
      </c>
      <c r="I329" s="885">
        <v>0.96108112280822922</v>
      </c>
      <c r="K329">
        <v>1.9152927304464487</v>
      </c>
      <c r="L329">
        <v>0</v>
      </c>
      <c r="M329">
        <v>1.9275493613215987E-3</v>
      </c>
      <c r="N329">
        <v>0.19328886265318337</v>
      </c>
      <c r="O329">
        <v>2.4523848953471428E-2</v>
      </c>
      <c r="P329">
        <v>2.0878205304856831E-2</v>
      </c>
      <c r="Q329">
        <v>2.8788941152416681E-3</v>
      </c>
      <c r="R329">
        <v>1.9161336062957549E-3</v>
      </c>
      <c r="S329">
        <v>0.19381696196894602</v>
      </c>
      <c r="T329">
        <v>1.0585135489714979</v>
      </c>
      <c r="U329">
        <v>3.660296555400562E-2</v>
      </c>
      <c r="V329">
        <v>0.24367855687890316</v>
      </c>
      <c r="W329">
        <v>0.11565909195576878</v>
      </c>
      <c r="X329">
        <v>2.0248125822534789E-2</v>
      </c>
      <c r="Y329">
        <v>5.2150840230634904E-3</v>
      </c>
    </row>
    <row r="330" spans="1:25" x14ac:dyDescent="0.25">
      <c r="A330" s="881"/>
      <c r="B330" s="1131">
        <v>80</v>
      </c>
      <c r="C330" s="885">
        <v>0.98125844448569344</v>
      </c>
      <c r="D330" s="885">
        <v>1.000610560511844</v>
      </c>
      <c r="E330" s="885">
        <v>0.98157734937967323</v>
      </c>
      <c r="F330" s="885">
        <v>0.99291293742541087</v>
      </c>
      <c r="G330" s="885">
        <v>1.0112017685518031</v>
      </c>
      <c r="H330" s="885">
        <v>1.0292463377713632</v>
      </c>
      <c r="I330" s="885">
        <v>0.98356821660590144</v>
      </c>
      <c r="K330">
        <v>1.9584559329344959</v>
      </c>
      <c r="L330">
        <v>0</v>
      </c>
      <c r="M330">
        <v>2.1290412428611187E-3</v>
      </c>
      <c r="N330">
        <v>0.2025848845680687</v>
      </c>
      <c r="O330">
        <v>2.5621462378368397E-2</v>
      </c>
      <c r="P330">
        <v>2.0952839032141991E-2</v>
      </c>
      <c r="Q330">
        <v>2.9545787011975196E-3</v>
      </c>
      <c r="R330">
        <v>2.1166929653168502E-3</v>
      </c>
      <c r="S330">
        <v>0.209228529348187</v>
      </c>
      <c r="T330">
        <v>1.0600711855965099</v>
      </c>
      <c r="U330">
        <v>3.8033110248011773E-2</v>
      </c>
      <c r="V330">
        <v>0.25042340969381616</v>
      </c>
      <c r="W330">
        <v>0.12264023369177514</v>
      </c>
      <c r="X330">
        <v>2.0197107470017635E-2</v>
      </c>
      <c r="Y330">
        <v>5.7609404839439804E-3</v>
      </c>
    </row>
    <row r="331" spans="1:25" x14ac:dyDescent="0.25">
      <c r="A331" s="881"/>
      <c r="B331" s="1131">
        <v>81</v>
      </c>
      <c r="C331" s="885">
        <v>0.99686042832386956</v>
      </c>
      <c r="D331" s="885">
        <v>1.0102952848069218</v>
      </c>
      <c r="E331" s="885">
        <v>0.96360532413066957</v>
      </c>
      <c r="F331" s="885">
        <v>0.97824600511868343</v>
      </c>
      <c r="G331" s="885">
        <v>1.0021744727553132</v>
      </c>
      <c r="H331" s="885">
        <v>1.0091842463931771</v>
      </c>
      <c r="I331" s="885">
        <v>0.99542913297423274</v>
      </c>
      <c r="K331">
        <v>1.932908686476045</v>
      </c>
      <c r="L331">
        <v>0</v>
      </c>
      <c r="M331">
        <v>2.1236501897025292E-3</v>
      </c>
      <c r="N331">
        <v>0.19103887703745143</v>
      </c>
      <c r="O331">
        <v>2.5100585092451607E-2</v>
      </c>
      <c r="P331">
        <v>2.0585769228307734E-2</v>
      </c>
      <c r="Q331">
        <v>2.8438090048279806E-3</v>
      </c>
      <c r="R331">
        <v>2.1110799562867972E-3</v>
      </c>
      <c r="S331">
        <v>0.20550042397949328</v>
      </c>
      <c r="T331">
        <v>1.0617411768301253</v>
      </c>
      <c r="U331">
        <v>3.7437849412547797E-2</v>
      </c>
      <c r="V331">
        <v>0.24698135858672116</v>
      </c>
      <c r="W331">
        <v>0.11710944706820149</v>
      </c>
      <c r="X331">
        <v>1.8836296745639171E-2</v>
      </c>
      <c r="Y331">
        <v>5.7456637236921052E-3</v>
      </c>
    </row>
    <row r="332" spans="1:25" x14ac:dyDescent="0.25">
      <c r="A332" s="881"/>
      <c r="B332" s="1131">
        <v>82</v>
      </c>
      <c r="C332" s="885">
        <v>1.0063730303963447</v>
      </c>
      <c r="D332" s="885">
        <v>1.0205276553955476</v>
      </c>
      <c r="E332" s="885">
        <v>1.0057231326840608</v>
      </c>
      <c r="F332" s="885">
        <v>0.99387099222523556</v>
      </c>
      <c r="G332" s="885">
        <v>1.0112169373000672</v>
      </c>
      <c r="H332" s="885">
        <v>0.99165076267484142</v>
      </c>
      <c r="I332" s="885">
        <v>0.99232110022214615</v>
      </c>
      <c r="K332">
        <v>1.9221187067455199</v>
      </c>
      <c r="L332">
        <v>0</v>
      </c>
      <c r="M332">
        <v>1.8826036338208212E-3</v>
      </c>
      <c r="N332">
        <v>0.19307314469940523</v>
      </c>
      <c r="O332">
        <v>2.473987323538164E-2</v>
      </c>
      <c r="P332">
        <v>2.1087389283014922E-2</v>
      </c>
      <c r="Q332">
        <v>2.9272582159260399E-3</v>
      </c>
      <c r="R332">
        <v>1.8712552975158904E-3</v>
      </c>
      <c r="S332">
        <v>0.20025544245408958</v>
      </c>
      <c r="T332">
        <v>1.0578472540370014</v>
      </c>
      <c r="U332">
        <v>3.7083973311783598E-2</v>
      </c>
      <c r="V332">
        <v>0.24442691771971053</v>
      </c>
      <c r="W332">
        <v>0.1149583599025444</v>
      </c>
      <c r="X332">
        <v>2.063750216227388E-2</v>
      </c>
      <c r="Y332">
        <v>5.0929400606952125E-3</v>
      </c>
    </row>
    <row r="333" spans="1:25" x14ac:dyDescent="0.25">
      <c r="A333" s="881"/>
      <c r="B333" s="1131">
        <v>83</v>
      </c>
      <c r="C333" s="885">
        <v>0.95891652877702094</v>
      </c>
      <c r="D333" s="885">
        <v>0.99952770662583623</v>
      </c>
      <c r="E333" s="885">
        <v>1.0153832373368636</v>
      </c>
      <c r="F333" s="885">
        <v>0.97753416935534354</v>
      </c>
      <c r="G333" s="885">
        <v>1.0059403422060349</v>
      </c>
      <c r="H333" s="885">
        <v>0.96944453194082758</v>
      </c>
      <c r="I333" s="885">
        <v>0.99954704025179641</v>
      </c>
      <c r="K333">
        <v>1.9606694296448786</v>
      </c>
      <c r="L333">
        <v>0</v>
      </c>
      <c r="M333">
        <v>1.912105162729014E-3</v>
      </c>
      <c r="N333">
        <v>0.20205063675640988</v>
      </c>
      <c r="O333">
        <v>2.6232475859383628E-2</v>
      </c>
      <c r="P333">
        <v>2.1536131339920772E-2</v>
      </c>
      <c r="Q333">
        <v>3.1294545038570293E-3</v>
      </c>
      <c r="R333">
        <v>1.9003318721684895E-3</v>
      </c>
      <c r="S333">
        <v>0.21138012442757778</v>
      </c>
      <c r="T333">
        <v>1.0569638779245967</v>
      </c>
      <c r="U333">
        <v>3.8919248423545577E-2</v>
      </c>
      <c r="V333">
        <v>0.25390900283601847</v>
      </c>
      <c r="W333">
        <v>0.11951690345640917</v>
      </c>
      <c r="X333">
        <v>2.1871270495910349E-2</v>
      </c>
      <c r="Y333">
        <v>5.1720769118093288E-3</v>
      </c>
    </row>
    <row r="334" spans="1:25" x14ac:dyDescent="0.25">
      <c r="A334" s="881"/>
      <c r="B334" s="1131">
        <v>84</v>
      </c>
      <c r="C334" s="885">
        <v>0.99245971114230025</v>
      </c>
      <c r="D334" s="885">
        <v>0.99191703995556368</v>
      </c>
      <c r="E334" s="885">
        <v>0.97258875206015694</v>
      </c>
      <c r="F334" s="885">
        <v>0.99030582262452116</v>
      </c>
      <c r="G334" s="885">
        <v>0.9931811735954551</v>
      </c>
      <c r="H334" s="885">
        <v>1.0015138931218197</v>
      </c>
      <c r="I334" s="885">
        <v>0.97006580416094734</v>
      </c>
      <c r="K334">
        <v>1.9366918526894312</v>
      </c>
      <c r="L334">
        <v>0</v>
      </c>
      <c r="M334">
        <v>2.0963261456071569E-3</v>
      </c>
      <c r="N334">
        <v>0.19393122425868051</v>
      </c>
      <c r="O334">
        <v>2.544200275710792E-2</v>
      </c>
      <c r="P334">
        <v>2.0712839600877258E-2</v>
      </c>
      <c r="Q334">
        <v>2.9053881347069778E-3</v>
      </c>
      <c r="R334">
        <v>2.0838385027662971E-3</v>
      </c>
      <c r="S334">
        <v>0.20209331871692965</v>
      </c>
      <c r="T334">
        <v>1.0609048585264231</v>
      </c>
      <c r="U334">
        <v>3.7603854526207389E-2</v>
      </c>
      <c r="V334">
        <v>0.24989955530953634</v>
      </c>
      <c r="W334">
        <v>0.11813755275780739</v>
      </c>
      <c r="X334">
        <v>1.9402224276643634E-2</v>
      </c>
      <c r="Y334">
        <v>5.6715214673520422E-3</v>
      </c>
    </row>
    <row r="335" spans="1:25" x14ac:dyDescent="0.25">
      <c r="A335" s="881"/>
      <c r="B335" s="1131">
        <v>85</v>
      </c>
      <c r="C335" s="885">
        <v>1.0091734467942832</v>
      </c>
      <c r="D335" s="885">
        <v>1.010194977132141</v>
      </c>
      <c r="E335" s="885">
        <v>1.0305812455942713</v>
      </c>
      <c r="F335" s="885">
        <v>1.0028673292551218</v>
      </c>
      <c r="G335" s="885">
        <v>1.0170065214349762</v>
      </c>
      <c r="H335" s="885">
        <v>0.97457605742855535</v>
      </c>
      <c r="I335" s="885">
        <v>0.990720707850547</v>
      </c>
      <c r="K335">
        <v>1.9212842963421912</v>
      </c>
      <c r="L335">
        <v>0</v>
      </c>
      <c r="M335">
        <v>1.7595118436393147E-3</v>
      </c>
      <c r="N335">
        <v>0.19491827601784809</v>
      </c>
      <c r="O335">
        <v>2.4795547440314137E-2</v>
      </c>
      <c r="P335">
        <v>2.1431891726747618E-2</v>
      </c>
      <c r="Q335">
        <v>3.0052098364147868E-3</v>
      </c>
      <c r="R335">
        <v>1.7487272370822469E-3</v>
      </c>
      <c r="S335">
        <v>0.19862102580774432</v>
      </c>
      <c r="T335">
        <v>1.0555814651057069</v>
      </c>
      <c r="U335">
        <v>3.6981066752665451E-2</v>
      </c>
      <c r="V335">
        <v>0.24527901702148877</v>
      </c>
      <c r="W335">
        <v>0.11412401379813955</v>
      </c>
      <c r="X335">
        <v>2.1798108370120167E-2</v>
      </c>
      <c r="Y335">
        <v>4.7594590715591013E-3</v>
      </c>
    </row>
    <row r="336" spans="1:25" x14ac:dyDescent="0.25">
      <c r="A336" s="881"/>
      <c r="B336" s="1131">
        <v>86</v>
      </c>
      <c r="C336" s="885">
        <v>0.99170986011455153</v>
      </c>
      <c r="D336" s="885">
        <v>1.0385678014640862</v>
      </c>
      <c r="E336" s="885">
        <v>0.99307894762064441</v>
      </c>
      <c r="F336" s="885">
        <v>1.0055522285115908</v>
      </c>
      <c r="G336" s="885">
        <v>1.0224701359503492</v>
      </c>
      <c r="H336" s="885">
        <v>1.0092555591943793</v>
      </c>
      <c r="I336" s="885">
        <v>1.008549904239626</v>
      </c>
      <c r="K336">
        <v>1.9344786145758892</v>
      </c>
      <c r="L336">
        <v>0</v>
      </c>
      <c r="M336">
        <v>1.9796579451552584E-3</v>
      </c>
      <c r="N336">
        <v>0.19521409329141223</v>
      </c>
      <c r="O336">
        <v>2.4889718580809555E-2</v>
      </c>
      <c r="P336">
        <v>2.0998201532309118E-2</v>
      </c>
      <c r="Q336">
        <v>2.9112916475081373E-3</v>
      </c>
      <c r="R336">
        <v>1.9679186592073458E-3</v>
      </c>
      <c r="S336">
        <v>0.20667093539480708</v>
      </c>
      <c r="T336">
        <v>1.0590090097665537</v>
      </c>
      <c r="U336">
        <v>3.7632287528739532E-2</v>
      </c>
      <c r="V336">
        <v>0.24432779684016587</v>
      </c>
      <c r="W336">
        <v>0.11724351167767565</v>
      </c>
      <c r="X336">
        <v>2.0237481735706015E-2</v>
      </c>
      <c r="Y336">
        <v>5.356025866150734E-3</v>
      </c>
    </row>
    <row r="337" spans="1:25" x14ac:dyDescent="0.25">
      <c r="A337" s="881"/>
      <c r="B337" s="1131">
        <v>87</v>
      </c>
      <c r="C337" s="885">
        <v>0.97863574245299556</v>
      </c>
      <c r="D337" s="885">
        <v>0.98173728790840487</v>
      </c>
      <c r="E337" s="885">
        <v>0.98876327212846782</v>
      </c>
      <c r="F337" s="885">
        <v>0.98557059213865872</v>
      </c>
      <c r="G337" s="885">
        <v>1.012109465986585</v>
      </c>
      <c r="H337" s="885">
        <v>0.97474459027186589</v>
      </c>
      <c r="I337" s="885">
        <v>1.0263971833473915</v>
      </c>
      <c r="K337">
        <v>1.955057236213039</v>
      </c>
      <c r="L337">
        <v>0</v>
      </c>
      <c r="M337">
        <v>2.0102775133005353E-3</v>
      </c>
      <c r="N337">
        <v>0.19555129209509531</v>
      </c>
      <c r="O337">
        <v>2.5933717698739249E-2</v>
      </c>
      <c r="P337">
        <v>2.1175961497565735E-2</v>
      </c>
      <c r="Q337">
        <v>3.0084344421366146E-3</v>
      </c>
      <c r="R337">
        <v>1.9979824287952421E-3</v>
      </c>
      <c r="S337">
        <v>0.21501342575966492</v>
      </c>
      <c r="T337">
        <v>1.0594069611488512</v>
      </c>
      <c r="U337">
        <v>3.8135037360654565E-2</v>
      </c>
      <c r="V337">
        <v>0.25324963063413874</v>
      </c>
      <c r="W337">
        <v>0.11779557100339262</v>
      </c>
      <c r="X337">
        <v>2.0361650120853114E-2</v>
      </c>
      <c r="Y337">
        <v>5.4378495364500084E-3</v>
      </c>
    </row>
    <row r="338" spans="1:25" x14ac:dyDescent="0.25">
      <c r="A338" s="881"/>
      <c r="B338" s="1131">
        <v>88</v>
      </c>
      <c r="C338" s="885">
        <v>1.0030697095677001</v>
      </c>
      <c r="D338" s="885">
        <v>0.95490549333534724</v>
      </c>
      <c r="E338" s="885">
        <v>0.98772107509939921</v>
      </c>
      <c r="F338" s="885">
        <v>0.9918768768461711</v>
      </c>
      <c r="G338" s="885">
        <v>1.0191840076474652</v>
      </c>
      <c r="H338" s="885">
        <v>0.97524978954993491</v>
      </c>
      <c r="I338" s="885">
        <v>1.0113915736280477</v>
      </c>
      <c r="K338">
        <v>1.9444341332821009</v>
      </c>
      <c r="L338">
        <v>0</v>
      </c>
      <c r="M338">
        <v>1.9938902711138812E-3</v>
      </c>
      <c r="N338">
        <v>0.19333172735706333</v>
      </c>
      <c r="O338">
        <v>2.5653026784249584E-2</v>
      </c>
      <c r="P338">
        <v>2.1072010222237425E-2</v>
      </c>
      <c r="Q338">
        <v>2.9669179800052327E-3</v>
      </c>
      <c r="R338">
        <v>1.9817254455342073E-3</v>
      </c>
      <c r="S338">
        <v>0.20941826687778467</v>
      </c>
      <c r="T338">
        <v>1.059503171376234</v>
      </c>
      <c r="U338">
        <v>3.7206098683810383E-2</v>
      </c>
      <c r="V338">
        <v>0.25322095248851778</v>
      </c>
      <c r="W338">
        <v>0.11654232066609729</v>
      </c>
      <c r="X338">
        <v>2.0138202284555259E-2</v>
      </c>
      <c r="Y338">
        <v>5.3936033871265629E-3</v>
      </c>
    </row>
    <row r="339" spans="1:25" x14ac:dyDescent="0.25">
      <c r="A339" s="881"/>
      <c r="B339" s="1131">
        <v>89</v>
      </c>
      <c r="C339" s="885">
        <v>1.0242920282854915</v>
      </c>
      <c r="D339" s="885">
        <v>1.0038887575320572</v>
      </c>
      <c r="E339" s="885">
        <v>1.018270836508651</v>
      </c>
      <c r="F339" s="885">
        <v>0.98626813714366324</v>
      </c>
      <c r="G339" s="885">
        <v>0.98901072539846246</v>
      </c>
      <c r="H339" s="885">
        <v>1.0111286659522265</v>
      </c>
      <c r="I339" s="885">
        <v>0.99328237533293817</v>
      </c>
      <c r="K339">
        <v>1.9265314446351933</v>
      </c>
      <c r="L339">
        <v>0</v>
      </c>
      <c r="M339">
        <v>1.8516954465672879E-3</v>
      </c>
      <c r="N339">
        <v>0.19748077692466035</v>
      </c>
      <c r="O339">
        <v>2.450533289323532E-2</v>
      </c>
      <c r="P339">
        <v>2.1253862714560933E-2</v>
      </c>
      <c r="Q339">
        <v>2.9327198533952866E-3</v>
      </c>
      <c r="R339">
        <v>1.8407608412883978E-3</v>
      </c>
      <c r="S339">
        <v>0.20033929785556606</v>
      </c>
      <c r="T339">
        <v>1.0567005265176894</v>
      </c>
      <c r="U339">
        <v>3.643522508262162E-2</v>
      </c>
      <c r="V339">
        <v>0.24398388910385585</v>
      </c>
      <c r="W339">
        <v>0.11658585200345831</v>
      </c>
      <c r="X339">
        <v>2.1314952088089492E-2</v>
      </c>
      <c r="Y339">
        <v>5.0099442033387709E-3</v>
      </c>
    </row>
    <row r="340" spans="1:25" x14ac:dyDescent="0.25">
      <c r="A340" s="881"/>
      <c r="B340" s="1131">
        <v>90</v>
      </c>
      <c r="C340" s="885">
        <v>1.0258786914751559</v>
      </c>
      <c r="D340" s="885">
        <v>0.98207644853116616</v>
      </c>
      <c r="E340" s="885">
        <v>0.98250255828780952</v>
      </c>
      <c r="F340" s="885">
        <v>0.97440511915844197</v>
      </c>
      <c r="G340" s="885">
        <v>0.99712800466162899</v>
      </c>
      <c r="H340" s="885">
        <v>1.0063793164590182</v>
      </c>
      <c r="I340" s="885">
        <v>0.96868113103832465</v>
      </c>
      <c r="K340">
        <v>1.9198661437445161</v>
      </c>
      <c r="L340">
        <v>0</v>
      </c>
      <c r="M340">
        <v>2.0058143438881379E-3</v>
      </c>
      <c r="N340">
        <v>0.19138647495183839</v>
      </c>
      <c r="O340">
        <v>2.4735198603470072E-2</v>
      </c>
      <c r="P340">
        <v>2.072059914751239E-2</v>
      </c>
      <c r="Q340">
        <v>2.8513253601286509E-3</v>
      </c>
      <c r="R340">
        <v>1.9939318979869205E-3</v>
      </c>
      <c r="S340">
        <v>0.19659739152066469</v>
      </c>
      <c r="T340">
        <v>1.0599855522875949</v>
      </c>
      <c r="U340">
        <v>3.6378872971084344E-2</v>
      </c>
      <c r="V340">
        <v>0.24646077140729761</v>
      </c>
      <c r="W340">
        <v>0.11578672209393197</v>
      </c>
      <c r="X340">
        <v>1.9548292520046348E-2</v>
      </c>
      <c r="Y340">
        <v>5.4268253268468791E-3</v>
      </c>
    </row>
    <row r="341" spans="1:25" x14ac:dyDescent="0.25">
      <c r="A341" s="881"/>
      <c r="B341" s="1131">
        <v>91</v>
      </c>
      <c r="C341" s="885">
        <v>0.96333355334796733</v>
      </c>
      <c r="D341" s="885">
        <v>0.98578444796700304</v>
      </c>
      <c r="E341" s="885">
        <v>1.0146586022185937</v>
      </c>
      <c r="F341" s="885">
        <v>1.0099215153576566</v>
      </c>
      <c r="G341" s="885">
        <v>1.0187076218000513</v>
      </c>
      <c r="H341" s="885">
        <v>1.0004590685717156</v>
      </c>
      <c r="I341" s="885">
        <v>0.97902060740876395</v>
      </c>
      <c r="K341">
        <v>1.9723575342993696</v>
      </c>
      <c r="L341">
        <v>0</v>
      </c>
      <c r="M341">
        <v>1.9807669689532121E-3</v>
      </c>
      <c r="N341">
        <v>0.20887658106280182</v>
      </c>
      <c r="O341">
        <v>2.6291948277473456E-2</v>
      </c>
      <c r="P341">
        <v>2.1528084978765794E-2</v>
      </c>
      <c r="Q341">
        <v>3.1312510053371641E-3</v>
      </c>
      <c r="R341">
        <v>1.9689603622338884E-3</v>
      </c>
      <c r="S341">
        <v>0.21061637196303998</v>
      </c>
      <c r="T341">
        <v>1.0570300163740824</v>
      </c>
      <c r="U341">
        <v>3.874079800419486E-2</v>
      </c>
      <c r="V341">
        <v>0.2550345575806543</v>
      </c>
      <c r="W341">
        <v>0.12361522150139403</v>
      </c>
      <c r="X341">
        <v>2.2145649119952576E-2</v>
      </c>
      <c r="Y341">
        <v>5.3588610383916739E-3</v>
      </c>
    </row>
    <row r="342" spans="1:25" x14ac:dyDescent="0.25">
      <c r="A342" s="881"/>
      <c r="B342" s="1131">
        <v>92</v>
      </c>
      <c r="C342" s="885">
        <v>1.0288097629858717</v>
      </c>
      <c r="D342" s="885">
        <v>1.0121877675400428</v>
      </c>
      <c r="E342" s="885">
        <v>0.99825803939894098</v>
      </c>
      <c r="F342" s="885">
        <v>0.95632652286141406</v>
      </c>
      <c r="G342" s="885">
        <v>0.97330274174052278</v>
      </c>
      <c r="H342" s="885">
        <v>0.98775652265139169</v>
      </c>
      <c r="I342" s="885">
        <v>0.98565039743759852</v>
      </c>
      <c r="K342">
        <v>1.9048149733281312</v>
      </c>
      <c r="L342">
        <v>0</v>
      </c>
      <c r="M342">
        <v>1.8709499606563912E-3</v>
      </c>
      <c r="N342">
        <v>0.1874698237387534</v>
      </c>
      <c r="O342">
        <v>2.429861033291867E-2</v>
      </c>
      <c r="P342">
        <v>2.086840933284196E-2</v>
      </c>
      <c r="Q342">
        <v>2.8519577147134581E-3</v>
      </c>
      <c r="R342">
        <v>1.8596337992506911E-3</v>
      </c>
      <c r="S342">
        <v>0.19492840413893803</v>
      </c>
      <c r="T342">
        <v>1.0585323986457407</v>
      </c>
      <c r="U342">
        <v>3.6275229827333416E-2</v>
      </c>
      <c r="V342">
        <v>0.24239206033473212</v>
      </c>
      <c r="W342">
        <v>0.11219288751880113</v>
      </c>
      <c r="X342">
        <v>1.9955197731318888E-2</v>
      </c>
      <c r="Y342">
        <v>5.0613101734432132E-3</v>
      </c>
    </row>
    <row r="343" spans="1:25" x14ac:dyDescent="0.25">
      <c r="A343" s="881"/>
      <c r="B343" s="1131">
        <v>93</v>
      </c>
      <c r="C343" s="885">
        <v>0.97817267524345775</v>
      </c>
      <c r="D343" s="885">
        <v>0.9829896587156367</v>
      </c>
      <c r="E343" s="885">
        <v>1.0111415573072653</v>
      </c>
      <c r="F343" s="885">
        <v>1.0181835947924616</v>
      </c>
      <c r="G343" s="885">
        <v>1.0204998095509148</v>
      </c>
      <c r="H343" s="885">
        <v>0.99532004137310404</v>
      </c>
      <c r="I343" s="885">
        <v>0.99981638379451865</v>
      </c>
      <c r="K343">
        <v>1.9630324454442813</v>
      </c>
      <c r="L343">
        <v>0</v>
      </c>
      <c r="M343">
        <v>1.9579074202921098E-3</v>
      </c>
      <c r="N343">
        <v>0.20421522249579233</v>
      </c>
      <c r="O343">
        <v>2.5929586521514041E-2</v>
      </c>
      <c r="P343">
        <v>2.145583546074023E-2</v>
      </c>
      <c r="Q343">
        <v>3.0766614832131276E-3</v>
      </c>
      <c r="R343">
        <v>1.9461791380995372E-3</v>
      </c>
      <c r="S343">
        <v>0.21156799055734352</v>
      </c>
      <c r="T343">
        <v>1.0573513132368244</v>
      </c>
      <c r="U343">
        <v>3.8153090497675353E-2</v>
      </c>
      <c r="V343">
        <v>0.25315303205040129</v>
      </c>
      <c r="W343">
        <v>0.12114516637304237</v>
      </c>
      <c r="X343">
        <v>2.169941699380069E-2</v>
      </c>
      <c r="Y343">
        <v>5.2968580561264895E-3</v>
      </c>
    </row>
    <row r="344" spans="1:25" x14ac:dyDescent="0.25">
      <c r="A344" s="881"/>
      <c r="B344" s="1131">
        <v>94</v>
      </c>
      <c r="C344" s="885">
        <v>0.99301034200678107</v>
      </c>
      <c r="D344" s="885">
        <v>1.0069285300967785</v>
      </c>
      <c r="E344" s="885">
        <v>1.0053814196776494</v>
      </c>
      <c r="F344" s="885">
        <v>1.0003626583371088</v>
      </c>
      <c r="G344" s="885">
        <v>0.96914514275638308</v>
      </c>
      <c r="H344" s="885">
        <v>1.0294759355239604</v>
      </c>
      <c r="I344" s="885">
        <v>0.98057482460879908</v>
      </c>
      <c r="K344">
        <v>1.9512419398786267</v>
      </c>
      <c r="L344">
        <v>0</v>
      </c>
      <c r="M344">
        <v>1.9953101689719763E-3</v>
      </c>
      <c r="N344">
        <v>0.20446123767051705</v>
      </c>
      <c r="O344">
        <v>2.5239523994720348E-2</v>
      </c>
      <c r="P344">
        <v>2.1209954642621535E-2</v>
      </c>
      <c r="Q344">
        <v>2.9825812818185657E-3</v>
      </c>
      <c r="R344">
        <v>1.9837350633228777E-3</v>
      </c>
      <c r="S344">
        <v>0.20555096394719094</v>
      </c>
      <c r="T344">
        <v>1.0578785689411336</v>
      </c>
      <c r="U344">
        <v>3.7583002937810313E-2</v>
      </c>
      <c r="V344">
        <v>0.24793620065331881</v>
      </c>
      <c r="W344">
        <v>0.1217673419077006</v>
      </c>
      <c r="X344">
        <v>2.1245066103166555E-2</v>
      </c>
      <c r="Y344">
        <v>5.3990729042770001E-3</v>
      </c>
    </row>
    <row r="345" spans="1:25" x14ac:dyDescent="0.25">
      <c r="A345" s="881"/>
      <c r="B345" s="1131">
        <v>95</v>
      </c>
      <c r="C345" s="885">
        <v>0.95981767301862264</v>
      </c>
      <c r="D345" s="885">
        <v>0.97683277325827111</v>
      </c>
      <c r="E345" s="885">
        <v>0.9892843031122267</v>
      </c>
      <c r="F345" s="885">
        <v>0.98062112047843641</v>
      </c>
      <c r="G345" s="885">
        <v>1.0142173353272239</v>
      </c>
      <c r="H345" s="885">
        <v>1.0029529257772924</v>
      </c>
      <c r="I345" s="885">
        <v>0.99910081851752774</v>
      </c>
      <c r="K345">
        <v>1.9791362596942064</v>
      </c>
      <c r="L345">
        <v>0</v>
      </c>
      <c r="M345">
        <v>2.1119381530422211E-3</v>
      </c>
      <c r="N345">
        <v>0.20581001190217768</v>
      </c>
      <c r="O345">
        <v>2.6507994590241259E-2</v>
      </c>
      <c r="P345">
        <v>2.1266981250186365E-2</v>
      </c>
      <c r="Q345">
        <v>3.0755901683618466E-3</v>
      </c>
      <c r="R345">
        <v>2.0993889868131678E-3</v>
      </c>
      <c r="S345">
        <v>0.21689715000798751</v>
      </c>
      <c r="T345">
        <v>1.0593588780949774</v>
      </c>
      <c r="U345">
        <v>3.8882708299738479E-2</v>
      </c>
      <c r="V345">
        <v>0.2567748129189969</v>
      </c>
      <c r="W345">
        <v>0.12393065525628062</v>
      </c>
      <c r="X345">
        <v>2.0930181612776089E-2</v>
      </c>
      <c r="Y345">
        <v>5.7138447587119353E-3</v>
      </c>
    </row>
    <row r="346" spans="1:25" x14ac:dyDescent="0.25">
      <c r="A346" s="881"/>
      <c r="B346" s="1131">
        <v>96</v>
      </c>
      <c r="C346" s="885">
        <v>0.98757108896627688</v>
      </c>
      <c r="D346" s="885">
        <v>0.97655019202761018</v>
      </c>
      <c r="E346" s="885">
        <v>1.0290524262580003</v>
      </c>
      <c r="F346" s="885">
        <v>0.98727137706088108</v>
      </c>
      <c r="G346" s="885">
        <v>0.97896778331016521</v>
      </c>
      <c r="H346" s="885">
        <v>1.0050152966330237</v>
      </c>
      <c r="I346" s="885">
        <v>0.98439196099895998</v>
      </c>
      <c r="K346">
        <v>1.9631998730314471</v>
      </c>
      <c r="L346">
        <v>0</v>
      </c>
      <c r="M346">
        <v>1.8916183383322265E-3</v>
      </c>
      <c r="N346">
        <v>0.20860273916048172</v>
      </c>
      <c r="O346">
        <v>2.5766750266227923E-2</v>
      </c>
      <c r="P346">
        <v>2.1653265392627172E-2</v>
      </c>
      <c r="Q346">
        <v>3.1108256662576049E-3</v>
      </c>
      <c r="R346">
        <v>1.8804016081797091E-3</v>
      </c>
      <c r="S346">
        <v>0.20793649698845643</v>
      </c>
      <c r="T346">
        <v>1.0557201179065325</v>
      </c>
      <c r="U346">
        <v>3.7789999138169696E-2</v>
      </c>
      <c r="V346">
        <v>0.25260046714861262</v>
      </c>
      <c r="W346">
        <v>0.12226142909034167</v>
      </c>
      <c r="X346">
        <v>2.2651165700648249E-2</v>
      </c>
      <c r="Y346">
        <v>5.1178333032416276E-3</v>
      </c>
    </row>
    <row r="347" spans="1:25" x14ac:dyDescent="0.25">
      <c r="A347" s="881"/>
      <c r="B347" s="1131">
        <v>97</v>
      </c>
      <c r="C347" s="885">
        <v>1.0023840101920014</v>
      </c>
      <c r="D347" s="885">
        <v>1.0293584229152495</v>
      </c>
      <c r="E347" s="885">
        <v>0.98732988093121632</v>
      </c>
      <c r="F347" s="885">
        <v>0.98416671200700856</v>
      </c>
      <c r="G347" s="885">
        <v>0.99973460367296707</v>
      </c>
      <c r="H347" s="885">
        <v>1.0003959381902692</v>
      </c>
      <c r="I347" s="885">
        <v>0.98918815144367866</v>
      </c>
      <c r="K347">
        <v>1.9211277164871658</v>
      </c>
      <c r="L347">
        <v>0</v>
      </c>
      <c r="M347">
        <v>1.9736303966122093E-3</v>
      </c>
      <c r="N347">
        <v>0.19115781408862684</v>
      </c>
      <c r="O347">
        <v>2.4732979173466948E-2</v>
      </c>
      <c r="P347">
        <v>2.0820291501622748E-2</v>
      </c>
      <c r="Q347">
        <v>2.8744387514008803E-3</v>
      </c>
      <c r="R347">
        <v>1.9618303845480292E-3</v>
      </c>
      <c r="S347">
        <v>0.20049052383431881</v>
      </c>
      <c r="T347">
        <v>1.059539295287639</v>
      </c>
      <c r="U347">
        <v>3.7231550205762382E-2</v>
      </c>
      <c r="V347">
        <v>0.24392756787122641</v>
      </c>
      <c r="W347">
        <v>0.11526298250472003</v>
      </c>
      <c r="X347">
        <v>1.9762617690915519E-2</v>
      </c>
      <c r="Y347">
        <v>5.3394555895272776E-3</v>
      </c>
    </row>
    <row r="348" spans="1:25" x14ac:dyDescent="0.25">
      <c r="A348" s="881"/>
      <c r="B348" s="1131">
        <v>98</v>
      </c>
      <c r="C348" s="885">
        <v>1.031098475138398</v>
      </c>
      <c r="D348" s="885">
        <v>1.0229415364014591</v>
      </c>
      <c r="E348" s="885">
        <v>0.97972503406663758</v>
      </c>
      <c r="F348" s="885">
        <v>1.0076492746551939</v>
      </c>
      <c r="G348" s="885">
        <v>1.0074053279937494</v>
      </c>
      <c r="H348" s="885">
        <v>1.0026501541261965</v>
      </c>
      <c r="I348" s="885">
        <v>1.0017109727706508</v>
      </c>
      <c r="K348">
        <v>1.9050768692213131</v>
      </c>
      <c r="L348">
        <v>0</v>
      </c>
      <c r="M348">
        <v>1.9599868108301577E-3</v>
      </c>
      <c r="N348">
        <v>0.18539525503230281</v>
      </c>
      <c r="O348">
        <v>2.411848039445872E-2</v>
      </c>
      <c r="P348">
        <v>2.0623293783769422E-2</v>
      </c>
      <c r="Q348">
        <v>2.7802833667961847E-3</v>
      </c>
      <c r="R348">
        <v>1.9482997256996294E-3</v>
      </c>
      <c r="S348">
        <v>0.19815908989918932</v>
      </c>
      <c r="T348">
        <v>1.0602427276336879</v>
      </c>
      <c r="U348">
        <v>3.619471030243513E-2</v>
      </c>
      <c r="V348">
        <v>0.2408339826801762</v>
      </c>
      <c r="W348">
        <v>0.11237830852796704</v>
      </c>
      <c r="X348">
        <v>1.9059795089136966E-2</v>
      </c>
      <c r="Y348">
        <v>5.3026295965224249E-3</v>
      </c>
    </row>
    <row r="349" spans="1:25" x14ac:dyDescent="0.25">
      <c r="A349" s="881"/>
      <c r="B349" s="1131">
        <v>99</v>
      </c>
      <c r="C349" s="885">
        <v>0.96214823050662712</v>
      </c>
      <c r="D349" s="885">
        <v>1.0274785105429014</v>
      </c>
      <c r="E349" s="885">
        <v>1.0174287849312578</v>
      </c>
      <c r="F349" s="885">
        <v>1.0216666404145371</v>
      </c>
      <c r="G349" s="885">
        <v>1.0380511408023021</v>
      </c>
      <c r="H349" s="885">
        <v>1.0046223821879847</v>
      </c>
      <c r="I349" s="885">
        <v>0.98057167046965055</v>
      </c>
      <c r="K349">
        <v>1.9589152940350065</v>
      </c>
      <c r="L349">
        <v>0</v>
      </c>
      <c r="M349">
        <v>1.9397323655891811E-3</v>
      </c>
      <c r="N349">
        <v>0.20631936508452992</v>
      </c>
      <c r="O349">
        <v>2.579051543238629E-2</v>
      </c>
      <c r="P349">
        <v>2.1457392102638265E-2</v>
      </c>
      <c r="Q349">
        <v>3.0889040320213543E-3</v>
      </c>
      <c r="R349">
        <v>1.9281852590560791E-3</v>
      </c>
      <c r="S349">
        <v>0.207658564607858</v>
      </c>
      <c r="T349">
        <v>1.0567772886571249</v>
      </c>
      <c r="U349">
        <v>3.8788524904593551E-2</v>
      </c>
      <c r="V349">
        <v>0.24990709466471939</v>
      </c>
      <c r="W349">
        <v>0.12187318203390586</v>
      </c>
      <c r="X349">
        <v>2.2018124972707498E-2</v>
      </c>
      <c r="Y349">
        <v>5.2478846490508291E-3</v>
      </c>
    </row>
    <row r="350" spans="1:25" x14ac:dyDescent="0.25">
      <c r="A350" s="881"/>
      <c r="B350" s="1131">
        <v>100</v>
      </c>
      <c r="C350" s="885">
        <v>0.97214002673701405</v>
      </c>
      <c r="D350" s="885">
        <v>0.98522194799832274</v>
      </c>
      <c r="E350" s="885">
        <v>0.97354199117169926</v>
      </c>
      <c r="F350" s="885">
        <v>1.0029496196873515</v>
      </c>
      <c r="G350" s="885">
        <v>1.0092703896215096</v>
      </c>
      <c r="H350" s="885">
        <v>1.0314724466126788</v>
      </c>
      <c r="I350" s="885">
        <v>1.0190515606589694</v>
      </c>
      <c r="K350">
        <v>1.9792071209480175</v>
      </c>
      <c r="L350">
        <v>0</v>
      </c>
      <c r="M350">
        <v>2.207152952263633E-3</v>
      </c>
      <c r="N350">
        <v>0.20482767051996112</v>
      </c>
      <c r="O350">
        <v>2.606115025636899E-2</v>
      </c>
      <c r="P350">
        <v>2.1036727847703298E-2</v>
      </c>
      <c r="Q350">
        <v>2.9775754206299099E-3</v>
      </c>
      <c r="R350">
        <v>2.1943930147273285E-3</v>
      </c>
      <c r="S350">
        <v>0.22061364938468675</v>
      </c>
      <c r="T350">
        <v>1.0608162992865469</v>
      </c>
      <c r="U350">
        <v>3.8389850818284291E-2</v>
      </c>
      <c r="V350">
        <v>0.25376262173105413</v>
      </c>
      <c r="W350">
        <v>0.12469245979145738</v>
      </c>
      <c r="X350">
        <v>2.006946142423556E-2</v>
      </c>
      <c r="Y350">
        <v>5.9724144046248958E-3</v>
      </c>
    </row>
    <row r="351" spans="1:25" x14ac:dyDescent="0.25">
      <c r="A351" s="881"/>
      <c r="B351" s="1131">
        <v>101</v>
      </c>
      <c r="C351" s="885">
        <v>0.98115671437025709</v>
      </c>
      <c r="D351" s="885">
        <v>1.0156954745120701</v>
      </c>
      <c r="E351" s="885">
        <v>1.0281076602954298</v>
      </c>
      <c r="F351" s="885">
        <v>0.98277396572670495</v>
      </c>
      <c r="G351" s="885">
        <v>1.006777452101171</v>
      </c>
      <c r="H351" s="885">
        <v>0.98160712432323227</v>
      </c>
      <c r="I351" s="885">
        <v>0.99207250275568659</v>
      </c>
      <c r="K351">
        <v>1.9430549122079888</v>
      </c>
      <c r="L351">
        <v>0</v>
      </c>
      <c r="M351">
        <v>1.827467663321244E-3</v>
      </c>
      <c r="N351">
        <v>0.20090620485139232</v>
      </c>
      <c r="O351">
        <v>2.5435241273828957E-2</v>
      </c>
      <c r="P351">
        <v>2.1542736088500443E-2</v>
      </c>
      <c r="Q351">
        <v>3.0763655063055207E-3</v>
      </c>
      <c r="R351">
        <v>1.8163426037682078E-3</v>
      </c>
      <c r="S351">
        <v>0.20477742368022708</v>
      </c>
      <c r="T351">
        <v>1.0558058470565306</v>
      </c>
      <c r="U351">
        <v>3.803705366769105E-2</v>
      </c>
      <c r="V351">
        <v>0.24856183922311714</v>
      </c>
      <c r="W351">
        <v>0.11782515894279091</v>
      </c>
      <c r="X351">
        <v>2.2154681166877965E-2</v>
      </c>
      <c r="Y351">
        <v>4.9434858102786489E-3</v>
      </c>
    </row>
    <row r="352" spans="1:25" x14ac:dyDescent="0.25">
      <c r="A352" s="881"/>
      <c r="B352" s="1131">
        <v>102</v>
      </c>
      <c r="C352" s="885">
        <v>0.98747046752330803</v>
      </c>
      <c r="D352" s="885">
        <v>0.99747061630206768</v>
      </c>
      <c r="E352" s="885">
        <v>0.98664323769090412</v>
      </c>
      <c r="F352" s="885">
        <v>1.0072045199297477</v>
      </c>
      <c r="G352" s="885">
        <v>0.98281839367943991</v>
      </c>
      <c r="H352" s="885">
        <v>0.96874932202220432</v>
      </c>
      <c r="I352" s="885">
        <v>1.0397464786965622</v>
      </c>
      <c r="K352">
        <v>1.9414965150894108</v>
      </c>
      <c r="L352">
        <v>0</v>
      </c>
      <c r="M352">
        <v>1.9732808242102786E-3</v>
      </c>
      <c r="N352">
        <v>0.19068080707241261</v>
      </c>
      <c r="O352">
        <v>2.5499927439269241E-2</v>
      </c>
      <c r="P352">
        <v>2.1076657570455841E-2</v>
      </c>
      <c r="Q352">
        <v>2.9550610627700901E-3</v>
      </c>
      <c r="R352">
        <v>1.9611238779502415E-3</v>
      </c>
      <c r="S352">
        <v>0.2136508684310526</v>
      </c>
      <c r="T352">
        <v>1.0596027161289572</v>
      </c>
      <c r="U352">
        <v>3.7793849870285848E-2</v>
      </c>
      <c r="V352">
        <v>0.24991353965039512</v>
      </c>
      <c r="W352">
        <v>0.11502988591304468</v>
      </c>
      <c r="X352">
        <v>1.9967826185559489E-2</v>
      </c>
      <c r="Y352">
        <v>5.3375327114679391E-3</v>
      </c>
    </row>
    <row r="353" spans="1:25" x14ac:dyDescent="0.25">
      <c r="A353" s="881"/>
      <c r="B353" s="1131">
        <v>103</v>
      </c>
      <c r="C353" s="885">
        <v>0.99877116489874451</v>
      </c>
      <c r="D353" s="885">
        <v>1.0016093642464061</v>
      </c>
      <c r="E353" s="885">
        <v>0.97259720847571185</v>
      </c>
      <c r="F353" s="885">
        <v>0.98760388480960259</v>
      </c>
      <c r="G353" s="885">
        <v>0.97678677434204109</v>
      </c>
      <c r="H353" s="885">
        <v>1.0027004181518857</v>
      </c>
      <c r="I353" s="885">
        <v>1.0241366577657807</v>
      </c>
      <c r="K353">
        <v>1.9399625237722069</v>
      </c>
      <c r="L353">
        <v>0</v>
      </c>
      <c r="M353">
        <v>2.075499884694017E-3</v>
      </c>
      <c r="N353">
        <v>0.19201023352179622</v>
      </c>
      <c r="O353">
        <v>2.5159782451344127E-2</v>
      </c>
      <c r="P353">
        <v>2.0803027970125797E-2</v>
      </c>
      <c r="Q353">
        <v>2.8751354183424375E-3</v>
      </c>
      <c r="R353">
        <v>2.0631425967635847E-3</v>
      </c>
      <c r="S353">
        <v>0.21118784670078264</v>
      </c>
      <c r="T353">
        <v>1.0609040727412604</v>
      </c>
      <c r="U353">
        <v>3.7366227532910801E-2</v>
      </c>
      <c r="V353">
        <v>0.24777965935281374</v>
      </c>
      <c r="W353">
        <v>0.11696664826210411</v>
      </c>
      <c r="X353">
        <v>1.9307053075040905E-2</v>
      </c>
      <c r="Y353">
        <v>5.6151940336162378E-3</v>
      </c>
    </row>
    <row r="354" spans="1:25" x14ac:dyDescent="0.25">
      <c r="A354" s="881"/>
      <c r="B354" s="1131">
        <v>104</v>
      </c>
      <c r="C354" s="885">
        <v>1.0238018259719055</v>
      </c>
      <c r="D354" s="885">
        <v>0.99183229469122114</v>
      </c>
      <c r="E354" s="885">
        <v>0.98572215818119813</v>
      </c>
      <c r="F354" s="885">
        <v>0.96338524060533126</v>
      </c>
      <c r="G354" s="885">
        <v>0.95991821096587282</v>
      </c>
      <c r="H354" s="885">
        <v>1.0197160859760279</v>
      </c>
      <c r="I354" s="885">
        <v>0.98784602903836338</v>
      </c>
      <c r="K354">
        <v>1.9276442570944881</v>
      </c>
      <c r="L354">
        <v>0</v>
      </c>
      <c r="M354">
        <v>2.0129085711276594E-3</v>
      </c>
      <c r="N354">
        <v>0.19401347676046685</v>
      </c>
      <c r="O354">
        <v>2.46641793078064E-2</v>
      </c>
      <c r="P354">
        <v>2.0818834109563832E-2</v>
      </c>
      <c r="Q354">
        <v>2.8544140885707072E-3</v>
      </c>
      <c r="R354">
        <v>2.0011319475250491E-3</v>
      </c>
      <c r="S354">
        <v>0.20128971623245043</v>
      </c>
      <c r="T354">
        <v>1.0596878191078398</v>
      </c>
      <c r="U354">
        <v>3.6452670481895579E-2</v>
      </c>
      <c r="V354">
        <v>0.24552244840742785</v>
      </c>
      <c r="W354">
        <v>0.11711485216354005</v>
      </c>
      <c r="X354">
        <v>1.979120157033451E-2</v>
      </c>
      <c r="Y354">
        <v>5.446421488193973E-3</v>
      </c>
    </row>
    <row r="355" spans="1:25" x14ac:dyDescent="0.25">
      <c r="A355" s="881"/>
      <c r="B355" s="1131">
        <v>105</v>
      </c>
      <c r="C355" s="885">
        <v>0.99963934911520602</v>
      </c>
      <c r="D355" s="885">
        <v>1.0062731781702308</v>
      </c>
      <c r="E355" s="885">
        <v>0.98264713991878483</v>
      </c>
      <c r="F355" s="885">
        <v>1.0221373774817009</v>
      </c>
      <c r="G355" s="885">
        <v>1.0322375361580376</v>
      </c>
      <c r="H355" s="885">
        <v>0.99278181665922061</v>
      </c>
      <c r="I355" s="885">
        <v>0.9976496138491765</v>
      </c>
      <c r="K355">
        <v>1.9296695663614647</v>
      </c>
      <c r="L355">
        <v>0</v>
      </c>
      <c r="M355">
        <v>2.0057250484381661E-3</v>
      </c>
      <c r="N355">
        <v>0.19144658408187046</v>
      </c>
      <c r="O355">
        <v>2.5080224523119542E-2</v>
      </c>
      <c r="P355">
        <v>2.0845174693812703E-2</v>
      </c>
      <c r="Q355">
        <v>2.8964452780858877E-3</v>
      </c>
      <c r="R355">
        <v>1.9936600076479035E-3</v>
      </c>
      <c r="S355">
        <v>0.20411091535267598</v>
      </c>
      <c r="T355">
        <v>1.0599721734421195</v>
      </c>
      <c r="U355">
        <v>3.733377505992494E-2</v>
      </c>
      <c r="V355">
        <v>0.2470846402822871</v>
      </c>
      <c r="W355">
        <v>0.11581148920976451</v>
      </c>
      <c r="X355">
        <v>1.9674124147620948E-2</v>
      </c>
      <c r="Y355">
        <v>5.426085330972703E-3</v>
      </c>
    </row>
    <row r="356" spans="1:25" x14ac:dyDescent="0.25">
      <c r="A356" s="881"/>
      <c r="B356" s="1131">
        <v>106</v>
      </c>
      <c r="C356" s="885">
        <v>1.0312880401772202</v>
      </c>
      <c r="D356" s="885">
        <v>0.9941482121888352</v>
      </c>
      <c r="E356" s="885">
        <v>1.0288635939666266</v>
      </c>
      <c r="F356" s="885">
        <v>1.0001377921814583</v>
      </c>
      <c r="G356" s="885">
        <v>1.0305770739999927</v>
      </c>
      <c r="H356" s="885">
        <v>1.0234797419257515</v>
      </c>
      <c r="I356" s="885">
        <v>1.0256188420177366</v>
      </c>
      <c r="K356">
        <v>1.9394395160154538</v>
      </c>
      <c r="L356">
        <v>0</v>
      </c>
      <c r="M356">
        <v>1.8291860603093114E-3</v>
      </c>
      <c r="N356">
        <v>0.20161987698588585</v>
      </c>
      <c r="O356">
        <v>2.4456861655753948E-2</v>
      </c>
      <c r="P356">
        <v>2.1507260061482247E-2</v>
      </c>
      <c r="Q356">
        <v>2.9558327882523955E-3</v>
      </c>
      <c r="R356">
        <v>1.8185219395777299E-3</v>
      </c>
      <c r="S356">
        <v>0.20762696933822561</v>
      </c>
      <c r="T356">
        <v>1.0557372499718976</v>
      </c>
      <c r="U356">
        <v>3.6188057212903961E-2</v>
      </c>
      <c r="V356">
        <v>0.24423486331219468</v>
      </c>
      <c r="W356">
        <v>0.11818375962843772</v>
      </c>
      <c r="X356">
        <v>2.1990031937217831E-2</v>
      </c>
      <c r="Y356">
        <v>4.9494172439343131E-3</v>
      </c>
    </row>
    <row r="357" spans="1:25" x14ac:dyDescent="0.25">
      <c r="A357" s="881"/>
      <c r="B357" s="1131">
        <v>107</v>
      </c>
      <c r="C357" s="885">
        <v>0.99026022022799443</v>
      </c>
      <c r="D357" s="885">
        <v>1.0035645933377708</v>
      </c>
      <c r="E357" s="885">
        <v>1.0098632946486008</v>
      </c>
      <c r="F357" s="885">
        <v>0.97967378044971198</v>
      </c>
      <c r="G357" s="885">
        <v>1.0341280334190226</v>
      </c>
      <c r="H357" s="885">
        <v>0.9968896076133732</v>
      </c>
      <c r="I357" s="885">
        <v>0.95988154323714059</v>
      </c>
      <c r="K357">
        <v>1.9370953328763489</v>
      </c>
      <c r="L357">
        <v>0</v>
      </c>
      <c r="M357">
        <v>1.9224722095419653E-3</v>
      </c>
      <c r="N357">
        <v>0.19972416712369054</v>
      </c>
      <c r="O357">
        <v>2.5351546528192052E-2</v>
      </c>
      <c r="P357">
        <v>2.1195955004046061E-2</v>
      </c>
      <c r="Q357">
        <v>3.0085886572498118E-3</v>
      </c>
      <c r="R357">
        <v>1.910957757552197E-3</v>
      </c>
      <c r="S357">
        <v>0.19889135463842922</v>
      </c>
      <c r="T357">
        <v>1.0574682075699027</v>
      </c>
      <c r="U357">
        <v>3.7687377356554239E-2</v>
      </c>
      <c r="V357">
        <v>0.24874971698960102</v>
      </c>
      <c r="W357">
        <v>0.11858388581499192</v>
      </c>
      <c r="X357">
        <v>2.1245050576676895E-2</v>
      </c>
      <c r="Y357">
        <v>5.2009970690016063E-3</v>
      </c>
    </row>
    <row r="358" spans="1:25" x14ac:dyDescent="0.25">
      <c r="A358" s="881"/>
      <c r="B358" s="1131">
        <v>108</v>
      </c>
      <c r="C358" s="885">
        <v>1.0154784859751012</v>
      </c>
      <c r="D358" s="885">
        <v>0.97774596409276993</v>
      </c>
      <c r="E358" s="885">
        <v>0.95949415219129419</v>
      </c>
      <c r="F358" s="885">
        <v>0.99575214325499029</v>
      </c>
      <c r="G358" s="885">
        <v>0.98382308241913607</v>
      </c>
      <c r="H358" s="885">
        <v>1.0244477812488706</v>
      </c>
      <c r="I358" s="885">
        <v>1.0136043574767155</v>
      </c>
      <c r="K358">
        <v>1.9415996991629336</v>
      </c>
      <c r="L358">
        <v>0</v>
      </c>
      <c r="M358">
        <v>2.1694171193381842E-3</v>
      </c>
      <c r="N358">
        <v>0.19268838069265184</v>
      </c>
      <c r="O358">
        <v>2.5043404967943411E-2</v>
      </c>
      <c r="P358">
        <v>2.0596583216580672E-2</v>
      </c>
      <c r="Q358">
        <v>2.8189172180997334E-3</v>
      </c>
      <c r="R358">
        <v>2.1567960582804056E-3</v>
      </c>
      <c r="S358">
        <v>0.21009060799209564</v>
      </c>
      <c r="T358">
        <v>1.0621249490548326</v>
      </c>
      <c r="U358">
        <v>3.6751453739643225E-2</v>
      </c>
      <c r="V358">
        <v>0.24844555692469825</v>
      </c>
      <c r="W358">
        <v>0.1184624767788236</v>
      </c>
      <c r="X358">
        <v>1.8719901755612372E-2</v>
      </c>
      <c r="Y358">
        <v>5.8700878830097334E-3</v>
      </c>
    </row>
    <row r="359" spans="1:25" x14ac:dyDescent="0.25">
      <c r="A359" s="881"/>
      <c r="B359" s="1131">
        <v>109</v>
      </c>
      <c r="C359" s="885">
        <v>1.0392919248131387</v>
      </c>
      <c r="D359" s="885">
        <v>1.0246231032720567</v>
      </c>
      <c r="E359" s="885">
        <v>1.0041410263203674</v>
      </c>
      <c r="F359" s="885">
        <v>1.0085419861572953</v>
      </c>
      <c r="G359" s="885">
        <v>0.95744523932118997</v>
      </c>
      <c r="H359" s="885">
        <v>1.0083879457273133</v>
      </c>
      <c r="I359" s="885">
        <v>1.0351249322339264</v>
      </c>
      <c r="K359">
        <v>1.9124390434186276</v>
      </c>
      <c r="L359">
        <v>0</v>
      </c>
      <c r="M359">
        <v>1.8562638459262348E-3</v>
      </c>
      <c r="N359">
        <v>0.18945619968467101</v>
      </c>
      <c r="O359">
        <v>2.3908954398239812E-2</v>
      </c>
      <c r="P359">
        <v>2.102757915908228E-2</v>
      </c>
      <c r="Q359">
        <v>2.825240588900645E-3</v>
      </c>
      <c r="R359">
        <v>1.8452569853628399E-3</v>
      </c>
      <c r="S359">
        <v>0.20357353982257512</v>
      </c>
      <c r="T359">
        <v>1.0579922780262754</v>
      </c>
      <c r="U359">
        <v>3.5909362624584003E-2</v>
      </c>
      <c r="V359">
        <v>0.23957922297446221</v>
      </c>
      <c r="W359">
        <v>0.11292654400313831</v>
      </c>
      <c r="X359">
        <v>2.0228947771905662E-2</v>
      </c>
      <c r="Y359">
        <v>5.0221812253559072E-3</v>
      </c>
    </row>
    <row r="360" spans="1:25" x14ac:dyDescent="0.25">
      <c r="A360" s="881"/>
      <c r="B360" s="1131">
        <v>110</v>
      </c>
      <c r="C360" s="885">
        <v>1.0282517001032911</v>
      </c>
      <c r="D360" s="885">
        <v>1.0280530196888888</v>
      </c>
      <c r="E360" s="885">
        <v>1.0146899751480181</v>
      </c>
      <c r="F360" s="885">
        <v>0.98725386853514197</v>
      </c>
      <c r="G360" s="885">
        <v>1.0418531225495073</v>
      </c>
      <c r="H360" s="885">
        <v>1.0198969474206525</v>
      </c>
      <c r="I360" s="885">
        <v>1.0049739117009768</v>
      </c>
      <c r="K360">
        <v>1.9197327336834413</v>
      </c>
      <c r="L360">
        <v>0</v>
      </c>
      <c r="M360">
        <v>1.8528030228236328E-3</v>
      </c>
      <c r="N360">
        <v>0.19542052162158818</v>
      </c>
      <c r="O360">
        <v>2.4125862998029358E-2</v>
      </c>
      <c r="P360">
        <v>2.115744578425954E-2</v>
      </c>
      <c r="Q360">
        <v>2.8817673585409325E-3</v>
      </c>
      <c r="R360">
        <v>1.8419381714662906E-3</v>
      </c>
      <c r="S360">
        <v>0.20058367470312122</v>
      </c>
      <c r="T360">
        <v>1.0570271524986281</v>
      </c>
      <c r="U360">
        <v>3.6294917477080746E-2</v>
      </c>
      <c r="V360">
        <v>0.24061642091302676</v>
      </c>
      <c r="W360">
        <v>0.11564933539050518</v>
      </c>
      <c r="X360">
        <v>2.0973351282040597E-2</v>
      </c>
      <c r="Y360">
        <v>5.0131485079762065E-3</v>
      </c>
    </row>
    <row r="361" spans="1:25" x14ac:dyDescent="0.25">
      <c r="A361" s="881"/>
      <c r="B361" s="1131">
        <v>111</v>
      </c>
      <c r="C361" s="885">
        <v>0.96905010226429189</v>
      </c>
      <c r="D361" s="885">
        <v>0.96935439551122382</v>
      </c>
      <c r="E361" s="885">
        <v>1.0028575021429527</v>
      </c>
      <c r="F361" s="885">
        <v>1.0046628285964105</v>
      </c>
      <c r="G361" s="885">
        <v>0.984350309609203</v>
      </c>
      <c r="H361" s="885">
        <v>0.97380507008415385</v>
      </c>
      <c r="I361" s="885">
        <v>1.012192875604609</v>
      </c>
      <c r="K361">
        <v>1.9673585591005072</v>
      </c>
      <c r="L361">
        <v>0</v>
      </c>
      <c r="M361">
        <v>1.9813707750811864E-3</v>
      </c>
      <c r="N361">
        <v>0.20138141866776854</v>
      </c>
      <c r="O361">
        <v>2.6355893242588968E-2</v>
      </c>
      <c r="P361">
        <v>2.1434441135953716E-2</v>
      </c>
      <c r="Q361">
        <v>3.0983614921949532E-3</v>
      </c>
      <c r="R361">
        <v>1.9692515770042274E-3</v>
      </c>
      <c r="S361">
        <v>0.21528923981102324</v>
      </c>
      <c r="T361">
        <v>1.0581100041393043</v>
      </c>
      <c r="U361">
        <v>3.8512261144923156E-2</v>
      </c>
      <c r="V361">
        <v>0.25635833180199807</v>
      </c>
      <c r="W361">
        <v>0.12013985295955139</v>
      </c>
      <c r="X361">
        <v>2.13312202742784E-2</v>
      </c>
      <c r="Y361">
        <v>5.3596536289976151E-3</v>
      </c>
    </row>
    <row r="362" spans="1:25" x14ac:dyDescent="0.25">
      <c r="A362" s="881"/>
      <c r="B362" s="1131">
        <v>112</v>
      </c>
      <c r="C362" s="885">
        <v>1.0144979278327733</v>
      </c>
      <c r="D362" s="885">
        <v>1.0204986811417844</v>
      </c>
      <c r="E362" s="885">
        <v>0.99493570858226854</v>
      </c>
      <c r="F362" s="885">
        <v>0.95259813627520851</v>
      </c>
      <c r="G362" s="885">
        <v>0.96932920408209455</v>
      </c>
      <c r="H362" s="885">
        <v>1.0088147505867233</v>
      </c>
      <c r="I362" s="885">
        <v>0.98340960615369077</v>
      </c>
      <c r="K362">
        <v>1.9195213399421864</v>
      </c>
      <c r="L362">
        <v>0</v>
      </c>
      <c r="M362">
        <v>1.9435337464460049E-3</v>
      </c>
      <c r="N362">
        <v>0.19276355624278424</v>
      </c>
      <c r="O362">
        <v>2.4542080809402626E-2</v>
      </c>
      <c r="P362">
        <v>2.08893783315179E-2</v>
      </c>
      <c r="Q362">
        <v>2.8725378414822759E-3</v>
      </c>
      <c r="R362">
        <v>1.9320174755964141E-3</v>
      </c>
      <c r="S362">
        <v>0.19853718529104636</v>
      </c>
      <c r="T362">
        <v>1.0588380194360676</v>
      </c>
      <c r="U362">
        <v>3.6786975682289023E-2</v>
      </c>
      <c r="V362">
        <v>0.24332082702432947</v>
      </c>
      <c r="W362">
        <v>0.11562413729800733</v>
      </c>
      <c r="X362">
        <v>2.0099843576926821E-2</v>
      </c>
      <c r="Y362">
        <v>5.2583146791837761E-3</v>
      </c>
    </row>
    <row r="363" spans="1:25" x14ac:dyDescent="0.25">
      <c r="A363" s="881"/>
      <c r="B363" s="1131">
        <v>113</v>
      </c>
      <c r="C363" s="885">
        <v>1.0233253449697224</v>
      </c>
      <c r="D363" s="885">
        <v>1.0250859814820841</v>
      </c>
      <c r="E363" s="885">
        <v>0.98187243698257165</v>
      </c>
      <c r="F363" s="885">
        <v>1.0041297596543131</v>
      </c>
      <c r="G363" s="885">
        <v>0.98513842406478536</v>
      </c>
      <c r="H363" s="885">
        <v>1.0196207914574222</v>
      </c>
      <c r="I363" s="885">
        <v>0.99375315509763651</v>
      </c>
      <c r="K363">
        <v>1.9155145399168994</v>
      </c>
      <c r="L363">
        <v>0</v>
      </c>
      <c r="M363">
        <v>1.997203820349314E-3</v>
      </c>
      <c r="N363">
        <v>0.19020258521945896</v>
      </c>
      <c r="O363">
        <v>2.4276587650877091E-2</v>
      </c>
      <c r="P363">
        <v>2.06869203722812E-2</v>
      </c>
      <c r="Q363">
        <v>2.8050265780145858E-3</v>
      </c>
      <c r="R363">
        <v>1.9854913486247387E-3</v>
      </c>
      <c r="S363">
        <v>0.19953593923597832</v>
      </c>
      <c r="T363">
        <v>1.060043869965221</v>
      </c>
      <c r="U363">
        <v>3.6469643583411072E-2</v>
      </c>
      <c r="V363">
        <v>0.24160695736224647</v>
      </c>
      <c r="W363">
        <v>0.11512072839028166</v>
      </c>
      <c r="X363">
        <v>1.9374141096940706E-2</v>
      </c>
      <c r="Y363">
        <v>5.4038529339093698E-3</v>
      </c>
    </row>
    <row r="364" spans="1:25" x14ac:dyDescent="0.25">
      <c r="A364" s="881"/>
      <c r="B364" s="1131">
        <v>114</v>
      </c>
      <c r="C364" s="885">
        <v>1.0163772771861039</v>
      </c>
      <c r="D364" s="885">
        <v>1.0109820679158601</v>
      </c>
      <c r="E364" s="885">
        <v>0.99779281907998074</v>
      </c>
      <c r="F364" s="885">
        <v>1.0195634516711796</v>
      </c>
      <c r="G364" s="885">
        <v>1.0097509637336177</v>
      </c>
      <c r="H364" s="885">
        <v>0.99202004736287919</v>
      </c>
      <c r="I364" s="885">
        <v>1.0461492447008023</v>
      </c>
      <c r="K364">
        <v>1.928141518890762</v>
      </c>
      <c r="L364">
        <v>0</v>
      </c>
      <c r="M364">
        <v>1.9049948423713093E-3</v>
      </c>
      <c r="N364">
        <v>0.19061009953363303</v>
      </c>
      <c r="O364">
        <v>2.4610326903757782E-2</v>
      </c>
      <c r="P364">
        <v>2.1097530741116942E-2</v>
      </c>
      <c r="Q364">
        <v>2.8869536724038716E-3</v>
      </c>
      <c r="R364">
        <v>1.8935232281167269E-3</v>
      </c>
      <c r="S364">
        <v>0.20997987179029395</v>
      </c>
      <c r="T364">
        <v>1.0585751683306217</v>
      </c>
      <c r="U364">
        <v>3.6718954111449889E-2</v>
      </c>
      <c r="V364">
        <v>0.24420240705709689</v>
      </c>
      <c r="W364">
        <v>0.11410857958663374</v>
      </c>
      <c r="X364">
        <v>2.02095527508366E-2</v>
      </c>
      <c r="Y364">
        <v>5.1535460271693399E-3</v>
      </c>
    </row>
    <row r="365" spans="1:25" x14ac:dyDescent="0.25">
      <c r="A365" s="881"/>
      <c r="B365" s="1131">
        <v>115</v>
      </c>
      <c r="C365" s="885">
        <v>0.99355081414477964</v>
      </c>
      <c r="D365" s="885">
        <v>1.0280618386490723</v>
      </c>
      <c r="E365" s="885">
        <v>0.99589759479886553</v>
      </c>
      <c r="F365" s="885">
        <v>0.98848065391148832</v>
      </c>
      <c r="G365" s="885">
        <v>1.0142811510151046</v>
      </c>
      <c r="H365" s="885">
        <v>0.99013395328519516</v>
      </c>
      <c r="I365" s="885">
        <v>1.0183007425489399</v>
      </c>
      <c r="K365">
        <v>1.9315008394632833</v>
      </c>
      <c r="L365">
        <v>0</v>
      </c>
      <c r="M365">
        <v>1.9367600541887894E-3</v>
      </c>
      <c r="N365">
        <v>0.19264536574170529</v>
      </c>
      <c r="O365">
        <v>2.496838043492931E-2</v>
      </c>
      <c r="P365">
        <v>2.1059957784113376E-2</v>
      </c>
      <c r="Q365">
        <v>2.9267587278798985E-3</v>
      </c>
      <c r="R365">
        <v>1.9250614795250011E-3</v>
      </c>
      <c r="S365">
        <v>0.20729612915264223</v>
      </c>
      <c r="T365">
        <v>1.0587494914548572</v>
      </c>
      <c r="U365">
        <v>3.7562558522022955E-2</v>
      </c>
      <c r="V365">
        <v>0.24530463397052613</v>
      </c>
      <c r="W365">
        <v>0.11547697233593394</v>
      </c>
      <c r="X365">
        <v>2.028290716241702E-2</v>
      </c>
      <c r="Y365">
        <v>5.2393827509208792E-3</v>
      </c>
    </row>
    <row r="366" spans="1:25" x14ac:dyDescent="0.25">
      <c r="A366" s="881"/>
      <c r="B366" s="1131">
        <v>116</v>
      </c>
      <c r="C366" s="885">
        <v>1.0152580267415252</v>
      </c>
      <c r="D366" s="885">
        <v>0.97897636755924977</v>
      </c>
      <c r="E366" s="885">
        <v>1.0016619632267187</v>
      </c>
      <c r="F366" s="885">
        <v>0.9777505516470919</v>
      </c>
      <c r="G366" s="885">
        <v>0.98153279457849729</v>
      </c>
      <c r="H366" s="885">
        <v>1.0054881982315076</v>
      </c>
      <c r="I366" s="885">
        <v>1.023996289700825</v>
      </c>
      <c r="K366">
        <v>1.9438130488699579</v>
      </c>
      <c r="L366">
        <v>0</v>
      </c>
      <c r="M366">
        <v>1.9480723212115909E-3</v>
      </c>
      <c r="N366">
        <v>0.19729953818882437</v>
      </c>
      <c r="O366">
        <v>2.5033207481742797E-2</v>
      </c>
      <c r="P366">
        <v>2.1213642175163843E-2</v>
      </c>
      <c r="Q366">
        <v>2.9413863720443335E-3</v>
      </c>
      <c r="R366">
        <v>1.9365242636126476E-3</v>
      </c>
      <c r="S366">
        <v>0.21021191597745548</v>
      </c>
      <c r="T366">
        <v>1.0582197179170167</v>
      </c>
      <c r="U366">
        <v>3.6759434171327474E-2</v>
      </c>
      <c r="V366">
        <v>0.24831663756001154</v>
      </c>
      <c r="W366">
        <v>0.11780086452029155</v>
      </c>
      <c r="X366">
        <v>2.0757671893174064E-2</v>
      </c>
      <c r="Y366">
        <v>5.2705806705016945E-3</v>
      </c>
    </row>
    <row r="367" spans="1:25" x14ac:dyDescent="0.25">
      <c r="A367" s="881"/>
      <c r="B367" s="1131">
        <v>117</v>
      </c>
      <c r="C367" s="885">
        <v>0.96679761321734581</v>
      </c>
      <c r="D367" s="885">
        <v>0.97391737286207158</v>
      </c>
      <c r="E367" s="885">
        <v>1.0201685989874452</v>
      </c>
      <c r="F367" s="885">
        <v>1.0107024152112813</v>
      </c>
      <c r="G367" s="885">
        <v>1.0286114137644455</v>
      </c>
      <c r="H367" s="885">
        <v>1.0002618485907484</v>
      </c>
      <c r="I367" s="885">
        <v>1.0305607851768965</v>
      </c>
      <c r="K367">
        <v>1.9870705713530235</v>
      </c>
      <c r="L367">
        <v>0</v>
      </c>
      <c r="M367">
        <v>1.9622067851118217E-3</v>
      </c>
      <c r="N367">
        <v>0.21049316927050002</v>
      </c>
      <c r="O367">
        <v>2.6355716122106958E-2</v>
      </c>
      <c r="P367">
        <v>2.1780499996825652E-2</v>
      </c>
      <c r="Q367">
        <v>3.1534236221527978E-3</v>
      </c>
      <c r="R367">
        <v>1.9505184042815616E-3</v>
      </c>
      <c r="S367">
        <v>0.22212365225537856</v>
      </c>
      <c r="T367">
        <v>1.0565276264872976</v>
      </c>
      <c r="U367">
        <v>3.8601988762385339E-2</v>
      </c>
      <c r="V367">
        <v>0.25608501493282487</v>
      </c>
      <c r="W367">
        <v>0.12410880255147598</v>
      </c>
      <c r="X367">
        <v>2.2543697624668145E-2</v>
      </c>
      <c r="Y367">
        <v>5.3086681082352453E-3</v>
      </c>
    </row>
    <row r="368" spans="1:25" x14ac:dyDescent="0.25">
      <c r="A368" s="881"/>
      <c r="B368" s="1131">
        <v>118</v>
      </c>
      <c r="C368" s="885">
        <v>0.99486324471851162</v>
      </c>
      <c r="D368" s="885">
        <v>1.0493991706878045</v>
      </c>
      <c r="E368" s="885">
        <v>1.0313814836975506</v>
      </c>
      <c r="F368" s="885">
        <v>0.97846441679861273</v>
      </c>
      <c r="G368" s="885">
        <v>0.99736582558310161</v>
      </c>
      <c r="H368" s="885">
        <v>0.99612181367973796</v>
      </c>
      <c r="I368" s="885">
        <v>1.0144329115080406</v>
      </c>
      <c r="K368">
        <v>1.9312800990517358</v>
      </c>
      <c r="L368">
        <v>0</v>
      </c>
      <c r="M368">
        <v>1.7873546665460418E-3</v>
      </c>
      <c r="N368">
        <v>0.19851848712260534</v>
      </c>
      <c r="O368">
        <v>2.4684484248088202E-2</v>
      </c>
      <c r="P368">
        <v>2.1501875908954641E-2</v>
      </c>
      <c r="Q368">
        <v>3.0019715382012895E-3</v>
      </c>
      <c r="R368">
        <v>1.7766084071921188E-3</v>
      </c>
      <c r="S368">
        <v>0.20491535282575316</v>
      </c>
      <c r="T368">
        <v>1.0555089258150805</v>
      </c>
      <c r="U368">
        <v>3.7513005731231286E-2</v>
      </c>
      <c r="V368">
        <v>0.2426443488040548</v>
      </c>
      <c r="W368">
        <v>0.11616965504447774</v>
      </c>
      <c r="X368">
        <v>2.199739584707041E-2</v>
      </c>
      <c r="Y368">
        <v>4.8353424255729157E-3</v>
      </c>
    </row>
    <row r="369" spans="1:25" x14ac:dyDescent="0.25">
      <c r="A369" s="881"/>
      <c r="B369" s="1131">
        <v>119</v>
      </c>
      <c r="C369" s="885">
        <v>0.98546887008392514</v>
      </c>
      <c r="D369" s="885">
        <v>1.0108732943252126</v>
      </c>
      <c r="E369" s="885">
        <v>0.98508353763672429</v>
      </c>
      <c r="F369" s="885">
        <v>0.99592179791825408</v>
      </c>
      <c r="G369" s="885">
        <v>0.9809842802304658</v>
      </c>
      <c r="H369" s="885">
        <v>1.0051871923439017</v>
      </c>
      <c r="I369" s="885">
        <v>0.97236327942841627</v>
      </c>
      <c r="K369">
        <v>1.93899637014656</v>
      </c>
      <c r="L369">
        <v>0</v>
      </c>
      <c r="M369">
        <v>2.0448608188911813E-3</v>
      </c>
      <c r="N369">
        <v>0.19668328077984393</v>
      </c>
      <c r="O369">
        <v>2.5383559094106736E-2</v>
      </c>
      <c r="P369">
        <v>2.0887143697771157E-2</v>
      </c>
      <c r="Q369">
        <v>2.9396602979697489E-3</v>
      </c>
      <c r="R369">
        <v>2.0327083431140613E-3</v>
      </c>
      <c r="S369">
        <v>0.20260882037974556</v>
      </c>
      <c r="T369">
        <v>1.0597468436818145</v>
      </c>
      <c r="U369">
        <v>3.7870613404296163E-2</v>
      </c>
      <c r="V369">
        <v>0.24853261861612294</v>
      </c>
      <c r="W369">
        <v>0.11877888441008186</v>
      </c>
      <c r="X369">
        <v>2.0044736232752391E-2</v>
      </c>
      <c r="Y369">
        <v>5.5323620278312537E-3</v>
      </c>
    </row>
    <row r="370" spans="1:25" x14ac:dyDescent="0.25">
      <c r="A370" s="881"/>
      <c r="B370" s="1131">
        <v>120</v>
      </c>
      <c r="C370" s="885">
        <v>1.012555422652216</v>
      </c>
      <c r="D370" s="885">
        <v>1.0121689077393132</v>
      </c>
      <c r="E370" s="885">
        <v>0.95403336016386009</v>
      </c>
      <c r="F370" s="885">
        <v>1.0232882371516101</v>
      </c>
      <c r="G370" s="885">
        <v>0.95544023820436752</v>
      </c>
      <c r="H370" s="885">
        <v>0.99795219848898031</v>
      </c>
      <c r="I370" s="885">
        <v>1.0075142377014048</v>
      </c>
      <c r="K370">
        <v>1.9166816488244209</v>
      </c>
      <c r="L370">
        <v>0</v>
      </c>
      <c r="M370">
        <v>2.1073545965559055E-3</v>
      </c>
      <c r="N370">
        <v>0.18398157559872264</v>
      </c>
      <c r="O370">
        <v>2.4688898167725268E-2</v>
      </c>
      <c r="P370">
        <v>2.0379429628162429E-2</v>
      </c>
      <c r="Q370">
        <v>2.7701204382134478E-3</v>
      </c>
      <c r="R370">
        <v>2.0947388141701563E-3</v>
      </c>
      <c r="S370">
        <v>0.20347316116347688</v>
      </c>
      <c r="T370">
        <v>1.0626357143661243</v>
      </c>
      <c r="U370">
        <v>3.6857548501555315E-2</v>
      </c>
      <c r="V370">
        <v>0.2445803018710368</v>
      </c>
      <c r="W370">
        <v>0.11354614517849276</v>
      </c>
      <c r="X370">
        <v>1.8080181171588255E-2</v>
      </c>
      <c r="Y370">
        <v>5.7011885217066582E-3</v>
      </c>
    </row>
    <row r="371" spans="1:25" x14ac:dyDescent="0.25">
      <c r="A371" s="881"/>
      <c r="B371" s="1131">
        <v>121</v>
      </c>
      <c r="C371" s="885">
        <v>1.0030278590884554</v>
      </c>
      <c r="D371" s="885">
        <v>1.0346937586889722</v>
      </c>
      <c r="E371" s="885">
        <v>0.97205088592983502</v>
      </c>
      <c r="F371" s="885">
        <v>1.0018380165158325</v>
      </c>
      <c r="G371" s="885">
        <v>1.0000738392759139</v>
      </c>
      <c r="H371" s="885">
        <v>1.0012916367366322</v>
      </c>
      <c r="I371" s="885">
        <v>0.96739337119191748</v>
      </c>
      <c r="K371">
        <v>1.9115884227850519</v>
      </c>
      <c r="L371">
        <v>0</v>
      </c>
      <c r="M371">
        <v>2.0332911642651271E-3</v>
      </c>
      <c r="N371">
        <v>0.18778118502781771</v>
      </c>
      <c r="O371">
        <v>2.465420651769807E-2</v>
      </c>
      <c r="P371">
        <v>2.0523219290546443E-2</v>
      </c>
      <c r="Q371">
        <v>2.8221261842432026E-3</v>
      </c>
      <c r="R371">
        <v>2.0211410331836747E-3</v>
      </c>
      <c r="S371">
        <v>0.19557086359084394</v>
      </c>
      <c r="T371">
        <v>1.0609548436904037</v>
      </c>
      <c r="U371">
        <v>3.7207651076445025E-2</v>
      </c>
      <c r="V371">
        <v>0.24321627259819578</v>
      </c>
      <c r="W371">
        <v>0.11443405068585187</v>
      </c>
      <c r="X371">
        <v>1.8935274630721578E-2</v>
      </c>
      <c r="Y371">
        <v>5.5008796233634383E-3</v>
      </c>
    </row>
    <row r="372" spans="1:25" x14ac:dyDescent="0.25">
      <c r="A372" s="881"/>
      <c r="B372" s="1131">
        <v>122</v>
      </c>
      <c r="C372" s="885">
        <v>0.97954439374639402</v>
      </c>
      <c r="D372" s="885">
        <v>0.97627066983189259</v>
      </c>
      <c r="E372" s="885">
        <v>0.99457569383826894</v>
      </c>
      <c r="F372" s="885">
        <v>1.0406032454572245</v>
      </c>
      <c r="G372" s="885">
        <v>1.0079529742760889</v>
      </c>
      <c r="H372" s="885">
        <v>1.0007620974038294</v>
      </c>
      <c r="I372" s="885">
        <v>0.9955098501037295</v>
      </c>
      <c r="K372">
        <v>1.962797175549196</v>
      </c>
      <c r="L372">
        <v>0</v>
      </c>
      <c r="M372">
        <v>2.0426161113003636E-3</v>
      </c>
      <c r="N372">
        <v>0.202357895525001</v>
      </c>
      <c r="O372">
        <v>2.5981584748165094E-2</v>
      </c>
      <c r="P372">
        <v>2.1222396650793271E-2</v>
      </c>
      <c r="Q372">
        <v>3.0305391310855075E-3</v>
      </c>
      <c r="R372">
        <v>2.0304527774606808E-3</v>
      </c>
      <c r="S372">
        <v>0.21159340270088861</v>
      </c>
      <c r="T372">
        <v>1.0588711629463017</v>
      </c>
      <c r="U372">
        <v>3.8099662291139813E-2</v>
      </c>
      <c r="V372">
        <v>0.25383333903807731</v>
      </c>
      <c r="W372">
        <v>0.12140906238734293</v>
      </c>
      <c r="X372">
        <v>2.0884070342569491E-2</v>
      </c>
      <c r="Y372">
        <v>5.5262231216697726E-3</v>
      </c>
    </row>
    <row r="373" spans="1:25" x14ac:dyDescent="0.25">
      <c r="A373" s="881"/>
      <c r="B373" s="1131">
        <v>123</v>
      </c>
      <c r="C373" s="885">
        <v>1.0401641475974286</v>
      </c>
      <c r="D373" s="885">
        <v>1.0172690886358056</v>
      </c>
      <c r="E373" s="885">
        <v>0.97598677450706406</v>
      </c>
      <c r="F373" s="885">
        <v>1.0073167245439405</v>
      </c>
      <c r="G373" s="885">
        <v>0.97586120673280996</v>
      </c>
      <c r="H373" s="885">
        <v>0.98121304212610605</v>
      </c>
      <c r="I373" s="885">
        <v>0.97305678366472859</v>
      </c>
      <c r="K373">
        <v>1.8858509838639155</v>
      </c>
      <c r="L373">
        <v>0</v>
      </c>
      <c r="M373">
        <v>1.9216023328363469E-3</v>
      </c>
      <c r="N373">
        <v>0.17963620642659547</v>
      </c>
      <c r="O373">
        <v>2.3973989660897754E-2</v>
      </c>
      <c r="P373">
        <v>2.0439274016606054E-2</v>
      </c>
      <c r="Q373">
        <v>2.7520761996870213E-3</v>
      </c>
      <c r="R373">
        <v>1.909898265676723E-3</v>
      </c>
      <c r="S373">
        <v>0.18928699915411035</v>
      </c>
      <c r="T373">
        <v>1.0605893312337555</v>
      </c>
      <c r="U373">
        <v>3.5879251065439342E-2</v>
      </c>
      <c r="V373">
        <v>0.24031902113407233</v>
      </c>
      <c r="W373">
        <v>0.10917067211356765</v>
      </c>
      <c r="X373">
        <v>1.8617753444966894E-2</v>
      </c>
      <c r="Y373">
        <v>5.1981134813779686E-3</v>
      </c>
    </row>
    <row r="374" spans="1:25" x14ac:dyDescent="0.25">
      <c r="A374" s="881"/>
      <c r="B374" s="1131">
        <v>124</v>
      </c>
      <c r="C374" s="885">
        <v>1.0116926785467624</v>
      </c>
      <c r="D374" s="885">
        <v>1.0159194111832597</v>
      </c>
      <c r="E374" s="885">
        <v>0.99960546378146398</v>
      </c>
      <c r="F374" s="885">
        <v>1.0249688288205354</v>
      </c>
      <c r="G374" s="885">
        <v>1.0015658256421671</v>
      </c>
      <c r="H374" s="885">
        <v>0.96763231471931099</v>
      </c>
      <c r="I374" s="885">
        <v>1.0124901567150066</v>
      </c>
      <c r="K374">
        <v>1.9127279869275016</v>
      </c>
      <c r="L374">
        <v>0</v>
      </c>
      <c r="M374">
        <v>1.8551885605503056E-3</v>
      </c>
      <c r="N374">
        <v>0.18664755608973752</v>
      </c>
      <c r="O374">
        <v>2.4664842481300058E-2</v>
      </c>
      <c r="P374">
        <v>2.1007805034065505E-2</v>
      </c>
      <c r="Q374">
        <v>2.8996079232762669E-3</v>
      </c>
      <c r="R374">
        <v>1.8437314625433768E-3</v>
      </c>
      <c r="S374">
        <v>0.20125908818821758</v>
      </c>
      <c r="T374">
        <v>1.058408571742488</v>
      </c>
      <c r="U374">
        <v>3.6888979620298662E-2</v>
      </c>
      <c r="V374">
        <v>0.24424780131674309</v>
      </c>
      <c r="W374">
        <v>0.11159778122689029</v>
      </c>
      <c r="X374">
        <v>2.0099381147361411E-2</v>
      </c>
      <c r="Y374">
        <v>5.0180292551297908E-3</v>
      </c>
    </row>
    <row r="375" spans="1:25" x14ac:dyDescent="0.25">
      <c r="A375" s="881"/>
      <c r="B375" s="1131">
        <v>125</v>
      </c>
      <c r="C375" s="885">
        <v>0.98808064763982451</v>
      </c>
      <c r="D375" s="885">
        <v>1.0106645062124493</v>
      </c>
      <c r="E375" s="885">
        <v>0.99911177527039763</v>
      </c>
      <c r="F375" s="885">
        <v>1.0004756725968493</v>
      </c>
      <c r="G375" s="885">
        <v>0.98765265933950175</v>
      </c>
      <c r="H375" s="885">
        <v>0.9996308053176175</v>
      </c>
      <c r="I375" s="885">
        <v>1.007620444235017</v>
      </c>
      <c r="K375">
        <v>1.94498850265672</v>
      </c>
      <c r="L375">
        <v>0</v>
      </c>
      <c r="M375">
        <v>1.9694134448887167E-3</v>
      </c>
      <c r="N375">
        <v>0.19787520931857347</v>
      </c>
      <c r="O375">
        <v>2.5319047989208088E-2</v>
      </c>
      <c r="P375">
        <v>2.116986185601432E-2</v>
      </c>
      <c r="Q375">
        <v>2.9739702066370458E-3</v>
      </c>
      <c r="R375">
        <v>1.9576444591391283E-3</v>
      </c>
      <c r="S375">
        <v>0.20884969832725367</v>
      </c>
      <c r="T375">
        <v>1.0584539329969627</v>
      </c>
      <c r="U375">
        <v>3.7770510625890666E-2</v>
      </c>
      <c r="V375">
        <v>0.24818002063812511</v>
      </c>
      <c r="W375">
        <v>0.11835085802181575</v>
      </c>
      <c r="X375">
        <v>2.0729098781533398E-2</v>
      </c>
      <c r="Y375">
        <v>5.3280628804541911E-3</v>
      </c>
    </row>
    <row r="376" spans="1:25" x14ac:dyDescent="0.25">
      <c r="A376" s="881"/>
      <c r="B376" s="1131">
        <v>126</v>
      </c>
      <c r="C376" s="885">
        <v>1.0176520478446263</v>
      </c>
      <c r="D376" s="885">
        <v>0.98735219481634495</v>
      </c>
      <c r="E376" s="885">
        <v>0.99192941635741971</v>
      </c>
      <c r="F376" s="885">
        <v>1.0097064950366392</v>
      </c>
      <c r="G376" s="885">
        <v>1.0243099071104267</v>
      </c>
      <c r="H376" s="885">
        <v>0.99689337282204793</v>
      </c>
      <c r="I376" s="885">
        <v>0.97975919655362609</v>
      </c>
      <c r="K376">
        <v>1.9238198515417333</v>
      </c>
      <c r="L376">
        <v>0</v>
      </c>
      <c r="M376">
        <v>1.9584688027562973E-3</v>
      </c>
      <c r="N376">
        <v>0.19242461547549577</v>
      </c>
      <c r="O376">
        <v>2.4868975554869461E-2</v>
      </c>
      <c r="P376">
        <v>2.0900069222470237E-2</v>
      </c>
      <c r="Q376">
        <v>2.8953234496608407E-3</v>
      </c>
      <c r="R376">
        <v>1.946752054645744E-3</v>
      </c>
      <c r="S376">
        <v>0.1990294622205456</v>
      </c>
      <c r="T376">
        <v>1.0591149380691012</v>
      </c>
      <c r="U376">
        <v>3.6672957795310143E-2</v>
      </c>
      <c r="V376">
        <v>0.2469252299849293</v>
      </c>
      <c r="W376">
        <v>0.1156595954648236</v>
      </c>
      <c r="X376">
        <v>2.004198370653185E-2</v>
      </c>
      <c r="Y376">
        <v>5.298417346103374E-3</v>
      </c>
    </row>
    <row r="377" spans="1:25" x14ac:dyDescent="0.25">
      <c r="A377" s="881"/>
      <c r="B377" s="1131">
        <v>127</v>
      </c>
      <c r="C377" s="885">
        <v>1.0039455487248021</v>
      </c>
      <c r="D377" s="885">
        <v>0.99495893977368466</v>
      </c>
      <c r="E377" s="885">
        <v>1.0032516358916492</v>
      </c>
      <c r="F377" s="885">
        <v>0.98356265849582192</v>
      </c>
      <c r="G377" s="885">
        <v>0.9976856405800959</v>
      </c>
      <c r="H377" s="885">
        <v>0.98601372084854977</v>
      </c>
      <c r="I377" s="885">
        <v>0.9885288467205956</v>
      </c>
      <c r="K377">
        <v>1.9302258324434207</v>
      </c>
      <c r="L377">
        <v>0</v>
      </c>
      <c r="M377">
        <v>1.9100213409080828E-3</v>
      </c>
      <c r="N377">
        <v>0.19438043642498484</v>
      </c>
      <c r="O377">
        <v>2.511280237340522E-2</v>
      </c>
      <c r="P377">
        <v>2.1120725933548648E-2</v>
      </c>
      <c r="Q377">
        <v>2.958808684357436E-3</v>
      </c>
      <c r="R377">
        <v>1.8984621809612018E-3</v>
      </c>
      <c r="S377">
        <v>0.20174896656608129</v>
      </c>
      <c r="T377">
        <v>1.0580738469680413</v>
      </c>
      <c r="U377">
        <v>3.7173640192260056E-2</v>
      </c>
      <c r="V377">
        <v>0.24788295294221982</v>
      </c>
      <c r="W377">
        <v>0.11593201404785949</v>
      </c>
      <c r="X377">
        <v>2.0686209241922545E-2</v>
      </c>
      <c r="Y377">
        <v>5.1669882286866338E-3</v>
      </c>
    </row>
    <row r="378" spans="1:25" x14ac:dyDescent="0.25">
      <c r="A378" s="881"/>
      <c r="B378" s="1131">
        <v>128</v>
      </c>
      <c r="C378" s="885">
        <v>0.96555308242578064</v>
      </c>
      <c r="D378" s="885">
        <v>1.0011137458346107</v>
      </c>
      <c r="E378" s="885">
        <v>1.0352737502458218</v>
      </c>
      <c r="F378" s="885">
        <v>0.97930362219111777</v>
      </c>
      <c r="G378" s="885">
        <v>0.99903527636412159</v>
      </c>
      <c r="H378" s="885">
        <v>0.98507257659746172</v>
      </c>
      <c r="I378" s="885">
        <v>1.0113913630326477</v>
      </c>
      <c r="K378">
        <v>1.9685464617404913</v>
      </c>
      <c r="L378">
        <v>0</v>
      </c>
      <c r="M378">
        <v>1.8486696754863813E-3</v>
      </c>
      <c r="N378">
        <v>0.20781393828467232</v>
      </c>
      <c r="O378">
        <v>2.6031734236067534E-2</v>
      </c>
      <c r="P378">
        <v>2.184042769983971E-2</v>
      </c>
      <c r="Q378">
        <v>3.1676934257661338E-3</v>
      </c>
      <c r="R378">
        <v>1.8374663268531126E-3</v>
      </c>
      <c r="S378">
        <v>0.21391617081604017</v>
      </c>
      <c r="T378">
        <v>1.0551564606796933</v>
      </c>
      <c r="U378">
        <v>3.8651744042032615E-2</v>
      </c>
      <c r="V378">
        <v>0.25269390560008842</v>
      </c>
      <c r="W378">
        <v>0.1212931469899116</v>
      </c>
      <c r="X378">
        <v>2.2991465693929531E-2</v>
      </c>
      <c r="Y378">
        <v>5.0009776210823169E-3</v>
      </c>
    </row>
    <row r="379" spans="1:25" x14ac:dyDescent="0.25">
      <c r="A379" s="881"/>
      <c r="B379" s="1131">
        <v>129</v>
      </c>
      <c r="C379" s="885">
        <v>1.0062279245603618</v>
      </c>
      <c r="D379" s="885">
        <v>1.0325813983768348</v>
      </c>
      <c r="E379" s="885">
        <v>1.0048134430175351</v>
      </c>
      <c r="F379" s="885">
        <v>0.99622653588830579</v>
      </c>
      <c r="G379" s="885">
        <v>1.0284749899144356</v>
      </c>
      <c r="H379" s="885">
        <v>1.0060973901865922</v>
      </c>
      <c r="I379" s="885">
        <v>0.97623636385705759</v>
      </c>
      <c r="K379">
        <v>1.9202780416002709</v>
      </c>
      <c r="L379">
        <v>0</v>
      </c>
      <c r="M379">
        <v>1.9029284102531616E-3</v>
      </c>
      <c r="N379">
        <v>0.1946222635066184</v>
      </c>
      <c r="O379">
        <v>2.460055927428598E-2</v>
      </c>
      <c r="P379">
        <v>2.1015795933711653E-2</v>
      </c>
      <c r="Q379">
        <v>2.9104758164861079E-3</v>
      </c>
      <c r="R379">
        <v>1.8916131695710578E-3</v>
      </c>
      <c r="S379">
        <v>0.19737914132458556</v>
      </c>
      <c r="T379">
        <v>1.0579306289352008</v>
      </c>
      <c r="U379">
        <v>3.708932110706703E-2</v>
      </c>
      <c r="V379">
        <v>0.2430274817737908</v>
      </c>
      <c r="W379">
        <v>0.11595261341412583</v>
      </c>
      <c r="X379">
        <v>2.0612728277621548E-2</v>
      </c>
      <c r="Y379">
        <v>5.1483474774586587E-3</v>
      </c>
    </row>
    <row r="380" spans="1:25" x14ac:dyDescent="0.25">
      <c r="A380" s="881"/>
      <c r="B380" s="1131">
        <v>130</v>
      </c>
      <c r="C380" s="885">
        <v>0.98897156120931884</v>
      </c>
      <c r="D380" s="885">
        <v>1.0169674548939522</v>
      </c>
      <c r="E380" s="885">
        <v>1.0023650327431408</v>
      </c>
      <c r="F380" s="885">
        <v>1.0076275677966127</v>
      </c>
      <c r="G380" s="885">
        <v>1.0247739781968468</v>
      </c>
      <c r="H380" s="885">
        <v>1.0021002520203715</v>
      </c>
      <c r="I380" s="885">
        <v>1.0224226086175614</v>
      </c>
      <c r="K380">
        <v>1.9466578372382877</v>
      </c>
      <c r="L380">
        <v>0</v>
      </c>
      <c r="M380">
        <v>1.9530278056294076E-3</v>
      </c>
      <c r="N380">
        <v>0.19822735877273026</v>
      </c>
      <c r="O380">
        <v>2.5218659227819278E-2</v>
      </c>
      <c r="P380">
        <v>2.1239074267488743E-2</v>
      </c>
      <c r="Q380">
        <v>2.9731576225348086E-3</v>
      </c>
      <c r="R380">
        <v>1.9413805127321884E-3</v>
      </c>
      <c r="S380">
        <v>0.21138085601343864</v>
      </c>
      <c r="T380">
        <v>1.0581551909678739</v>
      </c>
      <c r="U380">
        <v>3.7736485117207438E-2</v>
      </c>
      <c r="V380">
        <v>0.24728244544565894</v>
      </c>
      <c r="W380">
        <v>0.11829799152016536</v>
      </c>
      <c r="X380">
        <v>2.0874467796524774E-2</v>
      </c>
      <c r="Y380">
        <v>5.2837977797429922E-3</v>
      </c>
    </row>
    <row r="381" spans="1:25" x14ac:dyDescent="0.25">
      <c r="A381" s="881"/>
      <c r="B381" s="1131">
        <v>131</v>
      </c>
      <c r="C381" s="885">
        <v>0.98230997400650355</v>
      </c>
      <c r="D381" s="885">
        <v>1.0436620675263624</v>
      </c>
      <c r="E381" s="885">
        <v>1.0396720515842004</v>
      </c>
      <c r="F381" s="885">
        <v>1.0123552691975959</v>
      </c>
      <c r="G381" s="885">
        <v>0.99128282027146142</v>
      </c>
      <c r="H381" s="885">
        <v>1.0476960129427073</v>
      </c>
      <c r="I381" s="885">
        <v>0.99529484671535706</v>
      </c>
      <c r="K381">
        <v>1.9635302791625882</v>
      </c>
      <c r="L381">
        <v>0</v>
      </c>
      <c r="M381">
        <v>1.8758379897988373E-3</v>
      </c>
      <c r="N381">
        <v>0.2138395706306371</v>
      </c>
      <c r="O381">
        <v>2.5067441554746821E-2</v>
      </c>
      <c r="P381">
        <v>2.1722917902204222E-2</v>
      </c>
      <c r="Q381">
        <v>3.0724082662465261E-3</v>
      </c>
      <c r="R381">
        <v>1.8651189133435495E-3</v>
      </c>
      <c r="S381">
        <v>0.20930633734299955</v>
      </c>
      <c r="T381">
        <v>1.054758885805136</v>
      </c>
      <c r="U381">
        <v>3.799239709304815E-2</v>
      </c>
      <c r="V381">
        <v>0.24505322930573606</v>
      </c>
      <c r="W381">
        <v>0.12444465170135539</v>
      </c>
      <c r="X381">
        <v>2.3206919791096632E-2</v>
      </c>
      <c r="Y381">
        <v>5.0762388458365981E-3</v>
      </c>
    </row>
    <row r="382" spans="1:25" x14ac:dyDescent="0.25">
      <c r="A382" s="881"/>
      <c r="B382" s="1131">
        <v>132</v>
      </c>
      <c r="C382" s="885">
        <v>1.0157648620642352</v>
      </c>
      <c r="D382" s="885">
        <v>0.97048229399683117</v>
      </c>
      <c r="E382" s="885">
        <v>1.0021642603788325</v>
      </c>
      <c r="F382" s="885">
        <v>0.9862087030676252</v>
      </c>
      <c r="G382" s="885">
        <v>0.9621392507256451</v>
      </c>
      <c r="H382" s="885">
        <v>1.0183280315652958</v>
      </c>
      <c r="I382" s="885">
        <v>1.0063713874387696</v>
      </c>
      <c r="K382">
        <v>1.9489459062751471</v>
      </c>
      <c r="L382">
        <v>0</v>
      </c>
      <c r="M382">
        <v>1.9784173587050545E-3</v>
      </c>
      <c r="N382">
        <v>0.20070199886037612</v>
      </c>
      <c r="O382">
        <v>2.5129262303842079E-2</v>
      </c>
      <c r="P382">
        <v>2.121300818756813E-2</v>
      </c>
      <c r="Q382">
        <v>2.9523480597751124E-3</v>
      </c>
      <c r="R382">
        <v>1.9668443615893506E-3</v>
      </c>
      <c r="S382">
        <v>0.20862833716026111</v>
      </c>
      <c r="T382">
        <v>1.0581736156702317</v>
      </c>
      <c r="U382">
        <v>3.6741092347961961E-2</v>
      </c>
      <c r="V382">
        <v>0.24933742753798543</v>
      </c>
      <c r="W382">
        <v>0.1197912349888037</v>
      </c>
      <c r="X382">
        <v>2.0936052173278392E-2</v>
      </c>
      <c r="Y382">
        <v>5.3531019821766689E-3</v>
      </c>
    </row>
    <row r="383" spans="1:25" x14ac:dyDescent="0.25">
      <c r="A383" s="881"/>
      <c r="B383" s="1131">
        <v>133</v>
      </c>
      <c r="C383" s="885">
        <v>0.96789609971591251</v>
      </c>
      <c r="D383" s="885">
        <v>1.0123329353246047</v>
      </c>
      <c r="E383" s="885">
        <v>1.0310086767163718</v>
      </c>
      <c r="F383" s="885">
        <v>0.99290379582542165</v>
      </c>
      <c r="G383" s="885">
        <v>1.032735388236645</v>
      </c>
      <c r="H383" s="885">
        <v>0.9826741840300528</v>
      </c>
      <c r="I383" s="885">
        <v>1.0036468984826201</v>
      </c>
      <c r="K383">
        <v>1.9583706637304665</v>
      </c>
      <c r="L383">
        <v>0</v>
      </c>
      <c r="M383">
        <v>1.8461922656549932E-3</v>
      </c>
      <c r="N383">
        <v>0.20480246649699285</v>
      </c>
      <c r="O383">
        <v>2.5825991058550993E-2</v>
      </c>
      <c r="P383">
        <v>2.1703768190353814E-2</v>
      </c>
      <c r="Q383">
        <v>3.1318809160083053E-3</v>
      </c>
      <c r="R383">
        <v>1.8349679844045965E-3</v>
      </c>
      <c r="S383">
        <v>0.21043517056152578</v>
      </c>
      <c r="T383">
        <v>1.0555427165795517</v>
      </c>
      <c r="U383">
        <v>3.8558178519234432E-2</v>
      </c>
      <c r="V383">
        <v>0.25092190895559641</v>
      </c>
      <c r="W383">
        <v>0.11987685289003153</v>
      </c>
      <c r="X383">
        <v>2.2588775887354608E-2</v>
      </c>
      <c r="Y383">
        <v>4.994177956515823E-3</v>
      </c>
    </row>
    <row r="384" spans="1:25" x14ac:dyDescent="0.25">
      <c r="A384" s="881"/>
      <c r="B384" s="1131">
        <v>134</v>
      </c>
      <c r="C384" s="885">
        <v>1.0286756071699776</v>
      </c>
      <c r="D384" s="885">
        <v>1.0302329987156755</v>
      </c>
      <c r="E384" s="885">
        <v>0.98062094589869686</v>
      </c>
      <c r="F384" s="885">
        <v>1.0242832938108359</v>
      </c>
      <c r="G384" s="885">
        <v>1.0044184102598643</v>
      </c>
      <c r="H384" s="885">
        <v>0.96691132370783728</v>
      </c>
      <c r="I384" s="885">
        <v>1.0178948692939429</v>
      </c>
      <c r="K384">
        <v>1.8927904074639013</v>
      </c>
      <c r="L384">
        <v>0</v>
      </c>
      <c r="M384">
        <v>1.8844088690593357E-3</v>
      </c>
      <c r="N384">
        <v>0.17870440979959931</v>
      </c>
      <c r="O384">
        <v>2.4090748228662286E-2</v>
      </c>
      <c r="P384">
        <v>2.0623594078790223E-2</v>
      </c>
      <c r="Q384">
        <v>2.7809770430051559E-3</v>
      </c>
      <c r="R384">
        <v>1.8727514537644054E-3</v>
      </c>
      <c r="S384">
        <v>0.19765366112966637</v>
      </c>
      <c r="T384">
        <v>1.0601597410484958</v>
      </c>
      <c r="U384">
        <v>3.627996069974871E-2</v>
      </c>
      <c r="V384">
        <v>0.24031535851756286</v>
      </c>
      <c r="W384">
        <v>0.10825530628655297</v>
      </c>
      <c r="X384">
        <v>1.8841295942314727E-2</v>
      </c>
      <c r="Y384">
        <v>5.0970121047958939E-3</v>
      </c>
    </row>
    <row r="385" spans="1:25" x14ac:dyDescent="0.25">
      <c r="A385" s="881"/>
      <c r="B385" s="1131">
        <v>135</v>
      </c>
      <c r="C385" s="885">
        <v>0.97070103134429275</v>
      </c>
      <c r="D385" s="885">
        <v>1.0196867787823705</v>
      </c>
      <c r="E385" s="885">
        <v>1.0033404007013096</v>
      </c>
      <c r="F385" s="885">
        <v>0.9855330476997326</v>
      </c>
      <c r="G385" s="885">
        <v>1.0161413147149816</v>
      </c>
      <c r="H385" s="885">
        <v>1.0098777236438627</v>
      </c>
      <c r="I385" s="885">
        <v>0.98968084322913408</v>
      </c>
      <c r="K385">
        <v>1.9564958605250418</v>
      </c>
      <c r="L385">
        <v>0</v>
      </c>
      <c r="M385">
        <v>1.9984797808583433E-3</v>
      </c>
      <c r="N385">
        <v>0.20346611680805765</v>
      </c>
      <c r="O385">
        <v>2.5659470157290195E-2</v>
      </c>
      <c r="P385">
        <v>2.1262095976375649E-2</v>
      </c>
      <c r="Q385">
        <v>3.0286490179076394E-3</v>
      </c>
      <c r="R385">
        <v>1.9866510423485109E-3</v>
      </c>
      <c r="S385">
        <v>0.20900289342397194</v>
      </c>
      <c r="T385">
        <v>1.0580657046681885</v>
      </c>
      <c r="U385">
        <v>3.8446761047768917E-2</v>
      </c>
      <c r="V385">
        <v>0.24959473730852971</v>
      </c>
      <c r="W385">
        <v>0.12134352517024298</v>
      </c>
      <c r="X385">
        <v>2.1230726447285672E-2</v>
      </c>
      <c r="Y385">
        <v>5.4070092379325443E-3</v>
      </c>
    </row>
    <row r="386" spans="1:25" x14ac:dyDescent="0.25">
      <c r="A386" s="881"/>
      <c r="B386" s="1131">
        <v>136</v>
      </c>
      <c r="C386" s="885">
        <v>0.97589478151283415</v>
      </c>
      <c r="D386" s="885">
        <v>0.99918353774842117</v>
      </c>
      <c r="E386" s="885">
        <v>0.96065330121144765</v>
      </c>
      <c r="F386" s="885">
        <v>0.98488408256203741</v>
      </c>
      <c r="G386" s="885">
        <v>1.0249646124639646</v>
      </c>
      <c r="H386" s="885">
        <v>0.96044474344973341</v>
      </c>
      <c r="I386" s="885">
        <v>0.98085094316300581</v>
      </c>
      <c r="K386">
        <v>1.9286323923804924</v>
      </c>
      <c r="L386">
        <v>0</v>
      </c>
      <c r="M386">
        <v>2.0886894968326444E-3</v>
      </c>
      <c r="N386">
        <v>0.18611598504873031</v>
      </c>
      <c r="O386">
        <v>2.5780487880047616E-2</v>
      </c>
      <c r="P386">
        <v>2.0577637606541316E-2</v>
      </c>
      <c r="Q386">
        <v>2.9097619228770676E-3</v>
      </c>
      <c r="R386">
        <v>2.0757087348885679E-3</v>
      </c>
      <c r="S386">
        <v>0.20293404510398308</v>
      </c>
      <c r="T386">
        <v>1.0620166780696711</v>
      </c>
      <c r="U386">
        <v>3.8242145882840903E-2</v>
      </c>
      <c r="V386">
        <v>0.25139392726092896</v>
      </c>
      <c r="W386">
        <v>0.11432855360666198</v>
      </c>
      <c r="X386">
        <v>1.8696755840984951E-2</v>
      </c>
      <c r="Y386">
        <v>5.6493949191661254E-3</v>
      </c>
    </row>
    <row r="387" spans="1:25" x14ac:dyDescent="0.25">
      <c r="A387" s="881"/>
      <c r="B387" s="1131">
        <v>137</v>
      </c>
      <c r="C387" s="885">
        <v>0.9882736851339764</v>
      </c>
      <c r="D387" s="885">
        <v>0.99283030199514777</v>
      </c>
      <c r="E387" s="885">
        <v>0.99343749636064294</v>
      </c>
      <c r="F387" s="885">
        <v>0.98165680739875016</v>
      </c>
      <c r="G387" s="885">
        <v>1.0384337096816065</v>
      </c>
      <c r="H387" s="885">
        <v>0.99908979863691361</v>
      </c>
      <c r="I387" s="885">
        <v>0.99796993842557813</v>
      </c>
      <c r="K387">
        <v>1.9486169883970033</v>
      </c>
      <c r="L387">
        <v>0</v>
      </c>
      <c r="M387">
        <v>2.0092166764288607E-3</v>
      </c>
      <c r="N387">
        <v>0.19834178396350219</v>
      </c>
      <c r="O387">
        <v>2.5538118932263116E-2</v>
      </c>
      <c r="P387">
        <v>2.111170776992044E-2</v>
      </c>
      <c r="Q387">
        <v>2.9789098357861418E-3</v>
      </c>
      <c r="R387">
        <v>1.9972181300551401E-3</v>
      </c>
      <c r="S387">
        <v>0.20845030094054418</v>
      </c>
      <c r="T387">
        <v>1.0589759803292176</v>
      </c>
      <c r="U387">
        <v>3.7763132988669561E-2</v>
      </c>
      <c r="V387">
        <v>0.25039194486991656</v>
      </c>
      <c r="W387">
        <v>0.11909261043956279</v>
      </c>
      <c r="X387">
        <v>2.0548727506764529E-2</v>
      </c>
      <c r="Y387">
        <v>5.4357693672304622E-3</v>
      </c>
    </row>
    <row r="388" spans="1:25" x14ac:dyDescent="0.25">
      <c r="A388" s="881"/>
      <c r="B388" s="1131">
        <v>138</v>
      </c>
      <c r="C388" s="885">
        <v>0.99803056693642045</v>
      </c>
      <c r="D388" s="885">
        <v>0.99484119733348586</v>
      </c>
      <c r="E388" s="885">
        <v>1.0392194221343838</v>
      </c>
      <c r="F388" s="885">
        <v>1.0343841386073991</v>
      </c>
      <c r="G388" s="885">
        <v>1.0208414893586926</v>
      </c>
      <c r="H388" s="885">
        <v>1.0345549009492903</v>
      </c>
      <c r="I388" s="885">
        <v>0.98880468192012716</v>
      </c>
      <c r="K388">
        <v>1.9636432945517746</v>
      </c>
      <c r="L388">
        <v>0</v>
      </c>
      <c r="M388">
        <v>1.8685226129663683E-3</v>
      </c>
      <c r="N388">
        <v>0.21269531571318911</v>
      </c>
      <c r="O388">
        <v>2.5263118186753145E-2</v>
      </c>
      <c r="P388">
        <v>2.1739835076426742E-2</v>
      </c>
      <c r="Q388">
        <v>3.084778824562341E-3</v>
      </c>
      <c r="R388">
        <v>1.8577452562414793E-3</v>
      </c>
      <c r="S388">
        <v>0.20789173047821508</v>
      </c>
      <c r="T388">
        <v>1.0547997652597842</v>
      </c>
      <c r="U388">
        <v>3.7393955493243355E-2</v>
      </c>
      <c r="V388">
        <v>0.24873429695247989</v>
      </c>
      <c r="W388">
        <v>0.12381605378100841</v>
      </c>
      <c r="X388">
        <v>2.317905196090439E-2</v>
      </c>
      <c r="Y388">
        <v>5.0561701819301745E-3</v>
      </c>
    </row>
    <row r="389" spans="1:25" x14ac:dyDescent="0.25">
      <c r="A389" s="881"/>
      <c r="B389" s="1131">
        <v>139</v>
      </c>
      <c r="C389" s="885">
        <v>0.95812734499348629</v>
      </c>
      <c r="D389" s="885">
        <v>0.98971427005957024</v>
      </c>
      <c r="E389" s="885">
        <v>0.97746861131400387</v>
      </c>
      <c r="F389" s="885">
        <v>1.0093441936483318</v>
      </c>
      <c r="G389" s="885">
        <v>1.0277285039431967</v>
      </c>
      <c r="H389" s="885">
        <v>0.97792633618886804</v>
      </c>
      <c r="I389" s="885">
        <v>0.97928131999881041</v>
      </c>
      <c r="K389">
        <v>1.9569667015513916</v>
      </c>
      <c r="L389">
        <v>0</v>
      </c>
      <c r="M389">
        <v>2.1010202210960927E-3</v>
      </c>
      <c r="N389">
        <v>0.19731601610429914</v>
      </c>
      <c r="O389">
        <v>2.6382714641015381E-2</v>
      </c>
      <c r="P389">
        <v>2.0968663905435791E-2</v>
      </c>
      <c r="Q389">
        <v>3.02736497975195E-3</v>
      </c>
      <c r="R389">
        <v>2.0882047224415274E-3</v>
      </c>
      <c r="S389">
        <v>0.20908736508106635</v>
      </c>
      <c r="T389">
        <v>1.0604518736263833</v>
      </c>
      <c r="U389">
        <v>3.8951305164106921E-2</v>
      </c>
      <c r="V389">
        <v>0.25531512214949204</v>
      </c>
      <c r="W389">
        <v>0.11979173751001605</v>
      </c>
      <c r="X389">
        <v>2.0003949010496982E-2</v>
      </c>
      <c r="Y389">
        <v>5.6834048779840895E-3</v>
      </c>
    </row>
    <row r="390" spans="1:25" x14ac:dyDescent="0.25">
      <c r="A390" s="881"/>
      <c r="B390" s="1131">
        <v>140</v>
      </c>
      <c r="C390" s="885">
        <v>0.97369737780710885</v>
      </c>
      <c r="D390" s="885">
        <v>1.0391696792589185</v>
      </c>
      <c r="E390" s="885">
        <v>1.0061709539806636</v>
      </c>
      <c r="F390" s="885">
        <v>0.96484899363040633</v>
      </c>
      <c r="G390" s="885">
        <v>1.015776768797978</v>
      </c>
      <c r="H390" s="885">
        <v>0.98639333809716279</v>
      </c>
      <c r="I390" s="885">
        <v>0.99899601244302683</v>
      </c>
      <c r="K390">
        <v>1.9387483165210995</v>
      </c>
      <c r="L390">
        <v>0</v>
      </c>
      <c r="M390">
        <v>1.9164734739987187E-3</v>
      </c>
      <c r="N390">
        <v>0.19681276973498288</v>
      </c>
      <c r="O390">
        <v>2.5342924174073869E-2</v>
      </c>
      <c r="P390">
        <v>2.1223845151122817E-2</v>
      </c>
      <c r="Q390">
        <v>3.0036971266930476E-3</v>
      </c>
      <c r="R390">
        <v>1.9048450060306817E-3</v>
      </c>
      <c r="S390">
        <v>0.20611580982569169</v>
      </c>
      <c r="T390">
        <v>1.0578062221628117</v>
      </c>
      <c r="U390">
        <v>3.8328449322690993E-2</v>
      </c>
      <c r="V390">
        <v>0.24680427154434043</v>
      </c>
      <c r="W390">
        <v>0.11714922977465976</v>
      </c>
      <c r="X390">
        <v>2.0988365997572322E-2</v>
      </c>
      <c r="Y390">
        <v>5.184360174428037E-3</v>
      </c>
    </row>
    <row r="391" spans="1:25" x14ac:dyDescent="0.25">
      <c r="A391" s="881"/>
      <c r="B391" s="1131">
        <v>141</v>
      </c>
      <c r="C391" s="885">
        <v>1.0209589475733003</v>
      </c>
      <c r="D391" s="885">
        <v>0.99352367967065958</v>
      </c>
      <c r="E391" s="885">
        <v>1.0089357938841002</v>
      </c>
      <c r="F391" s="885">
        <v>1.0143574047489055</v>
      </c>
      <c r="G391" s="885">
        <v>1.0068787363499281</v>
      </c>
      <c r="H391" s="885">
        <v>1.000858619448336</v>
      </c>
      <c r="I391" s="885">
        <v>0.97880882581578066</v>
      </c>
      <c r="K391">
        <v>1.9238219003673545</v>
      </c>
      <c r="L391">
        <v>0</v>
      </c>
      <c r="M391">
        <v>1.8851096082597798E-3</v>
      </c>
      <c r="N391">
        <v>0.19528416953265731</v>
      </c>
      <c r="O391">
        <v>2.4711985130766875E-2</v>
      </c>
      <c r="P391">
        <v>2.1113047366861079E-2</v>
      </c>
      <c r="Q391">
        <v>2.9279156568918657E-3</v>
      </c>
      <c r="R391">
        <v>1.8738715486476367E-3</v>
      </c>
      <c r="S391">
        <v>0.19801146806805908</v>
      </c>
      <c r="T391">
        <v>1.0575530654158372</v>
      </c>
      <c r="U391">
        <v>3.6554173592996009E-2</v>
      </c>
      <c r="V391">
        <v>0.24570198409224378</v>
      </c>
      <c r="W391">
        <v>0.11602081588283704</v>
      </c>
      <c r="X391">
        <v>2.0854453053985773E-2</v>
      </c>
      <c r="Y391">
        <v>5.1000606338288722E-3</v>
      </c>
    </row>
    <row r="392" spans="1:25" x14ac:dyDescent="0.25">
      <c r="A392" s="881"/>
      <c r="B392" s="1131">
        <v>142</v>
      </c>
      <c r="C392" s="885">
        <v>1.0295342227912629</v>
      </c>
      <c r="D392" s="885">
        <v>1.0277393671500414</v>
      </c>
      <c r="E392" s="885">
        <v>1.0137021888285629</v>
      </c>
      <c r="F392" s="885">
        <v>0.99767033777188763</v>
      </c>
      <c r="G392" s="885">
        <v>1.0183746982737649</v>
      </c>
      <c r="H392" s="885">
        <v>0.97430947339439722</v>
      </c>
      <c r="I392" s="885">
        <v>1.0351723106938211</v>
      </c>
      <c r="K392">
        <v>1.9056496389520148</v>
      </c>
      <c r="L392">
        <v>0</v>
      </c>
      <c r="M392">
        <v>1.7717368434004249E-3</v>
      </c>
      <c r="N392">
        <v>0.18624605286057658</v>
      </c>
      <c r="O392">
        <v>2.4099434621536173E-2</v>
      </c>
      <c r="P392">
        <v>2.115773232470608E-2</v>
      </c>
      <c r="Q392">
        <v>2.8757156707143708E-3</v>
      </c>
      <c r="R392">
        <v>1.7608614732013406E-3</v>
      </c>
      <c r="S392">
        <v>0.20180596798141168</v>
      </c>
      <c r="T392">
        <v>1.0571173409468841</v>
      </c>
      <c r="U392">
        <v>3.6249703773551523E-2</v>
      </c>
      <c r="V392">
        <v>0.24048659164098629</v>
      </c>
      <c r="W392">
        <v>0.11029369682865015</v>
      </c>
      <c r="X392">
        <v>2.0535793210970352E-2</v>
      </c>
      <c r="Y392">
        <v>4.792484462225413E-3</v>
      </c>
    </row>
    <row r="393" spans="1:25" x14ac:dyDescent="0.25">
      <c r="A393" s="881"/>
      <c r="B393" s="1131">
        <v>143</v>
      </c>
      <c r="C393" s="885">
        <v>0.97514663751824693</v>
      </c>
      <c r="D393" s="885">
        <v>0.97460626976186593</v>
      </c>
      <c r="E393" s="885">
        <v>1.0026891653585024</v>
      </c>
      <c r="F393" s="885">
        <v>0.99726064784750823</v>
      </c>
      <c r="G393" s="885">
        <v>0.98465729700858129</v>
      </c>
      <c r="H393" s="885">
        <v>1.0248459076684668</v>
      </c>
      <c r="I393" s="885">
        <v>0.99986899713945321</v>
      </c>
      <c r="K393">
        <v>1.9805235707567439</v>
      </c>
      <c r="L393">
        <v>0</v>
      </c>
      <c r="M393">
        <v>2.0673664927325173E-3</v>
      </c>
      <c r="N393">
        <v>0.21007571249528756</v>
      </c>
      <c r="O393">
        <v>2.6120886213845528E-2</v>
      </c>
      <c r="P393">
        <v>2.1418347529252799E-2</v>
      </c>
      <c r="Q393">
        <v>3.0713868034395199E-3</v>
      </c>
      <c r="R393">
        <v>2.0553465136809038E-3</v>
      </c>
      <c r="S393">
        <v>0.21617737899314476</v>
      </c>
      <c r="T393">
        <v>1.058125448919788</v>
      </c>
      <c r="U393">
        <v>3.827148570793136E-2</v>
      </c>
      <c r="V393">
        <v>0.25471509102393664</v>
      </c>
      <c r="W393">
        <v>0.12534109135597241</v>
      </c>
      <c r="X393">
        <v>2.1624786027752814E-2</v>
      </c>
      <c r="Y393">
        <v>5.5939756654432788E-3</v>
      </c>
    </row>
    <row r="394" spans="1:25" x14ac:dyDescent="0.25">
      <c r="A394" s="881"/>
      <c r="B394" s="1131">
        <v>144</v>
      </c>
      <c r="C394" s="885">
        <v>1.0101936104689702</v>
      </c>
      <c r="D394" s="885">
        <v>1.0126565965413026</v>
      </c>
      <c r="E394" s="885">
        <v>1.0077700640909883</v>
      </c>
      <c r="F394" s="885">
        <v>1.0060838281843274</v>
      </c>
      <c r="G394" s="885">
        <v>1.00169545705597</v>
      </c>
      <c r="H394" s="885">
        <v>1.0297529042892006</v>
      </c>
      <c r="I394" s="885">
        <v>1.005767996492928</v>
      </c>
      <c r="K394">
        <v>1.9418483743645762</v>
      </c>
      <c r="L394">
        <v>0</v>
      </c>
      <c r="M394">
        <v>1.9465822817299459E-3</v>
      </c>
      <c r="N394">
        <v>0.20095501239112007</v>
      </c>
      <c r="O394">
        <v>2.4740730417748252E-2</v>
      </c>
      <c r="P394">
        <v>2.1209609781119004E-2</v>
      </c>
      <c r="Q394">
        <v>2.9317950715163589E-3</v>
      </c>
      <c r="R394">
        <v>1.9352884719631694E-3</v>
      </c>
      <c r="S394">
        <v>0.20673472397085499</v>
      </c>
      <c r="T394">
        <v>1.0576597666493477</v>
      </c>
      <c r="U394">
        <v>3.694372070279818E-2</v>
      </c>
      <c r="V394">
        <v>0.24484464586570265</v>
      </c>
      <c r="W394">
        <v>0.11948465053417893</v>
      </c>
      <c r="X394">
        <v>2.1087795536943524E-2</v>
      </c>
      <c r="Y394">
        <v>5.2672172530104219E-3</v>
      </c>
    </row>
    <row r="395" spans="1:25" x14ac:dyDescent="0.25">
      <c r="A395" s="881"/>
      <c r="B395" s="1131">
        <v>145</v>
      </c>
      <c r="C395" s="885">
        <v>1.0341316380130652</v>
      </c>
      <c r="D395" s="885">
        <v>1.0345733519241016</v>
      </c>
      <c r="E395" s="885">
        <v>0.98546666938847638</v>
      </c>
      <c r="F395" s="885">
        <v>0.98703066219325764</v>
      </c>
      <c r="G395" s="885">
        <v>0.99258865289192666</v>
      </c>
      <c r="H395" s="885">
        <v>0.99512054140438699</v>
      </c>
      <c r="I395" s="885">
        <v>0.9693937563381857</v>
      </c>
      <c r="K395">
        <v>1.8902537906119481</v>
      </c>
      <c r="L395">
        <v>0</v>
      </c>
      <c r="M395">
        <v>1.9056697172979494E-3</v>
      </c>
      <c r="N395">
        <v>0.18350128603329588</v>
      </c>
      <c r="O395">
        <v>2.3914048222762427E-2</v>
      </c>
      <c r="P395">
        <v>2.0564708230093393E-2</v>
      </c>
      <c r="Q395">
        <v>2.7749878274801018E-3</v>
      </c>
      <c r="R395">
        <v>1.8942116737041927E-3</v>
      </c>
      <c r="S395">
        <v>0.18951530485850307</v>
      </c>
      <c r="T395">
        <v>1.0597114307870017</v>
      </c>
      <c r="U395">
        <v>3.6088549299799474E-2</v>
      </c>
      <c r="V395">
        <v>0.23911104635419772</v>
      </c>
      <c r="W395">
        <v>0.11078880527733638</v>
      </c>
      <c r="X395">
        <v>1.9139662015958344E-2</v>
      </c>
      <c r="Y395">
        <v>5.1554197491123933E-3</v>
      </c>
    </row>
    <row r="396" spans="1:25" x14ac:dyDescent="0.25">
      <c r="A396" s="881"/>
      <c r="B396" s="1131">
        <v>146</v>
      </c>
      <c r="C396" s="885">
        <v>1.0081304748825672</v>
      </c>
      <c r="D396" s="885">
        <v>0.98432113564358148</v>
      </c>
      <c r="E396" s="885">
        <v>1.0008144780903128</v>
      </c>
      <c r="F396" s="885">
        <v>0.98671588940509114</v>
      </c>
      <c r="G396" s="885">
        <v>1.0375400922515485</v>
      </c>
      <c r="H396" s="885">
        <v>0.9764116680154149</v>
      </c>
      <c r="I396" s="885">
        <v>0.98096741292520639</v>
      </c>
      <c r="K396">
        <v>1.9252148075139923</v>
      </c>
      <c r="L396">
        <v>0</v>
      </c>
      <c r="M396">
        <v>1.9033713526494045E-3</v>
      </c>
      <c r="N396">
        <v>0.19223010927080836</v>
      </c>
      <c r="O396">
        <v>2.5142168007352351E-2</v>
      </c>
      <c r="P396">
        <v>2.1061673535055375E-2</v>
      </c>
      <c r="Q396">
        <v>2.952805035420948E-3</v>
      </c>
      <c r="R396">
        <v>1.891747861134378E-3</v>
      </c>
      <c r="S396">
        <v>0.1994089632215984</v>
      </c>
      <c r="T396">
        <v>1.0582975247762694</v>
      </c>
      <c r="U396">
        <v>3.7019325901505098E-2</v>
      </c>
      <c r="V396">
        <v>0.24863481848169483</v>
      </c>
      <c r="W396">
        <v>0.1148405978166195</v>
      </c>
      <c r="X396">
        <v>2.0489730895690509E-2</v>
      </c>
      <c r="Y396">
        <v>5.1487140634929552E-3</v>
      </c>
    </row>
    <row r="397" spans="1:25" x14ac:dyDescent="0.25">
      <c r="A397" s="881"/>
      <c r="B397" s="1131">
        <v>147</v>
      </c>
      <c r="C397" s="885">
        <v>0.97463870055155499</v>
      </c>
      <c r="D397" s="885">
        <v>0.97761023179299644</v>
      </c>
      <c r="E397" s="885">
        <v>0.9999413497505214</v>
      </c>
      <c r="F397" s="885">
        <v>0.99047707480139713</v>
      </c>
      <c r="G397" s="885">
        <v>1.0241578824061934</v>
      </c>
      <c r="H397" s="885">
        <v>0.9691877661308832</v>
      </c>
      <c r="I397" s="885">
        <v>1.0063147749040431</v>
      </c>
      <c r="K397">
        <v>1.9554217596515178</v>
      </c>
      <c r="L397">
        <v>0</v>
      </c>
      <c r="M397">
        <v>1.9644614765986002E-3</v>
      </c>
      <c r="N397">
        <v>0.19785321507269918</v>
      </c>
      <c r="O397">
        <v>2.609458469643287E-2</v>
      </c>
      <c r="P397">
        <v>2.130995338711357E-2</v>
      </c>
      <c r="Q397">
        <v>3.0605007497917459E-3</v>
      </c>
      <c r="R397">
        <v>1.9523812799357816E-3</v>
      </c>
      <c r="S397">
        <v>0.21149443496669462</v>
      </c>
      <c r="T397">
        <v>1.058377715181203</v>
      </c>
      <c r="U397">
        <v>3.8291431050087622E-2</v>
      </c>
      <c r="V397">
        <v>0.25439462217130776</v>
      </c>
      <c r="W397">
        <v>0.11827052804445581</v>
      </c>
      <c r="X397">
        <v>2.0973116286725865E-2</v>
      </c>
      <c r="Y397">
        <v>5.3137382416692394E-3</v>
      </c>
    </row>
    <row r="398" spans="1:25" x14ac:dyDescent="0.25">
      <c r="A398" s="881"/>
      <c r="B398" s="1131">
        <v>148</v>
      </c>
      <c r="C398" s="885">
        <v>0.96312083296019202</v>
      </c>
      <c r="D398" s="885">
        <v>0.97789679787378747</v>
      </c>
      <c r="E398" s="885">
        <v>1.0220634658247574</v>
      </c>
      <c r="F398" s="885">
        <v>0.97923984096109429</v>
      </c>
      <c r="G398" s="885">
        <v>0.97434905158695917</v>
      </c>
      <c r="H398" s="885">
        <v>1.0399043091111471</v>
      </c>
      <c r="I398" s="885">
        <v>0.96853121384357432</v>
      </c>
      <c r="K398">
        <v>1.9932751117919172</v>
      </c>
      <c r="L398">
        <v>0</v>
      </c>
      <c r="M398">
        <v>2.0354564335470699E-3</v>
      </c>
      <c r="N398">
        <v>0.21968973151960955</v>
      </c>
      <c r="O398">
        <v>2.6402804655739728E-2</v>
      </c>
      <c r="P398">
        <v>2.1687558711093017E-2</v>
      </c>
      <c r="Q398">
        <v>3.1659200610795629E-3</v>
      </c>
      <c r="R398">
        <v>2.0237906006151563E-3</v>
      </c>
      <c r="S398">
        <v>0.21323687880975331</v>
      </c>
      <c r="T398">
        <v>1.0563551307525569</v>
      </c>
      <c r="U398">
        <v>3.8749354518904287E-2</v>
      </c>
      <c r="V398">
        <v>0.25611645154950735</v>
      </c>
      <c r="W398">
        <v>0.12936579778916463</v>
      </c>
      <c r="X398">
        <v>2.3009058384958578E-2</v>
      </c>
      <c r="Y398">
        <v>5.508090872482262E-3</v>
      </c>
    </row>
    <row r="399" spans="1:25" x14ac:dyDescent="0.25">
      <c r="A399" s="881"/>
      <c r="B399" s="1131">
        <v>149</v>
      </c>
      <c r="C399" s="885">
        <v>0.97805639089759644</v>
      </c>
      <c r="D399" s="885">
        <v>0.99134738685064827</v>
      </c>
      <c r="E399" s="885">
        <v>0.99803441011718286</v>
      </c>
      <c r="F399" s="885">
        <v>1.0150564827353299</v>
      </c>
      <c r="G399" s="885">
        <v>1.0087235293521581</v>
      </c>
      <c r="H399" s="885">
        <v>0.99845476190333171</v>
      </c>
      <c r="I399" s="885">
        <v>0.99666897525716602</v>
      </c>
      <c r="K399">
        <v>1.9575806055226597</v>
      </c>
      <c r="L399">
        <v>0</v>
      </c>
      <c r="M399">
        <v>2.0108693679220697E-3</v>
      </c>
      <c r="N399">
        <v>0.20136451503360514</v>
      </c>
      <c r="O399">
        <v>2.5824024335335358E-2</v>
      </c>
      <c r="P399">
        <v>2.1234149294962094E-2</v>
      </c>
      <c r="Q399">
        <v>3.0259271174501922E-3</v>
      </c>
      <c r="R399">
        <v>1.998854563374911E-3</v>
      </c>
      <c r="S399">
        <v>0.21043209197837254</v>
      </c>
      <c r="T399">
        <v>1.0585529567859691</v>
      </c>
      <c r="U399">
        <v>3.8157626644274314E-2</v>
      </c>
      <c r="V399">
        <v>0.2520789497014973</v>
      </c>
      <c r="W399">
        <v>0.1205267470366479</v>
      </c>
      <c r="X399">
        <v>2.0955409199814364E-2</v>
      </c>
      <c r="Y399">
        <v>5.4402231992767801E-3</v>
      </c>
    </row>
    <row r="400" spans="1:25" x14ac:dyDescent="0.25">
      <c r="A400" s="881"/>
      <c r="B400" s="1131">
        <v>150</v>
      </c>
      <c r="C400" s="885">
        <v>0.9892030585828343</v>
      </c>
      <c r="D400" s="885">
        <v>0.98256657014801452</v>
      </c>
      <c r="E400" s="885">
        <v>0.99929752288641449</v>
      </c>
      <c r="F400" s="885">
        <v>1.0187763851835314</v>
      </c>
      <c r="G400" s="885">
        <v>1.0089338405962891</v>
      </c>
      <c r="H400" s="885">
        <v>1.0154472708547966</v>
      </c>
      <c r="I400" s="885">
        <v>1.017191021419299</v>
      </c>
      <c r="K400">
        <v>1.9647014124774367</v>
      </c>
      <c r="L400">
        <v>0</v>
      </c>
      <c r="M400">
        <v>2.0255862664649224E-3</v>
      </c>
      <c r="N400">
        <v>0.20365820289337211</v>
      </c>
      <c r="O400">
        <v>2.5645929061970687E-2</v>
      </c>
      <c r="P400">
        <v>2.1302216846712019E-2</v>
      </c>
      <c r="Q400">
        <v>3.0070031134933136E-3</v>
      </c>
      <c r="R400">
        <v>2.0136934335941367E-3</v>
      </c>
      <c r="S400">
        <v>0.2149994245731276</v>
      </c>
      <c r="T400">
        <v>1.0584368649578439</v>
      </c>
      <c r="U400">
        <v>3.7727653869553603E-2</v>
      </c>
      <c r="V400">
        <v>0.251577809942793</v>
      </c>
      <c r="W400">
        <v>0.12179422686652706</v>
      </c>
      <c r="X400">
        <v>2.1083363472531421E-2</v>
      </c>
      <c r="Y400">
        <v>5.4806097123812608E-3</v>
      </c>
    </row>
    <row r="401" spans="1:25" x14ac:dyDescent="0.25">
      <c r="A401" s="881"/>
      <c r="B401" s="1131">
        <v>151</v>
      </c>
      <c r="C401" s="885">
        <v>1.0001601950083114</v>
      </c>
      <c r="D401" s="885">
        <v>0.98554102567105673</v>
      </c>
      <c r="E401" s="885">
        <v>0.98704900400663964</v>
      </c>
      <c r="F401" s="885">
        <v>1.0007376219368611</v>
      </c>
      <c r="G401" s="885">
        <v>1.0342628281946016</v>
      </c>
      <c r="H401" s="885">
        <v>0.98620478426753899</v>
      </c>
      <c r="I401" s="885">
        <v>0.98449066884069925</v>
      </c>
      <c r="K401">
        <v>1.9328526211252215</v>
      </c>
      <c r="L401">
        <v>0</v>
      </c>
      <c r="M401">
        <v>1.9934998159036859E-3</v>
      </c>
      <c r="N401">
        <v>0.19290031058140999</v>
      </c>
      <c r="O401">
        <v>2.532696129126542E-2</v>
      </c>
      <c r="P401">
        <v>2.0922469687309538E-2</v>
      </c>
      <c r="Q401">
        <v>2.9337519834108806E-3</v>
      </c>
      <c r="R401">
        <v>1.9814457752324426E-3</v>
      </c>
      <c r="S401">
        <v>0.20258773900031823</v>
      </c>
      <c r="T401">
        <v>1.0595652358777603</v>
      </c>
      <c r="U401">
        <v>3.731433303102686E-2</v>
      </c>
      <c r="V401">
        <v>0.24960800304833777</v>
      </c>
      <c r="W401">
        <v>0.11633621810759205</v>
      </c>
      <c r="X401">
        <v>1.9976810340702603E-2</v>
      </c>
      <c r="Y401">
        <v>5.3928422167584507E-3</v>
      </c>
    </row>
    <row r="402" spans="1:25" x14ac:dyDescent="0.25">
      <c r="A402" s="881"/>
      <c r="B402" s="1131">
        <v>152</v>
      </c>
      <c r="C402" s="885">
        <v>0.96193358602575363</v>
      </c>
      <c r="D402" s="885">
        <v>0.99759611816888039</v>
      </c>
      <c r="E402" s="885">
        <v>0.96247346977073378</v>
      </c>
      <c r="F402" s="885">
        <v>1.0107914718041486</v>
      </c>
      <c r="G402" s="885">
        <v>1.0072766918468428</v>
      </c>
      <c r="H402" s="885">
        <v>1.0073778962908697</v>
      </c>
      <c r="I402" s="885">
        <v>1.0270399361390457</v>
      </c>
      <c r="K402">
        <v>1.9710112307541658</v>
      </c>
      <c r="L402">
        <v>0</v>
      </c>
      <c r="M402">
        <v>2.2158422991089225E-3</v>
      </c>
      <c r="N402">
        <v>0.19862859149299181</v>
      </c>
      <c r="O402">
        <v>2.6175254729596659E-2</v>
      </c>
      <c r="P402">
        <v>2.0879451070000648E-2</v>
      </c>
      <c r="Q402">
        <v>2.9595169183729906E-3</v>
      </c>
      <c r="R402">
        <v>2.202714339423228E-3</v>
      </c>
      <c r="S402">
        <v>0.22080870348341394</v>
      </c>
      <c r="T402">
        <v>1.0618467687948707</v>
      </c>
      <c r="U402">
        <v>3.879718012041402E-2</v>
      </c>
      <c r="V402">
        <v>0.25370252801786536</v>
      </c>
      <c r="W402">
        <v>0.1218588624616993</v>
      </c>
      <c r="X402">
        <v>1.9372439317300465E-2</v>
      </c>
      <c r="Y402">
        <v>5.9950623073231858E-3</v>
      </c>
    </row>
    <row r="403" spans="1:25" x14ac:dyDescent="0.25">
      <c r="A403" s="881"/>
      <c r="B403" s="1131">
        <v>153</v>
      </c>
      <c r="C403" s="885">
        <v>1.0109154899769162</v>
      </c>
      <c r="D403" s="885">
        <v>0.99885935870076947</v>
      </c>
      <c r="E403" s="885">
        <v>0.99524769136251956</v>
      </c>
      <c r="F403" s="885">
        <v>1.0022824581215726</v>
      </c>
      <c r="G403" s="885">
        <v>0.9956485361181372</v>
      </c>
      <c r="H403" s="885">
        <v>0.99549272465922101</v>
      </c>
      <c r="I403" s="885">
        <v>1.0189068380420216</v>
      </c>
      <c r="K403">
        <v>1.9323119070967891</v>
      </c>
      <c r="L403">
        <v>0</v>
      </c>
      <c r="M403">
        <v>1.9438709716789553E-3</v>
      </c>
      <c r="N403">
        <v>0.19297062181190106</v>
      </c>
      <c r="O403">
        <v>2.4891383931913338E-2</v>
      </c>
      <c r="P403">
        <v>2.1054484337760304E-2</v>
      </c>
      <c r="Q403">
        <v>2.9100056630949104E-3</v>
      </c>
      <c r="R403">
        <v>1.9322158111164292E-3</v>
      </c>
      <c r="S403">
        <v>0.20711190885730638</v>
      </c>
      <c r="T403">
        <v>1.0588093019013864</v>
      </c>
      <c r="U403">
        <v>3.6917339748913182E-2</v>
      </c>
      <c r="V403">
        <v>0.24642571537412497</v>
      </c>
      <c r="W403">
        <v>0.11572354892976873</v>
      </c>
      <c r="X403">
        <v>2.0250397218096287E-2</v>
      </c>
      <c r="Y403">
        <v>5.2588544830879701E-3</v>
      </c>
    </row>
    <row r="404" spans="1:25" x14ac:dyDescent="0.25">
      <c r="A404" s="881"/>
      <c r="B404" s="1131">
        <v>154</v>
      </c>
      <c r="C404" s="885">
        <v>1.0270076935607808</v>
      </c>
      <c r="D404" s="885">
        <v>1.0199451496138039</v>
      </c>
      <c r="E404" s="885">
        <v>0.96555542371888603</v>
      </c>
      <c r="F404" s="885">
        <v>0.95880162147051429</v>
      </c>
      <c r="G404" s="885">
        <v>0.95865225836888901</v>
      </c>
      <c r="H404" s="885">
        <v>1.0018754089912842</v>
      </c>
      <c r="I404" s="885">
        <v>0.99358350042855725</v>
      </c>
      <c r="K404">
        <v>1.9044383166239924</v>
      </c>
      <c r="L404">
        <v>0</v>
      </c>
      <c r="M404">
        <v>2.0285032755755681E-3</v>
      </c>
      <c r="N404">
        <v>0.18358437025367996</v>
      </c>
      <c r="O404">
        <v>2.4249632563546016E-2</v>
      </c>
      <c r="P404">
        <v>2.0423656164819705E-2</v>
      </c>
      <c r="Q404">
        <v>2.754710019030846E-3</v>
      </c>
      <c r="R404">
        <v>2.0164007218273954E-3</v>
      </c>
      <c r="S404">
        <v>0.19752422166614242</v>
      </c>
      <c r="T404">
        <v>1.0615593659007521</v>
      </c>
      <c r="U404">
        <v>3.633888123225458E-2</v>
      </c>
      <c r="V404">
        <v>0.24171765725875263</v>
      </c>
      <c r="W404">
        <v>0.11238589274930716</v>
      </c>
      <c r="X404">
        <v>1.8424053310958328E-2</v>
      </c>
      <c r="Y404">
        <v>5.4879780584948636E-3</v>
      </c>
    </row>
    <row r="405" spans="1:25" x14ac:dyDescent="0.25">
      <c r="A405" s="881"/>
      <c r="B405" s="1131">
        <v>155</v>
      </c>
      <c r="C405" s="885">
        <v>0.98160001182023604</v>
      </c>
      <c r="D405" s="885">
        <v>1.0323429335945762</v>
      </c>
      <c r="E405" s="885">
        <v>1.038467879021135</v>
      </c>
      <c r="F405" s="885">
        <v>0.9788996779901864</v>
      </c>
      <c r="G405" s="885">
        <v>1.0090339416914296</v>
      </c>
      <c r="H405" s="885">
        <v>0.99773916371826055</v>
      </c>
      <c r="I405" s="885">
        <v>0.99488229276556595</v>
      </c>
      <c r="K405">
        <v>1.946058791987298</v>
      </c>
      <c r="L405">
        <v>0</v>
      </c>
      <c r="M405">
        <v>1.801893610316016E-3</v>
      </c>
      <c r="N405">
        <v>0.20458629672675302</v>
      </c>
      <c r="O405">
        <v>2.522064704438147E-2</v>
      </c>
      <c r="P405">
        <v>2.1670832378044191E-2</v>
      </c>
      <c r="Q405">
        <v>3.0852182244824225E-3</v>
      </c>
      <c r="R405">
        <v>1.791089558945325E-3</v>
      </c>
      <c r="S405">
        <v>0.20537362055098579</v>
      </c>
      <c r="T405">
        <v>1.0548676589886301</v>
      </c>
      <c r="U405">
        <v>3.8019875867474497E-2</v>
      </c>
      <c r="V405">
        <v>0.24648218179042225</v>
      </c>
      <c r="W405">
        <v>0.11915518910848144</v>
      </c>
      <c r="X405">
        <v>2.2733320012078458E-2</v>
      </c>
      <c r="Y405">
        <v>4.8747553469347523E-3</v>
      </c>
    </row>
    <row r="406" spans="1:25" x14ac:dyDescent="0.25">
      <c r="A406" s="881"/>
      <c r="B406" s="1131">
        <v>156</v>
      </c>
      <c r="C406" s="885">
        <v>1.0125231485419977</v>
      </c>
      <c r="D406" s="885">
        <v>1.0117862385236616</v>
      </c>
      <c r="E406" s="885">
        <v>1.003353672113146</v>
      </c>
      <c r="F406" s="885">
        <v>1.0055831028302296</v>
      </c>
      <c r="G406" s="885">
        <v>0.99476483670251703</v>
      </c>
      <c r="H406" s="885">
        <v>1.0196953259647616</v>
      </c>
      <c r="I406" s="885">
        <v>1.0186614682329147</v>
      </c>
      <c r="K406">
        <v>1.9379323874237049</v>
      </c>
      <c r="L406">
        <v>0</v>
      </c>
      <c r="M406">
        <v>1.9419447783721134E-3</v>
      </c>
      <c r="N406">
        <v>0.19773038273772198</v>
      </c>
      <c r="O406">
        <v>2.4694299284097679E-2</v>
      </c>
      <c r="P406">
        <v>2.1158446968671304E-2</v>
      </c>
      <c r="Q406">
        <v>2.9131971700632688E-3</v>
      </c>
      <c r="R406">
        <v>1.9305674200384032E-3</v>
      </c>
      <c r="S406">
        <v>0.20796756970781252</v>
      </c>
      <c r="T406">
        <v>1.0580644873223495</v>
      </c>
      <c r="U406">
        <v>3.6858723333542578E-2</v>
      </c>
      <c r="V406">
        <v>0.24462839713860346</v>
      </c>
      <c r="W406">
        <v>0.11792176840545582</v>
      </c>
      <c r="X406">
        <v>2.075212460775297E-2</v>
      </c>
      <c r="Y406">
        <v>5.2543681059655564E-3</v>
      </c>
    </row>
    <row r="407" spans="1:25" x14ac:dyDescent="0.25">
      <c r="A407" s="881"/>
      <c r="B407" s="1131">
        <v>157</v>
      </c>
      <c r="C407" s="885">
        <v>1.0223147750746442</v>
      </c>
      <c r="D407" s="885">
        <v>1.0135466307456868</v>
      </c>
      <c r="E407" s="885">
        <v>0.96808354034473565</v>
      </c>
      <c r="F407" s="885">
        <v>0.98588986288750746</v>
      </c>
      <c r="G407" s="885">
        <v>1.0006562631100493</v>
      </c>
      <c r="H407" s="885">
        <v>0.96346139569453326</v>
      </c>
      <c r="I407" s="885">
        <v>0.9982853028273041</v>
      </c>
      <c r="K407">
        <v>1.8957467415714244</v>
      </c>
      <c r="L407">
        <v>0</v>
      </c>
      <c r="M407">
        <v>1.955392421387142E-3</v>
      </c>
      <c r="N407">
        <v>0.17832630105567876</v>
      </c>
      <c r="O407">
        <v>2.4436779932346119E-2</v>
      </c>
      <c r="P407">
        <v>2.0462858387558586E-2</v>
      </c>
      <c r="Q407">
        <v>2.7819527221231771E-3</v>
      </c>
      <c r="R407">
        <v>1.9432661683892239E-3</v>
      </c>
      <c r="S407">
        <v>0.19617446128286301</v>
      </c>
      <c r="T407">
        <v>1.061323884235313</v>
      </c>
      <c r="U407">
        <v>3.6505694244898287E-2</v>
      </c>
      <c r="V407">
        <v>0.2430946746190335</v>
      </c>
      <c r="W407">
        <v>0.10897391313657358</v>
      </c>
      <c r="X407">
        <v>1.8389418295197694E-2</v>
      </c>
      <c r="Y407">
        <v>5.2889299128352218E-3</v>
      </c>
    </row>
    <row r="408" spans="1:25" x14ac:dyDescent="0.25">
      <c r="A408" s="881"/>
      <c r="B408" s="1131">
        <v>158</v>
      </c>
      <c r="C408" s="885">
        <v>0.96239824862982248</v>
      </c>
      <c r="D408" s="885">
        <v>0.96406590760896016</v>
      </c>
      <c r="E408" s="885">
        <v>0.96838031783449452</v>
      </c>
      <c r="F408" s="885">
        <v>1.0116770253907406</v>
      </c>
      <c r="G408" s="885">
        <v>1.0218917796231541</v>
      </c>
      <c r="H408" s="885">
        <v>1.0017500805334532</v>
      </c>
      <c r="I408" s="885">
        <v>0.99871218995040745</v>
      </c>
      <c r="K408">
        <v>1.9774820995663251</v>
      </c>
      <c r="L408">
        <v>0</v>
      </c>
      <c r="M408">
        <v>2.2125167711665511E-3</v>
      </c>
      <c r="N408">
        <v>0.20201453461524052</v>
      </c>
      <c r="O408">
        <v>2.6610357331081535E-2</v>
      </c>
      <c r="P408">
        <v>2.0980676777491322E-2</v>
      </c>
      <c r="Q408">
        <v>3.0197104782077582E-3</v>
      </c>
      <c r="R408">
        <v>2.1993663321227901E-3</v>
      </c>
      <c r="S408">
        <v>0.21741860945975891</v>
      </c>
      <c r="T408">
        <v>1.0612962570714279</v>
      </c>
      <c r="U408">
        <v>3.8778448167429883E-2</v>
      </c>
      <c r="V408">
        <v>0.25811417160987188</v>
      </c>
      <c r="W408">
        <v>0.12342399067708962</v>
      </c>
      <c r="X408">
        <v>1.9852543682648213E-2</v>
      </c>
      <c r="Y408">
        <v>5.9859501351217041E-3</v>
      </c>
    </row>
    <row r="409" spans="1:25" x14ac:dyDescent="0.25">
      <c r="A409" s="881"/>
      <c r="B409" s="1131">
        <v>159</v>
      </c>
      <c r="C409" s="885">
        <v>0.99464822853035062</v>
      </c>
      <c r="D409" s="885">
        <v>0.99877391603746202</v>
      </c>
      <c r="E409" s="885">
        <v>1.0216605122488647</v>
      </c>
      <c r="F409" s="885">
        <v>1.0040262420532191</v>
      </c>
      <c r="G409" s="885">
        <v>1.0170014522547994</v>
      </c>
      <c r="H409" s="885">
        <v>1.0006073311353616</v>
      </c>
      <c r="I409" s="885">
        <v>0.98642160928097067</v>
      </c>
      <c r="K409">
        <v>1.9453491993554162</v>
      </c>
      <c r="L409">
        <v>0</v>
      </c>
      <c r="M409">
        <v>1.8783150041832885E-3</v>
      </c>
      <c r="N409">
        <v>0.20242802989288342</v>
      </c>
      <c r="O409">
        <v>2.5299548677356617E-2</v>
      </c>
      <c r="P409">
        <v>2.1438242212161139E-2</v>
      </c>
      <c r="Q409">
        <v>3.0369085535970628E-3</v>
      </c>
      <c r="R409">
        <v>1.8671105401122242E-3</v>
      </c>
      <c r="S409">
        <v>0.20430958410950351</v>
      </c>
      <c r="T409">
        <v>1.0563918011401496</v>
      </c>
      <c r="U409">
        <v>3.7521115033864544E-2</v>
      </c>
      <c r="V409">
        <v>0.24871839845023164</v>
      </c>
      <c r="W409">
        <v>0.11923350080048942</v>
      </c>
      <c r="X409">
        <v>2.1901615551888558E-2</v>
      </c>
      <c r="Y409">
        <v>5.0816593973613431E-3</v>
      </c>
    </row>
    <row r="410" spans="1:25" x14ac:dyDescent="0.25">
      <c r="A410" s="881"/>
      <c r="B410" s="1131">
        <v>160</v>
      </c>
      <c r="C410" s="885">
        <v>1.001562263249939</v>
      </c>
      <c r="D410" s="885">
        <v>1.0059491146772896</v>
      </c>
      <c r="E410" s="885">
        <v>0.99628525459390538</v>
      </c>
      <c r="F410" s="885">
        <v>1.0108553473766553</v>
      </c>
      <c r="G410" s="885">
        <v>1.0403329067611431</v>
      </c>
      <c r="H410" s="885">
        <v>0.98577823401061604</v>
      </c>
      <c r="I410" s="885">
        <v>1.030258214480237</v>
      </c>
      <c r="K410">
        <v>1.9348054841215516</v>
      </c>
      <c r="L410">
        <v>0</v>
      </c>
      <c r="M410">
        <v>1.9318725396951899E-3</v>
      </c>
      <c r="N410">
        <v>0.19238776535445645</v>
      </c>
      <c r="O410">
        <v>2.5036060565100861E-2</v>
      </c>
      <c r="P410">
        <v>2.1115022414888433E-2</v>
      </c>
      <c r="Q410">
        <v>2.9314243602953718E-3</v>
      </c>
      <c r="R410">
        <v>1.9201694431471002E-3</v>
      </c>
      <c r="S410">
        <v>0.20968182473288915</v>
      </c>
      <c r="T410">
        <v>1.0587138230508748</v>
      </c>
      <c r="U410">
        <v>3.726209739554015E-2</v>
      </c>
      <c r="V410">
        <v>0.24685160276589602</v>
      </c>
      <c r="W410">
        <v>0.11529189033697962</v>
      </c>
      <c r="X410">
        <v>2.0319608000619386E-2</v>
      </c>
      <c r="Y410">
        <v>5.2260682405595909E-3</v>
      </c>
    </row>
    <row r="411" spans="1:25" x14ac:dyDescent="0.25">
      <c r="A411" s="881"/>
      <c r="B411" s="1131">
        <v>161</v>
      </c>
      <c r="C411" s="885">
        <v>0.98494876971239709</v>
      </c>
      <c r="D411" s="885">
        <v>1.0048813460712176</v>
      </c>
      <c r="E411" s="885">
        <v>1.0154978592622299</v>
      </c>
      <c r="F411" s="885">
        <v>1.0314729130855229</v>
      </c>
      <c r="G411" s="885">
        <v>1.0211789668534648</v>
      </c>
      <c r="H411" s="885">
        <v>0.97124082454361627</v>
      </c>
      <c r="I411" s="885">
        <v>1.0027219579699336</v>
      </c>
      <c r="K411">
        <v>1.9395139583599244</v>
      </c>
      <c r="L411">
        <v>0</v>
      </c>
      <c r="M411">
        <v>1.8596481318047498E-3</v>
      </c>
      <c r="N411">
        <v>0.19657935399685719</v>
      </c>
      <c r="O411">
        <v>2.5471729749484039E-2</v>
      </c>
      <c r="P411">
        <v>2.1388135764400955E-2</v>
      </c>
      <c r="Q411">
        <v>3.0401777798811399E-3</v>
      </c>
      <c r="R411">
        <v>1.8482147815630037E-3</v>
      </c>
      <c r="S411">
        <v>0.20612673754920902</v>
      </c>
      <c r="T411">
        <v>1.0569534181018576</v>
      </c>
      <c r="U411">
        <v>3.7890610911483574E-2</v>
      </c>
      <c r="V411">
        <v>0.24934967420421505</v>
      </c>
      <c r="W411">
        <v>0.11627151086295665</v>
      </c>
      <c r="X411">
        <v>2.142381141824597E-2</v>
      </c>
      <c r="Y411">
        <v>5.0302313715754965E-3</v>
      </c>
    </row>
    <row r="412" spans="1:25" x14ac:dyDescent="0.25">
      <c r="A412" s="881"/>
      <c r="B412" s="1131">
        <v>162</v>
      </c>
      <c r="C412" s="885">
        <v>1.0019953180077512</v>
      </c>
      <c r="D412" s="885">
        <v>1.0104423951756574</v>
      </c>
      <c r="E412" s="885">
        <v>0.96983947021851702</v>
      </c>
      <c r="F412" s="885">
        <v>1.0212751300072163</v>
      </c>
      <c r="G412" s="885">
        <v>1.0090646958497291</v>
      </c>
      <c r="H412" s="885">
        <v>1.0087810855999091</v>
      </c>
      <c r="I412" s="885">
        <v>1.0168218414662737</v>
      </c>
      <c r="K412">
        <v>1.9345609340228975</v>
      </c>
      <c r="L412">
        <v>0</v>
      </c>
      <c r="M412">
        <v>2.0843717135717145E-3</v>
      </c>
      <c r="N412">
        <v>0.19118635614685281</v>
      </c>
      <c r="O412">
        <v>2.4970155889234322E-2</v>
      </c>
      <c r="P412">
        <v>2.0708378685922561E-2</v>
      </c>
      <c r="Q412">
        <v>2.8471773334320738E-3</v>
      </c>
      <c r="R412">
        <v>2.0720289211311714E-3</v>
      </c>
      <c r="S412">
        <v>0.20878593429488421</v>
      </c>
      <c r="T412">
        <v>1.0611604733920446</v>
      </c>
      <c r="U412">
        <v>3.7245993000366677E-2</v>
      </c>
      <c r="V412">
        <v>0.24624140091534591</v>
      </c>
      <c r="W412">
        <v>0.11668922714469183</v>
      </c>
      <c r="X412">
        <v>1.9098800333395293E-2</v>
      </c>
      <c r="Y412">
        <v>5.6393796791687724E-3</v>
      </c>
    </row>
    <row r="413" spans="1:25" x14ac:dyDescent="0.25">
      <c r="A413" s="881"/>
      <c r="B413" s="1131">
        <v>163</v>
      </c>
      <c r="C413" s="885">
        <v>0.9831235535051428</v>
      </c>
      <c r="D413" s="885">
        <v>0.99121351856789497</v>
      </c>
      <c r="E413" s="885">
        <v>0.9890634461161425</v>
      </c>
      <c r="F413" s="885">
        <v>0.98737427884276641</v>
      </c>
      <c r="G413" s="885">
        <v>0.9779129100980084</v>
      </c>
      <c r="H413" s="885">
        <v>1.0350845113742209</v>
      </c>
      <c r="I413" s="885">
        <v>1.0024666203714405</v>
      </c>
      <c r="K413">
        <v>1.9691451824789781</v>
      </c>
      <c r="L413">
        <v>0</v>
      </c>
      <c r="M413">
        <v>2.1135507315012585E-3</v>
      </c>
      <c r="N413">
        <v>0.20586254777449642</v>
      </c>
      <c r="O413">
        <v>2.5692643025496353E-2</v>
      </c>
      <c r="P413">
        <v>2.114368638259671E-2</v>
      </c>
      <c r="Q413">
        <v>2.9833827563655632E-3</v>
      </c>
      <c r="R413">
        <v>2.1013694205019471E-3</v>
      </c>
      <c r="S413">
        <v>0.21437473743886976</v>
      </c>
      <c r="T413">
        <v>1.0593792584714727</v>
      </c>
      <c r="U413">
        <v>3.7960956654795132E-2</v>
      </c>
      <c r="V413">
        <v>0.2513518114986239</v>
      </c>
      <c r="W413">
        <v>0.12398116718792195</v>
      </c>
      <c r="X413">
        <v>2.070793775297575E-2</v>
      </c>
      <c r="Y413">
        <v>5.7192348463630041E-3</v>
      </c>
    </row>
    <row r="414" spans="1:25" x14ac:dyDescent="0.25">
      <c r="A414" s="881"/>
      <c r="B414" s="1131">
        <v>164</v>
      </c>
      <c r="C414" s="885">
        <v>0.99704447786767492</v>
      </c>
      <c r="D414" s="885">
        <v>1.0116020492330722</v>
      </c>
      <c r="E414" s="885">
        <v>1.0046983387293129</v>
      </c>
      <c r="F414" s="885">
        <v>1.0107697018428097</v>
      </c>
      <c r="G414" s="885">
        <v>0.98435123305410444</v>
      </c>
      <c r="H414" s="885">
        <v>0.99041217045746932</v>
      </c>
      <c r="I414" s="885">
        <v>1.0168273728846757</v>
      </c>
      <c r="K414">
        <v>1.9368447090316994</v>
      </c>
      <c r="L414">
        <v>0</v>
      </c>
      <c r="M414">
        <v>1.9102108066286435E-3</v>
      </c>
      <c r="N414">
        <v>0.19528031674877838</v>
      </c>
      <c r="O414">
        <v>2.5079923695666792E-2</v>
      </c>
      <c r="P414">
        <v>2.1213494009649288E-2</v>
      </c>
      <c r="Q414">
        <v>2.9626448915879163E-3</v>
      </c>
      <c r="R414">
        <v>1.8986886210087092E-3</v>
      </c>
      <c r="S414">
        <v>0.20782845616595577</v>
      </c>
      <c r="T414">
        <v>1.0579411807758603</v>
      </c>
      <c r="U414">
        <v>3.7430938568289183E-2</v>
      </c>
      <c r="V414">
        <v>0.24679233373188561</v>
      </c>
      <c r="W414">
        <v>0.11635380346982548</v>
      </c>
      <c r="X414">
        <v>2.0805534635970561E-2</v>
      </c>
      <c r="Y414">
        <v>5.167604523850006E-3</v>
      </c>
    </row>
    <row r="415" spans="1:25" x14ac:dyDescent="0.25">
      <c r="A415" s="881"/>
      <c r="B415" s="1131">
        <v>165</v>
      </c>
      <c r="C415" s="885">
        <v>1.0143707441504559</v>
      </c>
      <c r="D415" s="885">
        <v>1.0442944366143918</v>
      </c>
      <c r="E415" s="885">
        <v>0.99122345711318549</v>
      </c>
      <c r="F415" s="885">
        <v>0.98273287601639336</v>
      </c>
      <c r="G415" s="885">
        <v>0.98354481347299494</v>
      </c>
      <c r="H415" s="885">
        <v>1.0111464898088138</v>
      </c>
      <c r="I415" s="885">
        <v>1.023058533081749</v>
      </c>
      <c r="K415">
        <v>1.9190313324324746</v>
      </c>
      <c r="L415">
        <v>0</v>
      </c>
      <c r="M415">
        <v>1.9413839412725079E-3</v>
      </c>
      <c r="N415">
        <v>0.19033902378159617</v>
      </c>
      <c r="O415">
        <v>2.4267911633324521E-2</v>
      </c>
      <c r="P415">
        <v>2.0881655305031877E-2</v>
      </c>
      <c r="Q415">
        <v>2.8343150516085755E-3</v>
      </c>
      <c r="R415">
        <v>1.9298888460563312E-3</v>
      </c>
      <c r="S415">
        <v>0.20463567339852418</v>
      </c>
      <c r="T415">
        <v>1.0591800170685544</v>
      </c>
      <c r="U415">
        <v>3.679158810142235E-2</v>
      </c>
      <c r="V415">
        <v>0.24059533417089035</v>
      </c>
      <c r="W415">
        <v>0.1144616237343607</v>
      </c>
      <c r="X415">
        <v>1.9803164031099909E-2</v>
      </c>
      <c r="Y415">
        <v>5.2525212512782096E-3</v>
      </c>
    </row>
    <row r="416" spans="1:25" x14ac:dyDescent="0.25">
      <c r="A416" s="881"/>
      <c r="B416" s="1131">
        <v>166</v>
      </c>
      <c r="C416" s="885">
        <v>1.0031226639101531</v>
      </c>
      <c r="D416" s="885">
        <v>1.022935606065799</v>
      </c>
      <c r="E416" s="885">
        <v>1.0300609305276309</v>
      </c>
      <c r="F416" s="885">
        <v>1.0083070298340362</v>
      </c>
      <c r="G416" s="885">
        <v>0.99691865368179267</v>
      </c>
      <c r="H416" s="885">
        <v>1.0242764766579642</v>
      </c>
      <c r="I416" s="885">
        <v>0.99989264681299617</v>
      </c>
      <c r="K416">
        <v>1.94417349916821</v>
      </c>
      <c r="L416">
        <v>0</v>
      </c>
      <c r="M416">
        <v>1.8509622331804153E-3</v>
      </c>
      <c r="N416">
        <v>0.20477843765471726</v>
      </c>
      <c r="O416">
        <v>2.4791184959642717E-2</v>
      </c>
      <c r="P416">
        <v>2.1513462037870027E-2</v>
      </c>
      <c r="Q416">
        <v>3.0057421603531848E-3</v>
      </c>
      <c r="R416">
        <v>1.8401582805981746E-3</v>
      </c>
      <c r="S416">
        <v>0.20547353519002839</v>
      </c>
      <c r="T416">
        <v>1.0556286436276532</v>
      </c>
      <c r="U416">
        <v>3.7204134592516348E-2</v>
      </c>
      <c r="V416">
        <v>0.2445829040936853</v>
      </c>
      <c r="W416">
        <v>0.11993890889169616</v>
      </c>
      <c r="X416">
        <v>2.2259045680855398E-2</v>
      </c>
      <c r="Y416">
        <v>5.0083042317740616E-3</v>
      </c>
    </row>
    <row r="417" spans="1:25" x14ac:dyDescent="0.25">
      <c r="A417" s="881"/>
      <c r="B417" s="1131">
        <v>167</v>
      </c>
      <c r="C417" s="885">
        <v>1.0033464336982394</v>
      </c>
      <c r="D417" s="885">
        <v>0.97127200925446222</v>
      </c>
      <c r="E417" s="885">
        <v>0.96316325004761394</v>
      </c>
      <c r="F417" s="885">
        <v>0.98895404076336324</v>
      </c>
      <c r="G417" s="885">
        <v>0.96392274449634263</v>
      </c>
      <c r="H417" s="885">
        <v>0.95186473034734453</v>
      </c>
      <c r="I417" s="885">
        <v>0.96806607776987486</v>
      </c>
      <c r="K417">
        <v>1.9136059361241247</v>
      </c>
      <c r="L417">
        <v>0</v>
      </c>
      <c r="M417">
        <v>2.0311648611475658E-3</v>
      </c>
      <c r="N417">
        <v>0.18240501731077147</v>
      </c>
      <c r="O417">
        <v>2.5430004516737902E-2</v>
      </c>
      <c r="P417">
        <v>2.0510089809284919E-2</v>
      </c>
      <c r="Q417">
        <v>2.8718947688474096E-3</v>
      </c>
      <c r="R417">
        <v>2.018452964086427E-3</v>
      </c>
      <c r="S417">
        <v>0.19651105799016164</v>
      </c>
      <c r="T417">
        <v>1.0617824125311701</v>
      </c>
      <c r="U417">
        <v>3.7195837197883677E-2</v>
      </c>
      <c r="V417">
        <v>0.25099841276853069</v>
      </c>
      <c r="W417">
        <v>0.11185148153659058</v>
      </c>
      <c r="X417">
        <v>1.8568876005803682E-2</v>
      </c>
      <c r="Y417">
        <v>5.4935635854024703E-3</v>
      </c>
    </row>
    <row r="418" spans="1:25" x14ac:dyDescent="0.25">
      <c r="A418" s="881"/>
      <c r="B418" s="1131">
        <v>168</v>
      </c>
      <c r="C418" s="885">
        <v>1.0040665061125509</v>
      </c>
      <c r="D418" s="885">
        <v>1.0119382966118846</v>
      </c>
      <c r="E418" s="885">
        <v>1.0155017725033895</v>
      </c>
      <c r="F418" s="885">
        <v>0.98927626164314331</v>
      </c>
      <c r="G418" s="885">
        <v>1.0456137779289851</v>
      </c>
      <c r="H418" s="885">
        <v>0.99891859806311822</v>
      </c>
      <c r="I418" s="885">
        <v>0.99511891881423353</v>
      </c>
      <c r="K418">
        <v>1.9328018112782654</v>
      </c>
      <c r="L418">
        <v>0</v>
      </c>
      <c r="M418">
        <v>1.8697352630557488E-3</v>
      </c>
      <c r="N418">
        <v>0.19768134941696158</v>
      </c>
      <c r="O418">
        <v>2.4900435094149066E-2</v>
      </c>
      <c r="P418">
        <v>2.1282739320730253E-2</v>
      </c>
      <c r="Q418">
        <v>2.9734474132553841E-3</v>
      </c>
      <c r="R418">
        <v>1.8585530050600548E-3</v>
      </c>
      <c r="S418">
        <v>0.20278648738743593</v>
      </c>
      <c r="T418">
        <v>1.0569530610081339</v>
      </c>
      <c r="U418">
        <v>3.7169161976540945E-2</v>
      </c>
      <c r="V418">
        <v>0.24577280716665148</v>
      </c>
      <c r="W418">
        <v>0.11692300242168842</v>
      </c>
      <c r="X418">
        <v>2.1312133722771028E-2</v>
      </c>
      <c r="Y418">
        <v>5.0583686079400079E-3</v>
      </c>
    </row>
    <row r="419" spans="1:25" x14ac:dyDescent="0.25">
      <c r="A419" s="881"/>
      <c r="B419" s="1131">
        <v>169</v>
      </c>
      <c r="C419" s="885">
        <v>0.99770350974548416</v>
      </c>
      <c r="D419" s="885">
        <v>1.0191986650607499</v>
      </c>
      <c r="E419" s="885">
        <v>0.99396290097937079</v>
      </c>
      <c r="F419" s="885">
        <v>1.0247760168715092</v>
      </c>
      <c r="G419" s="885">
        <v>1.0157612136062903</v>
      </c>
      <c r="H419" s="885">
        <v>1.0432219942367389</v>
      </c>
      <c r="I419" s="885">
        <v>1.0153751703870932</v>
      </c>
      <c r="K419">
        <v>1.9536382744000758</v>
      </c>
      <c r="L419">
        <v>0</v>
      </c>
      <c r="M419">
        <v>2.0491279438515976E-3</v>
      </c>
      <c r="N419">
        <v>0.20266211592337766</v>
      </c>
      <c r="O419">
        <v>2.4970907840633341E-2</v>
      </c>
      <c r="P419">
        <v>2.1101154466662213E-2</v>
      </c>
      <c r="Q419">
        <v>2.9196074841322975E-3</v>
      </c>
      <c r="R419">
        <v>2.0373874728970816E-3</v>
      </c>
      <c r="S419">
        <v>0.2120734709682647</v>
      </c>
      <c r="T419">
        <v>1.0589275891958712</v>
      </c>
      <c r="U419">
        <v>3.7406213605921203E-2</v>
      </c>
      <c r="V419">
        <v>0.24578445209740268</v>
      </c>
      <c r="W419">
        <v>0.1216427845559408</v>
      </c>
      <c r="X419">
        <v>2.0616621656199763E-2</v>
      </c>
      <c r="Y419">
        <v>5.5450970766259171E-3</v>
      </c>
    </row>
    <row r="420" spans="1:25" x14ac:dyDescent="0.25">
      <c r="A420" s="881"/>
      <c r="B420" s="1131">
        <v>170</v>
      </c>
      <c r="C420" s="885">
        <v>1.0260897230254553</v>
      </c>
      <c r="D420" s="885">
        <v>1.0157285850328854</v>
      </c>
      <c r="E420" s="885">
        <v>1.0010667005658149</v>
      </c>
      <c r="F420" s="885">
        <v>0.98285211628579028</v>
      </c>
      <c r="G420" s="885">
        <v>1.0203279201627664</v>
      </c>
      <c r="H420" s="885">
        <v>1.0377660697413562</v>
      </c>
      <c r="I420" s="885">
        <v>1.0209694113322449</v>
      </c>
      <c r="K420">
        <v>1.9340806848705225</v>
      </c>
      <c r="L420">
        <v>0</v>
      </c>
      <c r="M420">
        <v>1.9558889084682353E-3</v>
      </c>
      <c r="N420">
        <v>0.19775847166233404</v>
      </c>
      <c r="O420">
        <v>2.4321027079399656E-2</v>
      </c>
      <c r="P420">
        <v>2.1075769750347501E-2</v>
      </c>
      <c r="Q420">
        <v>2.8633535136880156E-3</v>
      </c>
      <c r="R420">
        <v>1.9446263765095612E-3</v>
      </c>
      <c r="S420">
        <v>0.20712209684879623</v>
      </c>
      <c r="T420">
        <v>1.0582743655293396</v>
      </c>
      <c r="U420">
        <v>3.6371391081548722E-2</v>
      </c>
      <c r="V420">
        <v>0.24233476143580701</v>
      </c>
      <c r="W420">
        <v>0.11812293439146283</v>
      </c>
      <c r="X420">
        <v>2.0555144158811156E-2</v>
      </c>
      <c r="Y420">
        <v>5.2926319509462938E-3</v>
      </c>
    </row>
    <row r="421" spans="1:25" x14ac:dyDescent="0.25">
      <c r="A421" s="881"/>
      <c r="B421" s="1131">
        <v>171</v>
      </c>
      <c r="C421" s="885">
        <v>0.99073855574169911</v>
      </c>
      <c r="D421" s="885">
        <v>0.97786910446533637</v>
      </c>
      <c r="E421" s="885">
        <v>0.96270461717740607</v>
      </c>
      <c r="F421" s="885">
        <v>1.0330759727416785</v>
      </c>
      <c r="G421" s="885">
        <v>0.95974742453302986</v>
      </c>
      <c r="H421" s="885">
        <v>0.99183121475958014</v>
      </c>
      <c r="I421" s="885">
        <v>1.024264730599477</v>
      </c>
      <c r="K421">
        <v>1.9491351621568793</v>
      </c>
      <c r="L421">
        <v>0</v>
      </c>
      <c r="M421">
        <v>2.138244631250084E-3</v>
      </c>
      <c r="N421">
        <v>0.19179468469541169</v>
      </c>
      <c r="O421">
        <v>2.5667163793186638E-2</v>
      </c>
      <c r="P421">
        <v>2.0756366656531876E-2</v>
      </c>
      <c r="Q421">
        <v>2.8986971872943185E-3</v>
      </c>
      <c r="R421">
        <v>2.1253957274821322E-3</v>
      </c>
      <c r="S421">
        <v>0.21413843037854233</v>
      </c>
      <c r="T421">
        <v>1.0618252007745597</v>
      </c>
      <c r="U421">
        <v>3.7669181626809385E-2</v>
      </c>
      <c r="V421">
        <v>0.25196439058398562</v>
      </c>
      <c r="W421">
        <v>0.11764714929363544</v>
      </c>
      <c r="X421">
        <v>1.900211953699665E-2</v>
      </c>
      <c r="Y421">
        <v>5.7846265336931012E-3</v>
      </c>
    </row>
    <row r="422" spans="1:25" x14ac:dyDescent="0.25">
      <c r="A422" s="881"/>
      <c r="B422" s="1131">
        <v>172</v>
      </c>
      <c r="C422" s="885">
        <v>1.0039710295512658</v>
      </c>
      <c r="D422" s="885">
        <v>1.0425350573445551</v>
      </c>
      <c r="E422" s="885">
        <v>1.007495211298457</v>
      </c>
      <c r="F422" s="885">
        <v>0.99978816871331466</v>
      </c>
      <c r="G422" s="885">
        <v>0.99220467119231892</v>
      </c>
      <c r="H422" s="885">
        <v>1.0153187919535278</v>
      </c>
      <c r="I422" s="885">
        <v>1.0171493198166712</v>
      </c>
      <c r="K422">
        <v>1.9310626458195745</v>
      </c>
      <c r="L422">
        <v>0</v>
      </c>
      <c r="M422">
        <v>1.9048238776553593E-3</v>
      </c>
      <c r="N422">
        <v>0.19645749145021385</v>
      </c>
      <c r="O422">
        <v>2.4539646485942739E-2</v>
      </c>
      <c r="P422">
        <v>2.1164101475953656E-2</v>
      </c>
      <c r="Q422">
        <v>2.9129954600496891E-3</v>
      </c>
      <c r="R422">
        <v>1.8935928933628693E-3</v>
      </c>
      <c r="S422">
        <v>0.20613852237261968</v>
      </c>
      <c r="T422">
        <v>1.0576849321175679</v>
      </c>
      <c r="U422">
        <v>3.7172696723726702E-2</v>
      </c>
      <c r="V422">
        <v>0.24218558061271961</v>
      </c>
      <c r="W422">
        <v>0.11683234962583114</v>
      </c>
      <c r="X422">
        <v>2.0831824846237794E-2</v>
      </c>
      <c r="Y422">
        <v>5.1537356330041955E-3</v>
      </c>
    </row>
    <row r="423" spans="1:25" x14ac:dyDescent="0.25">
      <c r="A423" s="881"/>
      <c r="B423" s="1131">
        <v>173</v>
      </c>
      <c r="C423" s="885">
        <v>1.0102149898248769</v>
      </c>
      <c r="D423" s="885">
        <v>0.99020398786450359</v>
      </c>
      <c r="E423" s="885">
        <v>1.0331109504603817</v>
      </c>
      <c r="F423" s="885">
        <v>1.0413887422888835</v>
      </c>
      <c r="G423" s="885">
        <v>1.0042905285665995</v>
      </c>
      <c r="H423" s="885">
        <v>0.98739686139542138</v>
      </c>
      <c r="I423" s="885">
        <v>0.98292880800973381</v>
      </c>
      <c r="K423">
        <v>1.932935226590822</v>
      </c>
      <c r="L423">
        <v>0</v>
      </c>
      <c r="M423">
        <v>1.7889099510732169E-3</v>
      </c>
      <c r="N423">
        <v>0.19975479733367565</v>
      </c>
      <c r="O423">
        <v>2.5016261889612996E-2</v>
      </c>
      <c r="P423">
        <v>2.1518329985795559E-2</v>
      </c>
      <c r="Q423">
        <v>3.0353134287280288E-3</v>
      </c>
      <c r="R423">
        <v>1.7781025041820506E-3</v>
      </c>
      <c r="S423">
        <v>0.19993710093321218</v>
      </c>
      <c r="T423">
        <v>1.0553522402774724</v>
      </c>
      <c r="U423">
        <v>3.6942938856397746E-2</v>
      </c>
      <c r="V423">
        <v>0.24759609408297861</v>
      </c>
      <c r="W423">
        <v>0.11675793907749714</v>
      </c>
      <c r="X423">
        <v>2.2195609307291704E-2</v>
      </c>
      <c r="Y423">
        <v>4.8394088650505701E-3</v>
      </c>
    </row>
    <row r="424" spans="1:25" x14ac:dyDescent="0.25">
      <c r="A424" s="881"/>
      <c r="B424" s="1131">
        <v>174</v>
      </c>
      <c r="C424" s="885">
        <v>0.97279170619173849</v>
      </c>
      <c r="D424" s="885">
        <v>1.0295971741703067</v>
      </c>
      <c r="E424" s="885">
        <v>1.000371336709877</v>
      </c>
      <c r="F424" s="885">
        <v>0.97457985583613893</v>
      </c>
      <c r="G424" s="885">
        <v>0.98937330728477157</v>
      </c>
      <c r="H424" s="885">
        <v>0.98588218381878356</v>
      </c>
      <c r="I424" s="885">
        <v>0.9967393996991708</v>
      </c>
      <c r="K424">
        <v>1.9412770242954633</v>
      </c>
      <c r="L424">
        <v>0</v>
      </c>
      <c r="M424">
        <v>1.9496980090152926E-3</v>
      </c>
      <c r="N424">
        <v>0.19664545910855544</v>
      </c>
      <c r="O424">
        <v>2.5482442152929146E-2</v>
      </c>
      <c r="P424">
        <v>2.1165054553441181E-2</v>
      </c>
      <c r="Q424">
        <v>3.0008011452669434E-3</v>
      </c>
      <c r="R424">
        <v>1.9378692886226874E-3</v>
      </c>
      <c r="S424">
        <v>0.20666100027340772</v>
      </c>
      <c r="T424">
        <v>1.0583382203354663</v>
      </c>
      <c r="U424">
        <v>3.8364133208965707E-2</v>
      </c>
      <c r="V424">
        <v>0.2480799298591331</v>
      </c>
      <c r="W424">
        <v>0.1175139932573516</v>
      </c>
      <c r="X424">
        <v>2.0763577736146271E-2</v>
      </c>
      <c r="Y424">
        <v>5.2742413851916466E-3</v>
      </c>
    </row>
    <row r="425" spans="1:25" x14ac:dyDescent="0.25">
      <c r="A425" s="881"/>
      <c r="B425" s="1131">
        <v>175</v>
      </c>
      <c r="C425" s="885">
        <v>0.97699466966750903</v>
      </c>
      <c r="D425" s="885">
        <v>1.0082055307670252</v>
      </c>
      <c r="E425" s="885">
        <v>0.99690643662363154</v>
      </c>
      <c r="F425" s="885">
        <v>1.0154691310819035</v>
      </c>
      <c r="G425" s="885">
        <v>1.0237890265464444</v>
      </c>
      <c r="H425" s="885">
        <v>0.99391927329126883</v>
      </c>
      <c r="I425" s="885">
        <v>1.0075370898387828</v>
      </c>
      <c r="K425">
        <v>1.9515974343914051</v>
      </c>
      <c r="L425">
        <v>0</v>
      </c>
      <c r="M425">
        <v>1.9919915892048514E-3</v>
      </c>
      <c r="N425">
        <v>0.19876836697228276</v>
      </c>
      <c r="O425">
        <v>2.5637198323236125E-2</v>
      </c>
      <c r="P425">
        <v>2.1196803451976502E-2</v>
      </c>
      <c r="Q425">
        <v>3.0041566151740541E-3</v>
      </c>
      <c r="R425">
        <v>1.9800212860119136E-3</v>
      </c>
      <c r="S425">
        <v>0.21084436594093384</v>
      </c>
      <c r="T425">
        <v>1.0586566805676749</v>
      </c>
      <c r="U425">
        <v>3.8199093362114009E-2</v>
      </c>
      <c r="V425">
        <v>0.25009398659277371</v>
      </c>
      <c r="W425">
        <v>0.11906484425853246</v>
      </c>
      <c r="X425">
        <v>2.0754943383216002E-2</v>
      </c>
      <c r="Y425">
        <v>5.388965226682918E-3</v>
      </c>
    </row>
    <row r="426" spans="1:25" x14ac:dyDescent="0.25">
      <c r="A426" s="881"/>
      <c r="B426" s="1131">
        <v>176</v>
      </c>
      <c r="C426" s="885">
        <v>0.9820010526491868</v>
      </c>
      <c r="D426" s="885">
        <v>0.97764168906720372</v>
      </c>
      <c r="E426" s="885">
        <v>0.98464390209954133</v>
      </c>
      <c r="F426" s="885">
        <v>0.9728734418789875</v>
      </c>
      <c r="G426" s="885">
        <v>1.0009330236222143</v>
      </c>
      <c r="H426" s="885">
        <v>1.0386476075284128</v>
      </c>
      <c r="I426" s="885">
        <v>1.013042876890742</v>
      </c>
      <c r="K426">
        <v>1.9787552900936147</v>
      </c>
      <c r="L426">
        <v>0</v>
      </c>
      <c r="M426">
        <v>2.1577580677634937E-3</v>
      </c>
      <c r="N426">
        <v>0.2073009193486384</v>
      </c>
      <c r="O426">
        <v>2.5898532088382761E-2</v>
      </c>
      <c r="P426">
        <v>2.1162955072139947E-2</v>
      </c>
      <c r="Q426">
        <v>2.9909669981968996E-3</v>
      </c>
      <c r="R426">
        <v>2.1453765491913639E-3</v>
      </c>
      <c r="S426">
        <v>0.21864228467689117</v>
      </c>
      <c r="T426">
        <v>1.0597874862480912</v>
      </c>
      <c r="U426">
        <v>3.8004348875427647E-2</v>
      </c>
      <c r="V426">
        <v>0.25328287233708602</v>
      </c>
      <c r="W426">
        <v>0.12522904256416262</v>
      </c>
      <c r="X426">
        <v>2.0629255659459778E-2</v>
      </c>
      <c r="Y426">
        <v>5.839007743709523E-3</v>
      </c>
    </row>
    <row r="427" spans="1:25" x14ac:dyDescent="0.25">
      <c r="A427" s="881"/>
      <c r="B427" s="1131">
        <v>177</v>
      </c>
      <c r="C427" s="885">
        <v>1.0164172732030261</v>
      </c>
      <c r="D427" s="885">
        <v>1.0109486152242235</v>
      </c>
      <c r="E427" s="885">
        <v>1.0112823397865573</v>
      </c>
      <c r="F427" s="885">
        <v>0.99875148174355688</v>
      </c>
      <c r="G427" s="885">
        <v>1.0064340243921797</v>
      </c>
      <c r="H427" s="885">
        <v>1.0124567601852128</v>
      </c>
      <c r="I427" s="885">
        <v>1.0019112636413177</v>
      </c>
      <c r="K427">
        <v>1.930432803534023</v>
      </c>
      <c r="L427">
        <v>0</v>
      </c>
      <c r="M427">
        <v>1.8897040137807709E-3</v>
      </c>
      <c r="N427">
        <v>0.19720552963132656</v>
      </c>
      <c r="O427">
        <v>2.4609760965741943E-2</v>
      </c>
      <c r="P427">
        <v>2.1198702772225061E-2</v>
      </c>
      <c r="Q427">
        <v>2.9261922511334827E-3</v>
      </c>
      <c r="R427">
        <v>1.8785542031988639E-3</v>
      </c>
      <c r="S427">
        <v>0.20312342409799852</v>
      </c>
      <c r="T427">
        <v>1.0573384428850987</v>
      </c>
      <c r="U427">
        <v>3.6717509220705956E-2</v>
      </c>
      <c r="V427">
        <v>0.24420035116275743</v>
      </c>
      <c r="W427">
        <v>0.11697567439716897</v>
      </c>
      <c r="X427">
        <v>2.1035560684565958E-2</v>
      </c>
      <c r="Y427">
        <v>5.112805275880654E-3</v>
      </c>
    </row>
    <row r="428" spans="1:25" x14ac:dyDescent="0.25">
      <c r="A428" s="881"/>
      <c r="B428" s="1131">
        <v>178</v>
      </c>
      <c r="C428" s="885">
        <v>0.98468211563351682</v>
      </c>
      <c r="D428" s="885">
        <v>0.98519162955171202</v>
      </c>
      <c r="E428" s="885">
        <v>1.0468735084740377</v>
      </c>
      <c r="F428" s="885">
        <v>0.98074836788767117</v>
      </c>
      <c r="G428" s="885">
        <v>0.96478795151066477</v>
      </c>
      <c r="H428" s="885">
        <v>1.030281886226017</v>
      </c>
      <c r="I428" s="885">
        <v>0.98688348198839071</v>
      </c>
      <c r="K428">
        <v>1.9777133500851232</v>
      </c>
      <c r="L428">
        <v>0</v>
      </c>
      <c r="M428">
        <v>1.8646590174527591E-3</v>
      </c>
      <c r="N428">
        <v>0.21734973667233146</v>
      </c>
      <c r="O428">
        <v>2.5729597020891708E-2</v>
      </c>
      <c r="P428">
        <v>2.1942990132468778E-2</v>
      </c>
      <c r="Q428">
        <v>3.1632739928629363E-3</v>
      </c>
      <c r="R428">
        <v>1.8538666635391217E-3</v>
      </c>
      <c r="S428">
        <v>0.21080965225616616</v>
      </c>
      <c r="T428">
        <v>1.0541095633361284</v>
      </c>
      <c r="U428">
        <v>3.7900871772110989E-2</v>
      </c>
      <c r="V428">
        <v>0.25189616347933985</v>
      </c>
      <c r="W428">
        <v>0.12588401670019833</v>
      </c>
      <c r="X428">
        <v>2.3892663145365645E-2</v>
      </c>
      <c r="Y428">
        <v>5.0456139311720986E-3</v>
      </c>
    </row>
    <row r="429" spans="1:25" x14ac:dyDescent="0.25">
      <c r="A429" s="881"/>
      <c r="B429" s="1131">
        <v>179</v>
      </c>
      <c r="C429" s="885">
        <v>0.99370301458869625</v>
      </c>
      <c r="D429" s="885">
        <v>1.0271109573605071</v>
      </c>
      <c r="E429" s="885">
        <v>0.97951636644318296</v>
      </c>
      <c r="F429" s="885">
        <v>1.0298136606224852</v>
      </c>
      <c r="G429" s="885">
        <v>1.0084497572476814</v>
      </c>
      <c r="H429" s="885">
        <v>1.0310759016595399</v>
      </c>
      <c r="I429" s="885">
        <v>0.99256780215494766</v>
      </c>
      <c r="K429">
        <v>1.9405594580837737</v>
      </c>
      <c r="L429">
        <v>0</v>
      </c>
      <c r="M429">
        <v>2.0881294243285365E-3</v>
      </c>
      <c r="N429">
        <v>0.19742021629563661</v>
      </c>
      <c r="O429">
        <v>2.4975950728912094E-2</v>
      </c>
      <c r="P429">
        <v>2.0807957911104572E-2</v>
      </c>
      <c r="Q429">
        <v>2.8793259749759661E-3</v>
      </c>
      <c r="R429">
        <v>2.0760181359196065E-3</v>
      </c>
      <c r="S429">
        <v>0.20619645773760847</v>
      </c>
      <c r="T429">
        <v>1.0602620605826398</v>
      </c>
      <c r="U429">
        <v>3.755680525570719E-2</v>
      </c>
      <c r="V429">
        <v>0.24539920909722207</v>
      </c>
      <c r="W429">
        <v>0.11968463480757527</v>
      </c>
      <c r="X429">
        <v>1.9738713974022885E-2</v>
      </c>
      <c r="Y429">
        <v>5.6502370067785879E-3</v>
      </c>
    </row>
    <row r="430" spans="1:25" x14ac:dyDescent="0.25">
      <c r="A430" s="881"/>
      <c r="B430" s="1131">
        <v>180</v>
      </c>
      <c r="C430" s="885">
        <v>1.0223921155820879</v>
      </c>
      <c r="D430" s="885">
        <v>0.99250490817386039</v>
      </c>
      <c r="E430" s="885">
        <v>0.98871003700144344</v>
      </c>
      <c r="F430" s="885">
        <v>1.0235420237988504</v>
      </c>
      <c r="G430" s="885">
        <v>0.99621689030112226</v>
      </c>
      <c r="H430" s="885">
        <v>0.96740230924740711</v>
      </c>
      <c r="I430" s="885">
        <v>0.96789323644651848</v>
      </c>
      <c r="K430">
        <v>1.9029547741937864</v>
      </c>
      <c r="L430">
        <v>0</v>
      </c>
      <c r="M430">
        <v>1.8996661749361955E-3</v>
      </c>
      <c r="N430">
        <v>0.18475136029729891</v>
      </c>
      <c r="O430">
        <v>2.4689891651943293E-2</v>
      </c>
      <c r="P430">
        <v>2.0744030133685636E-2</v>
      </c>
      <c r="Q430">
        <v>2.8661816028034181E-3</v>
      </c>
      <c r="R430">
        <v>1.8879505176721892E-3</v>
      </c>
      <c r="S430">
        <v>0.1924037580455196</v>
      </c>
      <c r="T430">
        <v>1.0594118745169192</v>
      </c>
      <c r="U430">
        <v>3.6502932712532708E-2</v>
      </c>
      <c r="V430">
        <v>0.24563240936237454</v>
      </c>
      <c r="W430">
        <v>0.11129402806738707</v>
      </c>
      <c r="X430">
        <v>1.9531644514201526E-2</v>
      </c>
      <c r="Y430">
        <v>5.1383789463828123E-3</v>
      </c>
    </row>
    <row r="431" spans="1:25" x14ac:dyDescent="0.25">
      <c r="A431" s="881"/>
      <c r="B431" s="1131">
        <v>181</v>
      </c>
      <c r="C431" s="885">
        <v>1.0116907291633452</v>
      </c>
      <c r="D431" s="885">
        <v>1.0269845752226867</v>
      </c>
      <c r="E431" s="885">
        <v>0.99983859776445017</v>
      </c>
      <c r="F431" s="885">
        <v>1.0288735102922544</v>
      </c>
      <c r="G431" s="885">
        <v>0.96623894584789594</v>
      </c>
      <c r="H431" s="885">
        <v>1.0324037524630865</v>
      </c>
      <c r="I431" s="885">
        <v>1.0339526439454134</v>
      </c>
      <c r="K431">
        <v>1.9404831736146013</v>
      </c>
      <c r="L431">
        <v>0</v>
      </c>
      <c r="M431">
        <v>1.9678630572211126E-3</v>
      </c>
      <c r="N431">
        <v>0.19820359457333661</v>
      </c>
      <c r="O431">
        <v>2.4533370748214722E-2</v>
      </c>
      <c r="P431">
        <v>2.112794320425267E-2</v>
      </c>
      <c r="Q431">
        <v>2.8869872144730783E-3</v>
      </c>
      <c r="R431">
        <v>1.956464097786409E-3</v>
      </c>
      <c r="S431">
        <v>0.211122187576255</v>
      </c>
      <c r="T431">
        <v>1.0583871541472116</v>
      </c>
      <c r="U431">
        <v>3.6889050700089271E-2</v>
      </c>
      <c r="V431">
        <v>0.2429418418138316</v>
      </c>
      <c r="W431">
        <v>0.1184883049832294</v>
      </c>
      <c r="X431">
        <v>2.0589287287182734E-2</v>
      </c>
      <c r="Y431">
        <v>5.3248503259581033E-3</v>
      </c>
    </row>
    <row r="432" spans="1:25" x14ac:dyDescent="0.25">
      <c r="A432" s="881"/>
      <c r="B432" s="1131">
        <v>182</v>
      </c>
      <c r="C432" s="885">
        <v>1.0042048009682674</v>
      </c>
      <c r="D432" s="885">
        <v>1.0067549221142984</v>
      </c>
      <c r="E432" s="885">
        <v>1.0235144798913698</v>
      </c>
      <c r="F432" s="885">
        <v>1.0013437036504553</v>
      </c>
      <c r="G432" s="885">
        <v>1.0351788829976218</v>
      </c>
      <c r="H432" s="885">
        <v>1.0030271401619206</v>
      </c>
      <c r="I432" s="885">
        <v>0.96443326210122127</v>
      </c>
      <c r="K432">
        <v>1.9317701005455283</v>
      </c>
      <c r="L432">
        <v>0</v>
      </c>
      <c r="M432">
        <v>1.8503517570427435E-3</v>
      </c>
      <c r="N432">
        <v>0.20056823608546184</v>
      </c>
      <c r="O432">
        <v>2.4960292519814083E-2</v>
      </c>
      <c r="P432">
        <v>2.1331226220756845E-2</v>
      </c>
      <c r="Q432">
        <v>3.003368316584092E-3</v>
      </c>
      <c r="R432">
        <v>1.8393346597228018E-3</v>
      </c>
      <c r="S432">
        <v>0.19736741254012874</v>
      </c>
      <c r="T432">
        <v>1.0562231352720404</v>
      </c>
      <c r="U432">
        <v>3.716404319610115E-2</v>
      </c>
      <c r="V432">
        <v>0.24638490183192696</v>
      </c>
      <c r="W432">
        <v>0.11799061565208831</v>
      </c>
      <c r="X432">
        <v>2.1781823400688061E-2</v>
      </c>
      <c r="Y432">
        <v>5.0060626072578459E-3</v>
      </c>
    </row>
    <row r="433" spans="1:25" x14ac:dyDescent="0.25">
      <c r="A433" s="881"/>
      <c r="B433" s="1131">
        <v>183</v>
      </c>
      <c r="C433" s="885">
        <v>1.0075694105346682</v>
      </c>
      <c r="D433" s="885">
        <v>0.98816413414665416</v>
      </c>
      <c r="E433" s="885">
        <v>1.0043344529670204</v>
      </c>
      <c r="F433" s="885">
        <v>1.0113307171026784</v>
      </c>
      <c r="G433" s="885">
        <v>0.98405554217404068</v>
      </c>
      <c r="H433" s="885">
        <v>1.021096464436263</v>
      </c>
      <c r="I433" s="885">
        <v>0.97472352996462841</v>
      </c>
      <c r="K433">
        <v>1.9427189959351159</v>
      </c>
      <c r="L433">
        <v>0</v>
      </c>
      <c r="M433">
        <v>1.9730582970764808E-3</v>
      </c>
      <c r="N433">
        <v>0.20151572179788402</v>
      </c>
      <c r="O433">
        <v>2.5107601286306486E-2</v>
      </c>
      <c r="P433">
        <v>2.1146697152787171E-2</v>
      </c>
      <c r="Q433">
        <v>2.9599910465347217E-3</v>
      </c>
      <c r="R433">
        <v>1.9615333971999059E-3</v>
      </c>
      <c r="S433">
        <v>0.20229586216039369</v>
      </c>
      <c r="T433">
        <v>1.0579745423104912</v>
      </c>
      <c r="U433">
        <v>3.7039940088209725E-2</v>
      </c>
      <c r="V433">
        <v>0.24822302553367495</v>
      </c>
      <c r="W433">
        <v>0.1200988477833575</v>
      </c>
      <c r="X433">
        <v>2.1029644387484555E-2</v>
      </c>
      <c r="Y433">
        <v>5.3386472878675408E-3</v>
      </c>
    </row>
    <row r="434" spans="1:25" x14ac:dyDescent="0.25">
      <c r="A434" s="881"/>
      <c r="B434" s="1131">
        <v>184</v>
      </c>
      <c r="C434" s="885">
        <v>1.0191277672225618</v>
      </c>
      <c r="D434" s="885">
        <v>1.0239424721106529</v>
      </c>
      <c r="E434" s="885">
        <v>1.0128242057630577</v>
      </c>
      <c r="F434" s="885">
        <v>1.0308381203586228</v>
      </c>
      <c r="G434" s="885">
        <v>1.0117454112187891</v>
      </c>
      <c r="H434" s="885">
        <v>0.98085657291367623</v>
      </c>
      <c r="I434" s="885">
        <v>0.99065629314784875</v>
      </c>
      <c r="K434">
        <v>1.9080932836558215</v>
      </c>
      <c r="L434">
        <v>0</v>
      </c>
      <c r="M434">
        <v>1.8084928307775547E-3</v>
      </c>
      <c r="N434">
        <v>0.18959990668446325</v>
      </c>
      <c r="O434">
        <v>2.4390004350786886E-2</v>
      </c>
      <c r="P434">
        <v>2.1096152460268622E-2</v>
      </c>
      <c r="Q434">
        <v>2.9070980792298734E-3</v>
      </c>
      <c r="R434">
        <v>1.7974687369286114E-3</v>
      </c>
      <c r="S434">
        <v>0.19606644984845495</v>
      </c>
      <c r="T434">
        <v>1.057197535950374</v>
      </c>
      <c r="U434">
        <v>3.661985454740993E-2</v>
      </c>
      <c r="V434">
        <v>0.24230043522245595</v>
      </c>
      <c r="W434">
        <v>0.11234667873904308</v>
      </c>
      <c r="X434">
        <v>2.0688074500673947E-2</v>
      </c>
      <c r="Y434">
        <v>4.8921173665097996E-3</v>
      </c>
    </row>
    <row r="435" spans="1:25" x14ac:dyDescent="0.25">
      <c r="A435" s="881"/>
      <c r="B435" s="1131">
        <v>185</v>
      </c>
      <c r="C435" s="885">
        <v>0.99891825192303396</v>
      </c>
      <c r="D435" s="885">
        <v>1.017625313740903</v>
      </c>
      <c r="E435" s="885">
        <v>0.98589482137844797</v>
      </c>
      <c r="F435" s="885">
        <v>0.97323297552661836</v>
      </c>
      <c r="G435" s="885">
        <v>1.0313605315359928</v>
      </c>
      <c r="H435" s="885">
        <v>0.98245533742723168</v>
      </c>
      <c r="I435" s="885">
        <v>1.0197190199014492</v>
      </c>
      <c r="K435">
        <v>1.9265776104436099</v>
      </c>
      <c r="L435">
        <v>0</v>
      </c>
      <c r="M435">
        <v>1.9618922466483964E-3</v>
      </c>
      <c r="N435">
        <v>0.18915371684728849</v>
      </c>
      <c r="O435">
        <v>2.4959573489967791E-2</v>
      </c>
      <c r="P435">
        <v>2.0909797822883745E-2</v>
      </c>
      <c r="Q435">
        <v>2.8942704465891485E-3</v>
      </c>
      <c r="R435">
        <v>1.949957604788417E-3</v>
      </c>
      <c r="S435">
        <v>0.20664883281590096</v>
      </c>
      <c r="T435">
        <v>1.0596718634127575</v>
      </c>
      <c r="U435">
        <v>3.7360725493873988E-2</v>
      </c>
      <c r="V435">
        <v>0.24580589400055136</v>
      </c>
      <c r="W435">
        <v>0.11416766919875397</v>
      </c>
      <c r="X435">
        <v>1.9710059760018491E-2</v>
      </c>
      <c r="Y435">
        <v>5.3071417968824095E-3</v>
      </c>
    </row>
    <row r="436" spans="1:25" x14ac:dyDescent="0.25">
      <c r="A436" s="881"/>
      <c r="B436" s="1131">
        <v>186</v>
      </c>
      <c r="C436" s="885">
        <v>0.98659726633804201</v>
      </c>
      <c r="D436" s="885">
        <v>1.0282064010901923</v>
      </c>
      <c r="E436" s="885">
        <v>0.96236647837265477</v>
      </c>
      <c r="F436" s="885">
        <v>0.97871114648658752</v>
      </c>
      <c r="G436" s="885">
        <v>0.96730094807497013</v>
      </c>
      <c r="H436" s="885">
        <v>1.0428541131719966</v>
      </c>
      <c r="I436" s="885">
        <v>0.98084489801286345</v>
      </c>
      <c r="K436">
        <v>1.944497179447757</v>
      </c>
      <c r="L436">
        <v>0</v>
      </c>
      <c r="M436">
        <v>2.2039016868153913E-3</v>
      </c>
      <c r="N436">
        <v>0.19752997061109892</v>
      </c>
      <c r="O436">
        <v>2.5142614562945958E-2</v>
      </c>
      <c r="P436">
        <v>2.057385462407775E-2</v>
      </c>
      <c r="Q436">
        <v>2.848410337559113E-3</v>
      </c>
      <c r="R436">
        <v>2.1912623605586014E-3</v>
      </c>
      <c r="S436">
        <v>0.20629740131750596</v>
      </c>
      <c r="T436">
        <v>1.0618567527012082</v>
      </c>
      <c r="U436">
        <v>3.7827299825630878E-2</v>
      </c>
      <c r="V436">
        <v>0.24626447724324887</v>
      </c>
      <c r="W436">
        <v>0.12119396647153555</v>
      </c>
      <c r="X436">
        <v>1.9011177283203402E-2</v>
      </c>
      <c r="Y436">
        <v>5.9638937959974924E-3</v>
      </c>
    </row>
    <row r="437" spans="1:25" x14ac:dyDescent="0.25">
      <c r="A437" s="881"/>
      <c r="B437" s="1131">
        <v>187</v>
      </c>
      <c r="C437" s="885">
        <v>1.0076206690983633</v>
      </c>
      <c r="D437" s="885">
        <v>0.99914773642680677</v>
      </c>
      <c r="E437" s="885">
        <v>1.0131251423521928</v>
      </c>
      <c r="F437" s="885">
        <v>0.98719292594572217</v>
      </c>
      <c r="G437" s="885">
        <v>0.99495695456038935</v>
      </c>
      <c r="H437" s="885">
        <v>0.96972005392445648</v>
      </c>
      <c r="I437" s="885">
        <v>1.0077628898638664</v>
      </c>
      <c r="K437">
        <v>1.9247073889108128</v>
      </c>
      <c r="L437">
        <v>0</v>
      </c>
      <c r="M437">
        <v>1.8292385838393143E-3</v>
      </c>
      <c r="N437">
        <v>0.19194281386912515</v>
      </c>
      <c r="O437">
        <v>2.4969207797004522E-2</v>
      </c>
      <c r="P437">
        <v>2.1262727849125838E-2</v>
      </c>
      <c r="Q437">
        <v>2.9719711082122858E-3</v>
      </c>
      <c r="R437">
        <v>1.8179790195709997E-3</v>
      </c>
      <c r="S437">
        <v>0.20287963701889661</v>
      </c>
      <c r="T437">
        <v>1.0571700450012653</v>
      </c>
      <c r="U437">
        <v>3.7038055833364121E-2</v>
      </c>
      <c r="V437">
        <v>0.24684376186550766</v>
      </c>
      <c r="W437">
        <v>0.11371175285275854</v>
      </c>
      <c r="X437">
        <v>2.0980735685171292E-2</v>
      </c>
      <c r="Y437">
        <v>4.947939594649526E-3</v>
      </c>
    </row>
    <row r="438" spans="1:25" x14ac:dyDescent="0.25">
      <c r="A438" s="881"/>
      <c r="B438" s="1131">
        <v>188</v>
      </c>
      <c r="C438" s="885">
        <v>1.012423714666236</v>
      </c>
      <c r="D438" s="885">
        <v>0.99765627814185942</v>
      </c>
      <c r="E438" s="885">
        <v>0.96520365686025578</v>
      </c>
      <c r="F438" s="885">
        <v>0.98840204893251971</v>
      </c>
      <c r="G438" s="885">
        <v>1.0198881756552425</v>
      </c>
      <c r="H438" s="885">
        <v>0.99776931794134494</v>
      </c>
      <c r="I438" s="885">
        <v>0.98455500662282847</v>
      </c>
      <c r="K438">
        <v>1.9196943272576252</v>
      </c>
      <c r="L438">
        <v>0</v>
      </c>
      <c r="M438">
        <v>2.0733073539370367E-3</v>
      </c>
      <c r="N438">
        <v>0.18743057310066777</v>
      </c>
      <c r="O438">
        <v>2.4869137762270527E-2</v>
      </c>
      <c r="P438">
        <v>2.0522375210872086E-2</v>
      </c>
      <c r="Q438">
        <v>2.8197364859900453E-3</v>
      </c>
      <c r="R438">
        <v>2.0609055128231767E-3</v>
      </c>
      <c r="S438">
        <v>0.20016602751761253</v>
      </c>
      <c r="T438">
        <v>1.0615921508329413</v>
      </c>
      <c r="U438">
        <v>3.6862343365021061E-2</v>
      </c>
      <c r="V438">
        <v>0.24636212100887039</v>
      </c>
      <c r="W438">
        <v>0.11476874448032172</v>
      </c>
      <c r="X438">
        <v>1.8704413905584843E-2</v>
      </c>
      <c r="Y438">
        <v>5.609105428584971E-3</v>
      </c>
    </row>
    <row r="439" spans="1:25" x14ac:dyDescent="0.25">
      <c r="A439" s="881"/>
      <c r="B439" s="1131">
        <v>189</v>
      </c>
      <c r="C439" s="885">
        <v>0.97806507006714072</v>
      </c>
      <c r="D439" s="885">
        <v>1.0361334024566948</v>
      </c>
      <c r="E439" s="885">
        <v>1.0079285120231949</v>
      </c>
      <c r="F439" s="885">
        <v>1.0050351076153792</v>
      </c>
      <c r="G439" s="885">
        <v>0.97848062451232953</v>
      </c>
      <c r="H439" s="885">
        <v>0.98584689551890969</v>
      </c>
      <c r="I439" s="885">
        <v>0.9831413066867225</v>
      </c>
      <c r="K439">
        <v>1.9333441410258254</v>
      </c>
      <c r="L439">
        <v>0</v>
      </c>
      <c r="M439">
        <v>1.9025431698711155E-3</v>
      </c>
      <c r="N439">
        <v>0.19645247512212544</v>
      </c>
      <c r="O439">
        <v>2.5266134812466656E-2</v>
      </c>
      <c r="P439">
        <v>2.1188918897646767E-2</v>
      </c>
      <c r="Q439">
        <v>2.999268415252482E-3</v>
      </c>
      <c r="R439">
        <v>1.8909951311574249E-3</v>
      </c>
      <c r="S439">
        <v>0.20215400198958478</v>
      </c>
      <c r="T439">
        <v>1.0576452605267115</v>
      </c>
      <c r="U439">
        <v>3.8157288040513444E-2</v>
      </c>
      <c r="V439">
        <v>0.24653773230211851</v>
      </c>
      <c r="W439">
        <v>0.11679491952121801</v>
      </c>
      <c r="X439">
        <v>2.1013024056269165E-2</v>
      </c>
      <c r="Y439">
        <v>5.146665380633058E-3</v>
      </c>
    </row>
    <row r="440" spans="1:25" x14ac:dyDescent="0.25">
      <c r="A440" s="881"/>
      <c r="B440" s="1131">
        <v>190</v>
      </c>
      <c r="C440" s="885">
        <v>0.95702664830295814</v>
      </c>
      <c r="D440" s="885">
        <v>1.0103339040265447</v>
      </c>
      <c r="E440" s="885">
        <v>1.0019877565142721</v>
      </c>
      <c r="F440" s="885">
        <v>0.96922756694301537</v>
      </c>
      <c r="G440" s="885">
        <v>0.98752263170942278</v>
      </c>
      <c r="H440" s="885">
        <v>0.98901072477501473</v>
      </c>
      <c r="I440" s="885">
        <v>0.99528271047304417</v>
      </c>
      <c r="K440">
        <v>1.962883559625733</v>
      </c>
      <c r="L440">
        <v>0</v>
      </c>
      <c r="M440">
        <v>1.9998905213318057E-3</v>
      </c>
      <c r="N440">
        <v>0.20273018837397996</v>
      </c>
      <c r="O440">
        <v>2.6144838587227513E-2</v>
      </c>
      <c r="P440">
        <v>2.1333586962104505E-2</v>
      </c>
      <c r="Q440">
        <v>3.0797854069033793E-3</v>
      </c>
      <c r="R440">
        <v>1.9878113486494339E-3</v>
      </c>
      <c r="S440">
        <v>0.21190621447642416</v>
      </c>
      <c r="T440">
        <v>1.0581898145713933</v>
      </c>
      <c r="U440">
        <v>3.8996103888115217E-2</v>
      </c>
      <c r="V440">
        <v>0.25281428765831987</v>
      </c>
      <c r="W440">
        <v>0.12101637585161414</v>
      </c>
      <c r="X440">
        <v>2.1274275813144238E-2</v>
      </c>
      <c r="Y440">
        <v>5.4101672091887883E-3</v>
      </c>
    </row>
    <row r="441" spans="1:25" x14ac:dyDescent="0.25">
      <c r="A441" s="881"/>
      <c r="B441" s="1131">
        <v>191</v>
      </c>
      <c r="C441" s="885">
        <v>0.99522993761249001</v>
      </c>
      <c r="D441" s="885">
        <v>0.96005378211517811</v>
      </c>
      <c r="E441" s="885">
        <v>1.0124085181954698</v>
      </c>
      <c r="F441" s="885">
        <v>0.98984226792601526</v>
      </c>
      <c r="G441" s="885">
        <v>0.99854761137252479</v>
      </c>
      <c r="H441" s="885">
        <v>0.98393240031810103</v>
      </c>
      <c r="I441" s="885">
        <v>0.99091340439788378</v>
      </c>
      <c r="K441">
        <v>1.9527243009833524</v>
      </c>
      <c r="L441">
        <v>0</v>
      </c>
      <c r="M441">
        <v>1.9196291541552528E-3</v>
      </c>
      <c r="N441">
        <v>0.20100077698510518</v>
      </c>
      <c r="O441">
        <v>2.5785967239133113E-2</v>
      </c>
      <c r="P441">
        <v>2.1411998332669852E-2</v>
      </c>
      <c r="Q441">
        <v>3.058392006570479E-3</v>
      </c>
      <c r="R441">
        <v>1.9080163395011709E-3</v>
      </c>
      <c r="S441">
        <v>0.20717446675237866</v>
      </c>
      <c r="T441">
        <v>1.0572355153667545</v>
      </c>
      <c r="U441">
        <v>3.7499184048307987E-2</v>
      </c>
      <c r="V441">
        <v>0.25367551147153183</v>
      </c>
      <c r="W441">
        <v>0.11913580401217486</v>
      </c>
      <c r="X441">
        <v>2.1565306084675721E-2</v>
      </c>
      <c r="Y441">
        <v>5.1929914987049134E-3</v>
      </c>
    </row>
    <row r="442" spans="1:25" x14ac:dyDescent="0.25">
      <c r="A442" s="881"/>
      <c r="B442" s="1131">
        <v>192</v>
      </c>
      <c r="C442" s="885">
        <v>1.0175919952015029</v>
      </c>
      <c r="D442" s="885">
        <v>0.95231929873975718</v>
      </c>
      <c r="E442" s="885">
        <v>1.0293851437583077</v>
      </c>
      <c r="F442" s="885">
        <v>1.0226739381677943</v>
      </c>
      <c r="G442" s="885">
        <v>0.96825313120017253</v>
      </c>
      <c r="H442" s="885">
        <v>1.0242559471134796</v>
      </c>
      <c r="I442" s="885">
        <v>1.0224755506528029</v>
      </c>
      <c r="K442">
        <v>1.9671942025522515</v>
      </c>
      <c r="L442">
        <v>0</v>
      </c>
      <c r="M442">
        <v>1.893138295362714E-3</v>
      </c>
      <c r="N442">
        <v>0.20901168296489911</v>
      </c>
      <c r="O442">
        <v>2.5321119577533302E-2</v>
      </c>
      <c r="P442">
        <v>2.1712323937322475E-2</v>
      </c>
      <c r="Q442">
        <v>3.0525936212989989E-3</v>
      </c>
      <c r="R442">
        <v>1.8821428958391828E-3</v>
      </c>
      <c r="S442">
        <v>0.21405895094502275</v>
      </c>
      <c r="T442">
        <v>1.0556899350573823</v>
      </c>
      <c r="U442">
        <v>3.6675122030147965E-2</v>
      </c>
      <c r="V442">
        <v>0.25148215235714066</v>
      </c>
      <c r="W442">
        <v>0.12247378532590941</v>
      </c>
      <c r="X442">
        <v>2.2604959620882589E-2</v>
      </c>
      <c r="Y442">
        <v>5.122572514235391E-3</v>
      </c>
    </row>
    <row r="443" spans="1:25" x14ac:dyDescent="0.25">
      <c r="A443" s="881"/>
      <c r="B443" s="1131">
        <v>193</v>
      </c>
      <c r="C443" s="885">
        <v>1.0108433769649054</v>
      </c>
      <c r="D443" s="885">
        <v>0.97139270275267087</v>
      </c>
      <c r="E443" s="885">
        <v>1.005532301537172</v>
      </c>
      <c r="F443" s="885">
        <v>1.0013369636465939</v>
      </c>
      <c r="G443" s="885">
        <v>0.98728245432845119</v>
      </c>
      <c r="H443" s="885">
        <v>0.99462111206642767</v>
      </c>
      <c r="I443" s="885">
        <v>1.0064854201077247</v>
      </c>
      <c r="K443">
        <v>1.942655379107848</v>
      </c>
      <c r="L443">
        <v>0</v>
      </c>
      <c r="M443">
        <v>1.9271377463625347E-3</v>
      </c>
      <c r="N443">
        <v>0.19753081232892114</v>
      </c>
      <c r="O443">
        <v>2.5239843598105379E-2</v>
      </c>
      <c r="P443">
        <v>2.1252107056739796E-2</v>
      </c>
      <c r="Q443">
        <v>2.9755715923276641E-3</v>
      </c>
      <c r="R443">
        <v>1.9155952618733069E-3</v>
      </c>
      <c r="S443">
        <v>0.20715375768821148</v>
      </c>
      <c r="T443">
        <v>1.0578647414229516</v>
      </c>
      <c r="U443">
        <v>3.6919973411679748E-2</v>
      </c>
      <c r="V443">
        <v>0.24991271272311869</v>
      </c>
      <c r="W443">
        <v>0.11762781346496538</v>
      </c>
      <c r="X443">
        <v>2.097596947830439E-2</v>
      </c>
      <c r="Y443">
        <v>5.2136188270107782E-3</v>
      </c>
    </row>
    <row r="444" spans="1:25" x14ac:dyDescent="0.25">
      <c r="A444" s="881"/>
      <c r="B444" s="1131">
        <v>194</v>
      </c>
      <c r="C444" s="885">
        <v>1.0136456168050187</v>
      </c>
      <c r="D444" s="885">
        <v>1.011479882681706</v>
      </c>
      <c r="E444" s="885">
        <v>1.0007138821813115</v>
      </c>
      <c r="F444" s="885">
        <v>1.0243169264618781</v>
      </c>
      <c r="G444" s="885">
        <v>0.96165045839989871</v>
      </c>
      <c r="H444" s="885">
        <v>1.005106874872151</v>
      </c>
      <c r="I444" s="885">
        <v>1.012622530926415</v>
      </c>
      <c r="K444">
        <v>1.9292171146367385</v>
      </c>
      <c r="L444">
        <v>0</v>
      </c>
      <c r="M444">
        <v>1.9229922933697581E-3</v>
      </c>
      <c r="N444">
        <v>0.19418281600972892</v>
      </c>
      <c r="O444">
        <v>2.4670645808534997E-2</v>
      </c>
      <c r="P444">
        <v>2.107844280728826E-2</v>
      </c>
      <c r="Q444">
        <v>2.9026420373980083E-3</v>
      </c>
      <c r="R444">
        <v>1.9115626883606741E-3</v>
      </c>
      <c r="S444">
        <v>0.20506786949373745</v>
      </c>
      <c r="T444">
        <v>1.0583067622555313</v>
      </c>
      <c r="U444">
        <v>3.6817907543022235E-2</v>
      </c>
      <c r="V444">
        <v>0.24451186087856464</v>
      </c>
      <c r="W444">
        <v>0.1160151494987182</v>
      </c>
      <c r="X444">
        <v>2.0471804417974252E-2</v>
      </c>
      <c r="Y444">
        <v>5.2026434912468928E-3</v>
      </c>
    </row>
    <row r="445" spans="1:25" x14ac:dyDescent="0.25">
      <c r="A445" s="881"/>
      <c r="B445" s="1131">
        <v>195</v>
      </c>
      <c r="C445" s="885">
        <v>1.0011107837797888</v>
      </c>
      <c r="D445" s="885">
        <v>1.0173427262467358</v>
      </c>
      <c r="E445" s="885">
        <v>1.0124046932617423</v>
      </c>
      <c r="F445" s="885">
        <v>1.0227122667959185</v>
      </c>
      <c r="G445" s="885">
        <v>1.0152728920785126</v>
      </c>
      <c r="H445" s="885">
        <v>0.96748190348840812</v>
      </c>
      <c r="I445" s="885">
        <v>1.0281688240413616</v>
      </c>
      <c r="K445">
        <v>1.9254560771976661</v>
      </c>
      <c r="L445">
        <v>0</v>
      </c>
      <c r="M445">
        <v>1.8233500569092669E-3</v>
      </c>
      <c r="N445">
        <v>0.19089276472914035</v>
      </c>
      <c r="O445">
        <v>2.4908325399302201E-2</v>
      </c>
      <c r="P445">
        <v>2.1285876331828598E-2</v>
      </c>
      <c r="Q445">
        <v>2.9663094726813943E-3</v>
      </c>
      <c r="R445">
        <v>1.8120867487461667E-3</v>
      </c>
      <c r="S445">
        <v>0.20638820254724155</v>
      </c>
      <c r="T445">
        <v>1.0572358648642741</v>
      </c>
      <c r="U445">
        <v>3.7278901801467486E-2</v>
      </c>
      <c r="V445">
        <v>0.24552952293206765</v>
      </c>
      <c r="W445">
        <v>0.1131449457810436</v>
      </c>
      <c r="X445">
        <v>2.0904723870931237E-2</v>
      </c>
      <c r="Y445">
        <v>4.9319027758508837E-3</v>
      </c>
    </row>
    <row r="446" spans="1:25" x14ac:dyDescent="0.25">
      <c r="A446" s="881"/>
      <c r="B446" s="1131">
        <v>196</v>
      </c>
      <c r="C446" s="885">
        <v>1.0149448261707954</v>
      </c>
      <c r="D446" s="885">
        <v>0.96128616832184999</v>
      </c>
      <c r="E446" s="885">
        <v>1.0257093080770914</v>
      </c>
      <c r="F446" s="885">
        <v>0.98515697061845753</v>
      </c>
      <c r="G446" s="885">
        <v>1.0013098144571273</v>
      </c>
      <c r="H446" s="885">
        <v>0.95638751055067062</v>
      </c>
      <c r="I446" s="885">
        <v>1.0115283660434715</v>
      </c>
      <c r="K446">
        <v>1.9321059664730329</v>
      </c>
      <c r="L446">
        <v>0</v>
      </c>
      <c r="M446">
        <v>1.7778276058677581E-3</v>
      </c>
      <c r="N446">
        <v>0.19397222044821982</v>
      </c>
      <c r="O446">
        <v>2.5268945087960359E-2</v>
      </c>
      <c r="P446">
        <v>2.1514765738834769E-2</v>
      </c>
      <c r="Q446">
        <v>3.0372601245085614E-3</v>
      </c>
      <c r="R446">
        <v>1.7667618659334475E-3</v>
      </c>
      <c r="S446">
        <v>0.20442070411588947</v>
      </c>
      <c r="T446">
        <v>1.0560236332063295</v>
      </c>
      <c r="U446">
        <v>3.6770777719730523E-2</v>
      </c>
      <c r="V446">
        <v>0.25066052049810683</v>
      </c>
      <c r="W446">
        <v>0.113941964949597</v>
      </c>
      <c r="X446">
        <v>2.1697696937613205E-2</v>
      </c>
      <c r="Y446">
        <v>4.8085433861782666E-3</v>
      </c>
    </row>
    <row r="447" spans="1:25" x14ac:dyDescent="0.25">
      <c r="A447" s="881"/>
      <c r="B447" s="1131">
        <v>197</v>
      </c>
      <c r="C447" s="885">
        <v>0.96933631079978266</v>
      </c>
      <c r="D447" s="885">
        <v>0.98357684101247378</v>
      </c>
      <c r="E447" s="885">
        <v>1.01425904022528</v>
      </c>
      <c r="F447" s="885">
        <v>0.9874660207199073</v>
      </c>
      <c r="G447" s="885">
        <v>1.0152868847133332</v>
      </c>
      <c r="H447" s="885">
        <v>0.99214366173466584</v>
      </c>
      <c r="I447" s="885">
        <v>0.9851519793370408</v>
      </c>
      <c r="K447">
        <v>1.9659059435935231</v>
      </c>
      <c r="L447">
        <v>0</v>
      </c>
      <c r="M447">
        <v>1.9559585893725879E-3</v>
      </c>
      <c r="N447">
        <v>0.20599435478616326</v>
      </c>
      <c r="O447">
        <v>2.6158206457921686E-2</v>
      </c>
      <c r="P447">
        <v>2.1501439119841214E-2</v>
      </c>
      <c r="Q447">
        <v>3.1135919914703921E-3</v>
      </c>
      <c r="R447">
        <v>1.944203979984098E-3</v>
      </c>
      <c r="S447">
        <v>0.20997806833710342</v>
      </c>
      <c r="T447">
        <v>1.0570664937227303</v>
      </c>
      <c r="U447">
        <v>3.8500889923461686E-2</v>
      </c>
      <c r="V447">
        <v>0.25440381069336271</v>
      </c>
      <c r="W447">
        <v>0.12194249153966037</v>
      </c>
      <c r="X447">
        <v>2.1966869304349549E-2</v>
      </c>
      <c r="Y447">
        <v>5.2914823268469602E-3</v>
      </c>
    </row>
    <row r="448" spans="1:25" x14ac:dyDescent="0.25">
      <c r="A448" s="881"/>
      <c r="B448" s="1131">
        <v>198</v>
      </c>
      <c r="C448" s="885">
        <v>1.0253114097055702</v>
      </c>
      <c r="D448" s="885">
        <v>0.99041877397953448</v>
      </c>
      <c r="E448" s="885">
        <v>0.9703117122859779</v>
      </c>
      <c r="F448" s="885">
        <v>0.96427531817322354</v>
      </c>
      <c r="G448" s="885">
        <v>1.0322607203515441</v>
      </c>
      <c r="H448" s="885">
        <v>0.96156627389764138</v>
      </c>
      <c r="I448" s="885">
        <v>1.0191700281973994</v>
      </c>
      <c r="K448">
        <v>1.9062542892839098</v>
      </c>
      <c r="L448">
        <v>0</v>
      </c>
      <c r="M448">
        <v>1.9590091597652634E-3</v>
      </c>
      <c r="N448">
        <v>0.17990133611529549</v>
      </c>
      <c r="O448">
        <v>2.4645279359334551E-2</v>
      </c>
      <c r="P448">
        <v>2.0598456834674862E-2</v>
      </c>
      <c r="Q448">
        <v>2.8075709842429125E-3</v>
      </c>
      <c r="R448">
        <v>1.9468559730055888E-3</v>
      </c>
      <c r="S448">
        <v>0.20162539568089213</v>
      </c>
      <c r="T448">
        <v>1.0611165458159315</v>
      </c>
      <c r="U448">
        <v>3.639900058425552E-2</v>
      </c>
      <c r="V448">
        <v>0.24549408127790343</v>
      </c>
      <c r="W448">
        <v>0.10976526959563707</v>
      </c>
      <c r="X448">
        <v>1.8614806044877807E-2</v>
      </c>
      <c r="Y448">
        <v>5.2987001776221929E-3</v>
      </c>
    </row>
    <row r="449" spans="1:25" x14ac:dyDescent="0.25">
      <c r="A449" s="881"/>
      <c r="B449" s="1131">
        <v>199</v>
      </c>
      <c r="C449" s="885">
        <v>0.98156169941273519</v>
      </c>
      <c r="D449" s="885">
        <v>1.0059710963979489</v>
      </c>
      <c r="E449" s="885">
        <v>1.0011811525576488</v>
      </c>
      <c r="F449" s="885">
        <v>0.99265896483225813</v>
      </c>
      <c r="G449" s="885">
        <v>0.98749189568852225</v>
      </c>
      <c r="H449" s="885">
        <v>0.99442219267270904</v>
      </c>
      <c r="I449" s="885">
        <v>0.99538914487304886</v>
      </c>
      <c r="K449">
        <v>1.9474548375692593</v>
      </c>
      <c r="L449">
        <v>0</v>
      </c>
      <c r="M449">
        <v>1.9681075594180164E-3</v>
      </c>
      <c r="N449">
        <v>0.1990153023615126</v>
      </c>
      <c r="O449">
        <v>2.554592594715854E-2</v>
      </c>
      <c r="P449">
        <v>2.1207104374968613E-2</v>
      </c>
      <c r="Q449">
        <v>3.005894832739219E-3</v>
      </c>
      <c r="R449">
        <v>1.9562885733517025E-3</v>
      </c>
      <c r="S449">
        <v>0.20759548684991513</v>
      </c>
      <c r="T449">
        <v>1.0582638572836884</v>
      </c>
      <c r="U449">
        <v>3.8021359862803861E-2</v>
      </c>
      <c r="V449">
        <v>0.2497048456145379</v>
      </c>
      <c r="W449">
        <v>0.11886434914764944</v>
      </c>
      <c r="X449">
        <v>2.0918157674041992E-2</v>
      </c>
      <c r="Y449">
        <v>5.324372606308447E-3</v>
      </c>
    </row>
    <row r="450" spans="1:25" x14ac:dyDescent="0.25">
      <c r="A450" s="881"/>
      <c r="B450" s="1131">
        <v>200</v>
      </c>
      <c r="C450" s="885">
        <v>0.95969573601232849</v>
      </c>
      <c r="D450" s="885">
        <v>1.0276288801115006</v>
      </c>
      <c r="E450" s="885">
        <v>0.96325124255207717</v>
      </c>
      <c r="F450" s="885">
        <v>1.0227777467274701</v>
      </c>
      <c r="G450" s="885">
        <v>0.99256341033611473</v>
      </c>
      <c r="H450" s="885">
        <v>1.0013694283943577</v>
      </c>
      <c r="I450" s="885">
        <v>1.0129387174816966</v>
      </c>
      <c r="K450">
        <v>1.9550631727223438</v>
      </c>
      <c r="L450">
        <v>0</v>
      </c>
      <c r="M450">
        <v>2.1721265321393668E-3</v>
      </c>
      <c r="N450">
        <v>0.19517354616465477</v>
      </c>
      <c r="O450">
        <v>2.5854557028379684E-2</v>
      </c>
      <c r="P450">
        <v>2.0765397616457418E-2</v>
      </c>
      <c r="Q450">
        <v>2.9316135726418636E-3</v>
      </c>
      <c r="R450">
        <v>2.1591538626489553E-3</v>
      </c>
      <c r="S450">
        <v>0.21470400623433847</v>
      </c>
      <c r="T450">
        <v>1.0617742041817877</v>
      </c>
      <c r="U450">
        <v>3.8887648658300883E-2</v>
      </c>
      <c r="V450">
        <v>0.25025178928640129</v>
      </c>
      <c r="W450">
        <v>0.11967380014608918</v>
      </c>
      <c r="X450">
        <v>1.9183077453531396E-2</v>
      </c>
      <c r="Y450">
        <v>5.8765050492509251E-3</v>
      </c>
    </row>
    <row r="451" spans="1:25" x14ac:dyDescent="0.25">
      <c r="A451" s="881"/>
      <c r="B451" s="1131">
        <v>201</v>
      </c>
      <c r="C451" s="885">
        <v>0.98559579038707168</v>
      </c>
      <c r="D451" s="885">
        <v>0.99662968322429146</v>
      </c>
      <c r="E451" s="885">
        <v>1.0161606130095902</v>
      </c>
      <c r="F451" s="885">
        <v>0.9954800842575775</v>
      </c>
      <c r="G451" s="885">
        <v>1.010221982207081</v>
      </c>
      <c r="H451" s="885">
        <v>1.0083103853310655</v>
      </c>
      <c r="I451" s="885">
        <v>1.0126776168816309</v>
      </c>
      <c r="K451">
        <v>1.9610863423761657</v>
      </c>
      <c r="L451">
        <v>0</v>
      </c>
      <c r="M451">
        <v>1.9345330240864017E-3</v>
      </c>
      <c r="N451">
        <v>0.20496416305366974</v>
      </c>
      <c r="O451">
        <v>2.5559102926384563E-2</v>
      </c>
      <c r="P451">
        <v>2.1501066530883232E-2</v>
      </c>
      <c r="Q451">
        <v>3.0508678863394039E-3</v>
      </c>
      <c r="R451">
        <v>1.9230830763240056E-3</v>
      </c>
      <c r="S451">
        <v>0.21268558478447561</v>
      </c>
      <c r="T451">
        <v>1.056892948578662</v>
      </c>
      <c r="U451">
        <v>3.7865736608168853E-2</v>
      </c>
      <c r="V451">
        <v>0.25029705671240399</v>
      </c>
      <c r="W451">
        <v>0.12117654357883653</v>
      </c>
      <c r="X451">
        <v>2.1870723474516074E-2</v>
      </c>
      <c r="Y451">
        <v>5.2339981895882072E-3</v>
      </c>
    </row>
    <row r="452" spans="1:25" x14ac:dyDescent="0.25">
      <c r="A452" s="881"/>
      <c r="B452" s="1131">
        <v>202</v>
      </c>
      <c r="C452" s="885">
        <v>1.0222940962878824</v>
      </c>
      <c r="D452" s="885">
        <v>0.9770170505124316</v>
      </c>
      <c r="E452" s="885">
        <v>1.0075734126435678</v>
      </c>
      <c r="F452" s="885">
        <v>0.99888207273804885</v>
      </c>
      <c r="G452" s="885">
        <v>1.0300426230584314</v>
      </c>
      <c r="H452" s="885">
        <v>1.0047312048279442</v>
      </c>
      <c r="I452" s="885">
        <v>1.0019307372060182</v>
      </c>
      <c r="K452">
        <v>1.9356861332333801</v>
      </c>
      <c r="L452">
        <v>0</v>
      </c>
      <c r="M452">
        <v>1.9111720110864864E-3</v>
      </c>
      <c r="N452">
        <v>0.19715311207480843</v>
      </c>
      <c r="O452">
        <v>2.4885655306256697E-2</v>
      </c>
      <c r="P452">
        <v>2.1206104197223716E-2</v>
      </c>
      <c r="Q452">
        <v>2.9410163340812517E-3</v>
      </c>
      <c r="R452">
        <v>1.8998357498152814E-3</v>
      </c>
      <c r="S452">
        <v>0.20437919153283254</v>
      </c>
      <c r="T452">
        <v>1.0576777717176504</v>
      </c>
      <c r="U452">
        <v>3.6506432675717321E-2</v>
      </c>
      <c r="V452">
        <v>0.24758927582635384</v>
      </c>
      <c r="W452">
        <v>0.11723979133511724</v>
      </c>
      <c r="X452">
        <v>2.0948391864299878E-2</v>
      </c>
      <c r="Y452">
        <v>5.1707266303105846E-3</v>
      </c>
    </row>
    <row r="453" spans="1:25" x14ac:dyDescent="0.25">
      <c r="A453" s="881"/>
      <c r="B453" s="1131">
        <v>203</v>
      </c>
      <c r="C453" s="885">
        <v>0.99209165449760273</v>
      </c>
      <c r="D453" s="885">
        <v>1.0096178148067212</v>
      </c>
      <c r="E453" s="885">
        <v>1.0054907649962546</v>
      </c>
      <c r="F453" s="885">
        <v>1.0138386012395382</v>
      </c>
      <c r="G453" s="885">
        <v>1.0077062912342516</v>
      </c>
      <c r="H453" s="885">
        <v>1.0266533490151502</v>
      </c>
      <c r="I453" s="885">
        <v>1.0271769224264808</v>
      </c>
      <c r="K453">
        <v>1.9595991292869759</v>
      </c>
      <c r="L453">
        <v>0</v>
      </c>
      <c r="M453">
        <v>1.9886011408230125E-3</v>
      </c>
      <c r="N453">
        <v>0.20383957247414544</v>
      </c>
      <c r="O453">
        <v>2.5229602570127962E-2</v>
      </c>
      <c r="P453">
        <v>2.1338259741602288E-2</v>
      </c>
      <c r="Q453">
        <v>2.9822880356770438E-3</v>
      </c>
      <c r="R453">
        <v>1.9770311082747604E-3</v>
      </c>
      <c r="S453">
        <v>0.21496116693927203</v>
      </c>
      <c r="T453">
        <v>1.0578685479369669</v>
      </c>
      <c r="U453">
        <v>3.7617805201492147E-2</v>
      </c>
      <c r="V453">
        <v>0.24773831274569574</v>
      </c>
      <c r="W453">
        <v>0.12138805979334302</v>
      </c>
      <c r="X453">
        <v>2.1266256932607502E-2</v>
      </c>
      <c r="Y453">
        <v>5.3808269485942101E-3</v>
      </c>
    </row>
    <row r="454" spans="1:25" x14ac:dyDescent="0.25">
      <c r="A454" s="881"/>
      <c r="B454" s="1131">
        <v>204</v>
      </c>
      <c r="C454" s="885">
        <v>1.0008771519856523</v>
      </c>
      <c r="D454" s="885">
        <v>0.99937812857350128</v>
      </c>
      <c r="E454" s="885">
        <v>0.9984412735900513</v>
      </c>
      <c r="F454" s="885">
        <v>0.96145957805781013</v>
      </c>
      <c r="G454" s="885">
        <v>1.0153506685198757</v>
      </c>
      <c r="H454" s="885">
        <v>1.0379081526901193</v>
      </c>
      <c r="I454" s="885">
        <v>1.0264837303655268</v>
      </c>
      <c r="K454">
        <v>1.9602408887160634</v>
      </c>
      <c r="L454">
        <v>0</v>
      </c>
      <c r="M454">
        <v>2.0327847794475084E-3</v>
      </c>
      <c r="N454">
        <v>0.20386285178295835</v>
      </c>
      <c r="O454">
        <v>2.5134571538355469E-2</v>
      </c>
      <c r="P454">
        <v>2.1232960516965153E-2</v>
      </c>
      <c r="Q454">
        <v>2.9480074681843748E-3</v>
      </c>
      <c r="R454">
        <v>2.0210941734052734E-3</v>
      </c>
      <c r="S454">
        <v>0.21509810905069668</v>
      </c>
      <c r="T454">
        <v>1.0585155554597476</v>
      </c>
      <c r="U454">
        <v>3.7287603705286589E-2</v>
      </c>
      <c r="V454">
        <v>0.24775935297850993</v>
      </c>
      <c r="W454">
        <v>0.1219881195461661</v>
      </c>
      <c r="X454">
        <v>2.0924695188739701E-2</v>
      </c>
      <c r="Y454">
        <v>5.5007520864939511E-3</v>
      </c>
    </row>
    <row r="455" spans="1:25" x14ac:dyDescent="0.25">
      <c r="A455" s="881"/>
      <c r="B455" s="1131">
        <v>205</v>
      </c>
      <c r="C455" s="885">
        <v>0.98039906648969277</v>
      </c>
      <c r="D455" s="885">
        <v>1.0086925663596349</v>
      </c>
      <c r="E455" s="885">
        <v>1.0069450543497593</v>
      </c>
      <c r="F455" s="885">
        <v>0.97344455832103283</v>
      </c>
      <c r="G455" s="885">
        <v>0.96267131312112841</v>
      </c>
      <c r="H455" s="885">
        <v>1.0014924597717116</v>
      </c>
      <c r="I455" s="885">
        <v>1.0019242914531294</v>
      </c>
      <c r="K455">
        <v>1.9529608356147337</v>
      </c>
      <c r="L455">
        <v>0</v>
      </c>
      <c r="M455">
        <v>1.9578786587739348E-3</v>
      </c>
      <c r="N455">
        <v>0.20157048301374611</v>
      </c>
      <c r="O455">
        <v>2.5542074476917819E-2</v>
      </c>
      <c r="P455">
        <v>2.1317784782776319E-2</v>
      </c>
      <c r="Q455">
        <v>3.0234332073559808E-3</v>
      </c>
      <c r="R455">
        <v>1.9462019262601296E-3</v>
      </c>
      <c r="S455">
        <v>0.20967535675785529</v>
      </c>
      <c r="T455">
        <v>1.0577353132338803</v>
      </c>
      <c r="U455">
        <v>3.806644852747753E-2</v>
      </c>
      <c r="V455">
        <v>0.24953648150328589</v>
      </c>
      <c r="W455">
        <v>0.11991792845292877</v>
      </c>
      <c r="X455">
        <v>2.1290288313033746E-2</v>
      </c>
      <c r="Y455">
        <v>5.2969200779875054E-3</v>
      </c>
    </row>
    <row r="456" spans="1:25" x14ac:dyDescent="0.25">
      <c r="A456" s="881"/>
      <c r="B456" s="1131">
        <v>206</v>
      </c>
      <c r="C456" s="885">
        <v>0.96403340029653928</v>
      </c>
      <c r="D456" s="885">
        <v>1.0059272466398794</v>
      </c>
      <c r="E456" s="885">
        <v>0.99834049149209614</v>
      </c>
      <c r="F456" s="885">
        <v>0.99884298079883937</v>
      </c>
      <c r="G456" s="885">
        <v>0.98366595615919405</v>
      </c>
      <c r="H456" s="885">
        <v>0.96981813145558093</v>
      </c>
      <c r="I456" s="885">
        <v>0.96732810514911172</v>
      </c>
      <c r="K456">
        <v>1.9437341078803851</v>
      </c>
      <c r="L456">
        <v>0</v>
      </c>
      <c r="M456">
        <v>1.9660798666486156E-3</v>
      </c>
      <c r="N456">
        <v>0.19703076367540298</v>
      </c>
      <c r="O456">
        <v>2.6010969204477236E-2</v>
      </c>
      <c r="P456">
        <v>2.1147042181221438E-2</v>
      </c>
      <c r="Q456">
        <v>3.0518776188700057E-3</v>
      </c>
      <c r="R456">
        <v>1.9539735578512859E-3</v>
      </c>
      <c r="S456">
        <v>0.20292426711123884</v>
      </c>
      <c r="T456">
        <v>1.0585248193529322</v>
      </c>
      <c r="U456">
        <v>3.8712673844533932E-2</v>
      </c>
      <c r="V456">
        <v>0.25231304467155402</v>
      </c>
      <c r="W456">
        <v>0.11790805204592661</v>
      </c>
      <c r="X456">
        <v>2.0804632585760027E-2</v>
      </c>
      <c r="Y456">
        <v>5.3180718972609684E-3</v>
      </c>
    </row>
    <row r="457" spans="1:25" x14ac:dyDescent="0.25">
      <c r="A457" s="881"/>
      <c r="B457" s="1131">
        <v>207</v>
      </c>
      <c r="C457" s="885">
        <v>1.025089533171692</v>
      </c>
      <c r="D457" s="885">
        <v>0.99541829869259379</v>
      </c>
      <c r="E457" s="885">
        <v>0.9925649531313222</v>
      </c>
      <c r="F457" s="885">
        <v>0.99047156103939105</v>
      </c>
      <c r="G457" s="885">
        <v>0.99962441561569804</v>
      </c>
      <c r="H457" s="885">
        <v>0.95143646975609486</v>
      </c>
      <c r="I457" s="885">
        <v>1.021885604318699</v>
      </c>
      <c r="K457">
        <v>1.9047963518505182</v>
      </c>
      <c r="L457">
        <v>0</v>
      </c>
      <c r="M457">
        <v>1.8456740698159307E-3</v>
      </c>
      <c r="N457">
        <v>0.18164846017639691</v>
      </c>
      <c r="O457">
        <v>2.4589191278100046E-2</v>
      </c>
      <c r="P457">
        <v>2.0901192947003343E-2</v>
      </c>
      <c r="Q457">
        <v>2.86621876182243E-3</v>
      </c>
      <c r="R457">
        <v>1.8340980263547209E-3</v>
      </c>
      <c r="S457">
        <v>0.20071547542925242</v>
      </c>
      <c r="T457">
        <v>1.0590563675574753</v>
      </c>
      <c r="U457">
        <v>3.6406879002505749E-2</v>
      </c>
      <c r="V457">
        <v>0.2449109658899172</v>
      </c>
      <c r="W457">
        <v>0.10913470494888707</v>
      </c>
      <c r="X457">
        <v>1.9586661685131859E-2</v>
      </c>
      <c r="Y457">
        <v>4.9918102174856555E-3</v>
      </c>
    </row>
    <row r="458" spans="1:25" x14ac:dyDescent="0.25">
      <c r="A458" s="881"/>
      <c r="B458" s="1131">
        <v>208</v>
      </c>
      <c r="C458" s="885">
        <v>1.0200525009434644</v>
      </c>
      <c r="D458" s="885">
        <v>0.99526913900917657</v>
      </c>
      <c r="E458" s="885">
        <v>0.98240394431428146</v>
      </c>
      <c r="F458" s="885">
        <v>1.025196352200386</v>
      </c>
      <c r="G458" s="885">
        <v>0.99751126484142449</v>
      </c>
      <c r="H458" s="885">
        <v>1.0270073046857686</v>
      </c>
      <c r="I458" s="885">
        <v>0.96343241161485127</v>
      </c>
      <c r="K458">
        <v>1.9262978282184895</v>
      </c>
      <c r="L458">
        <v>0</v>
      </c>
      <c r="M458">
        <v>2.0454802116425751E-3</v>
      </c>
      <c r="N458">
        <v>0.19513357493093164</v>
      </c>
      <c r="O458">
        <v>2.4712447258066605E-2</v>
      </c>
      <c r="P458">
        <v>2.0721629439147966E-2</v>
      </c>
      <c r="Q458">
        <v>2.8510818118227545E-3</v>
      </c>
      <c r="R458">
        <v>2.0335951301740426E-3</v>
      </c>
      <c r="S458">
        <v>0.19742199652162251</v>
      </c>
      <c r="T458">
        <v>1.0599946779862268</v>
      </c>
      <c r="U458">
        <v>3.658665663424062E-2</v>
      </c>
      <c r="V458">
        <v>0.24561078219783808</v>
      </c>
      <c r="W458">
        <v>0.11806174102851283</v>
      </c>
      <c r="X458">
        <v>1.9680349921665344E-2</v>
      </c>
      <c r="Y458">
        <v>5.5347755698792475E-3</v>
      </c>
    </row>
    <row r="459" spans="1:25" x14ac:dyDescent="0.25">
      <c r="A459" s="881"/>
      <c r="B459" s="1131">
        <v>209</v>
      </c>
      <c r="C459" s="885">
        <v>0.97851672272954837</v>
      </c>
      <c r="D459" s="885">
        <v>0.98391879610678845</v>
      </c>
      <c r="E459" s="885">
        <v>0.99378174968126409</v>
      </c>
      <c r="F459" s="885">
        <v>1.0161003048248358</v>
      </c>
      <c r="G459" s="885">
        <v>1.0291205935903234</v>
      </c>
      <c r="H459" s="885">
        <v>0.98753363630044411</v>
      </c>
      <c r="I459" s="885">
        <v>1.0301937826595096</v>
      </c>
      <c r="K459">
        <v>1.9617752392549261</v>
      </c>
      <c r="L459">
        <v>0</v>
      </c>
      <c r="M459">
        <v>2.0132993948780036E-3</v>
      </c>
      <c r="N459">
        <v>0.19894465832142116</v>
      </c>
      <c r="O459">
        <v>2.5908322695157835E-2</v>
      </c>
      <c r="P459">
        <v>2.1272922862126023E-2</v>
      </c>
      <c r="Q459">
        <v>3.0212327852800016E-3</v>
      </c>
      <c r="R459">
        <v>2.0011434111330286E-3</v>
      </c>
      <c r="S459">
        <v>0.21698841729589335</v>
      </c>
      <c r="T459">
        <v>1.0589442724890092</v>
      </c>
      <c r="U459">
        <v>3.8139675831817016E-2</v>
      </c>
      <c r="V459">
        <v>0.2529748100221666</v>
      </c>
      <c r="W459">
        <v>0.11942634073958834</v>
      </c>
      <c r="X459">
        <v>2.0720289507852391E-2</v>
      </c>
      <c r="Y459">
        <v>5.4464526883559131E-3</v>
      </c>
    </row>
    <row r="460" spans="1:25" x14ac:dyDescent="0.25">
      <c r="A460" s="881"/>
      <c r="B460" s="1131">
        <v>210</v>
      </c>
      <c r="C460" s="885">
        <v>1.0093479690420792</v>
      </c>
      <c r="D460" s="885">
        <v>0.98082700154376568</v>
      </c>
      <c r="E460" s="885">
        <v>0.95963848807169683</v>
      </c>
      <c r="F460" s="885">
        <v>0.99082627197285489</v>
      </c>
      <c r="G460" s="885">
        <v>1.0237651594797832</v>
      </c>
      <c r="H460" s="885">
        <v>0.99590033382974097</v>
      </c>
      <c r="I460" s="885">
        <v>0.98466790839613949</v>
      </c>
      <c r="K460">
        <v>1.9267853157630608</v>
      </c>
      <c r="L460">
        <v>0</v>
      </c>
      <c r="M460">
        <v>2.1178248034046301E-3</v>
      </c>
      <c r="N460">
        <v>0.18815885766299739</v>
      </c>
      <c r="O460">
        <v>2.5156190796895173E-2</v>
      </c>
      <c r="P460">
        <v>2.0503203880146637E-2</v>
      </c>
      <c r="Q460">
        <v>2.8326596615468416E-3</v>
      </c>
      <c r="R460">
        <v>2.1051479245554655E-3</v>
      </c>
      <c r="S460">
        <v>0.20218949459971497</v>
      </c>
      <c r="T460">
        <v>1.0621114644532332</v>
      </c>
      <c r="U460">
        <v>3.6974672506980631E-2</v>
      </c>
      <c r="V460">
        <v>0.24890818475657145</v>
      </c>
      <c r="W460">
        <v>0.11566602822921651</v>
      </c>
      <c r="X460">
        <v>1.8567717405793615E-2</v>
      </c>
      <c r="Y460">
        <v>5.7295186888131552E-3</v>
      </c>
    </row>
    <row r="461" spans="1:25" x14ac:dyDescent="0.25">
      <c r="A461" s="881"/>
      <c r="B461" s="1131">
        <v>211</v>
      </c>
      <c r="C461" s="885">
        <v>1.0119197979475818</v>
      </c>
      <c r="D461" s="885">
        <v>1.0102555791032299</v>
      </c>
      <c r="E461" s="885">
        <v>1.0004298496682293</v>
      </c>
      <c r="F461" s="885">
        <v>1.0077123481017318</v>
      </c>
      <c r="G461" s="885">
        <v>0.98013259646648543</v>
      </c>
      <c r="H461" s="885">
        <v>0.97647365432964184</v>
      </c>
      <c r="I461" s="885">
        <v>1.0023374999621946</v>
      </c>
      <c r="K461">
        <v>1.9165907719739523</v>
      </c>
      <c r="L461">
        <v>0</v>
      </c>
      <c r="M461">
        <v>1.8736369275040891E-3</v>
      </c>
      <c r="N461">
        <v>0.18899878396994749</v>
      </c>
      <c r="O461">
        <v>2.4727519069385834E-2</v>
      </c>
      <c r="P461">
        <v>2.1019279751420091E-2</v>
      </c>
      <c r="Q461">
        <v>2.9082588674399401E-3</v>
      </c>
      <c r="R461">
        <v>1.8621750819176666E-3</v>
      </c>
      <c r="S461">
        <v>0.20058835306305445</v>
      </c>
      <c r="T461">
        <v>1.0583328464030399</v>
      </c>
      <c r="U461">
        <v>3.6880700107470465E-2</v>
      </c>
      <c r="V461">
        <v>0.24489601747585577</v>
      </c>
      <c r="W461">
        <v>0.11293987143788038</v>
      </c>
      <c r="X461">
        <v>2.0242376966914902E-2</v>
      </c>
      <c r="Y461">
        <v>5.0682267071291151E-3</v>
      </c>
    </row>
    <row r="462" spans="1:25" x14ac:dyDescent="0.25">
      <c r="A462" s="881"/>
      <c r="B462" s="1131">
        <v>212</v>
      </c>
      <c r="C462" s="885">
        <v>0.97563955634225419</v>
      </c>
      <c r="D462" s="885">
        <v>0.99841676713070848</v>
      </c>
      <c r="E462" s="885">
        <v>0.99682532343233021</v>
      </c>
      <c r="F462" s="885">
        <v>0.99571394905266841</v>
      </c>
      <c r="G462" s="885">
        <v>1.0005311624590849</v>
      </c>
      <c r="H462" s="885">
        <v>1.0359876381405202</v>
      </c>
      <c r="I462" s="885">
        <v>1.0061151771465113</v>
      </c>
      <c r="K462">
        <v>1.9749900241612748</v>
      </c>
      <c r="L462">
        <v>0</v>
      </c>
      <c r="M462">
        <v>2.0895971838547724E-3</v>
      </c>
      <c r="N462">
        <v>0.20850718500770091</v>
      </c>
      <c r="O462">
        <v>2.5797034666480031E-2</v>
      </c>
      <c r="P462">
        <v>2.1288505510527803E-2</v>
      </c>
      <c r="Q462">
        <v>3.0205871524471724E-3</v>
      </c>
      <c r="R462">
        <v>2.0775583735254334E-3</v>
      </c>
      <c r="S462">
        <v>0.21617875128880096</v>
      </c>
      <c r="T462">
        <v>1.0586641413107287</v>
      </c>
      <c r="U462">
        <v>3.8252149944425738E-2</v>
      </c>
      <c r="V462">
        <v>0.25152865237016575</v>
      </c>
      <c r="W462">
        <v>0.12490547065585278</v>
      </c>
      <c r="X462">
        <v>2.1205156038670538E-2</v>
      </c>
      <c r="Y462">
        <v>5.6544290258024599E-3</v>
      </c>
    </row>
    <row r="463" spans="1:25" x14ac:dyDescent="0.25">
      <c r="A463" s="881"/>
      <c r="B463" s="1131">
        <v>213</v>
      </c>
      <c r="C463" s="885">
        <v>0.98557443138808765</v>
      </c>
      <c r="D463" s="885">
        <v>0.98809123689433198</v>
      </c>
      <c r="E463" s="885">
        <v>1.043866658321716</v>
      </c>
      <c r="F463" s="885">
        <v>1.0163293669561375</v>
      </c>
      <c r="G463" s="885">
        <v>1.0187109439514626</v>
      </c>
      <c r="H463" s="885">
        <v>0.9815430046455127</v>
      </c>
      <c r="I463" s="885">
        <v>0.97924353931641139</v>
      </c>
      <c r="K463">
        <v>1.9513916108638913</v>
      </c>
      <c r="L463">
        <v>0</v>
      </c>
      <c r="M463">
        <v>1.7835927079944455E-3</v>
      </c>
      <c r="N463">
        <v>0.20591131596275825</v>
      </c>
      <c r="O463">
        <v>2.5668864332460892E-2</v>
      </c>
      <c r="P463">
        <v>2.1792795245330024E-2</v>
      </c>
      <c r="Q463">
        <v>3.1471664258146989E-3</v>
      </c>
      <c r="R463">
        <v>1.7727547331096542E-3</v>
      </c>
      <c r="S463">
        <v>0.2037758263263372</v>
      </c>
      <c r="T463">
        <v>1.0543804299500295</v>
      </c>
      <c r="U463">
        <v>3.7866557220193713E-2</v>
      </c>
      <c r="V463">
        <v>0.25138893360268866</v>
      </c>
      <c r="W463">
        <v>0.11949714273482231</v>
      </c>
      <c r="X463">
        <v>2.3148563043256833E-2</v>
      </c>
      <c r="Y463">
        <v>4.8248539950837667E-3</v>
      </c>
    </row>
    <row r="464" spans="1:25" x14ac:dyDescent="0.25">
      <c r="A464" s="881"/>
      <c r="B464" s="1131">
        <v>214</v>
      </c>
      <c r="C464" s="885">
        <v>1.0116430980787816</v>
      </c>
      <c r="D464" s="885">
        <v>0.98975093244381152</v>
      </c>
      <c r="E464" s="885">
        <v>0.99431451951425798</v>
      </c>
      <c r="F464" s="885">
        <v>1.0222002123488785</v>
      </c>
      <c r="G464" s="885">
        <v>0.99085449699020933</v>
      </c>
      <c r="H464" s="885">
        <v>1.0040027573629624</v>
      </c>
      <c r="I464" s="885">
        <v>1.0191714810199894</v>
      </c>
      <c r="K464">
        <v>1.938954839705916</v>
      </c>
      <c r="L464">
        <v>0</v>
      </c>
      <c r="M464">
        <v>1.9718494200589996E-3</v>
      </c>
      <c r="N464">
        <v>0.19519110984509117</v>
      </c>
      <c r="O464">
        <v>2.4986614577297932E-2</v>
      </c>
      <c r="P464">
        <v>2.1076948910949942E-2</v>
      </c>
      <c r="Q464">
        <v>2.9165244529763515E-3</v>
      </c>
      <c r="R464">
        <v>1.960134174919395E-3</v>
      </c>
      <c r="S464">
        <v>0.20876176406053532</v>
      </c>
      <c r="T464">
        <v>1.0588952102121507</v>
      </c>
      <c r="U464">
        <v>3.6890787543346203E-2</v>
      </c>
      <c r="V464">
        <v>0.2474531820845611</v>
      </c>
      <c r="W464">
        <v>0.11713020337932561</v>
      </c>
      <c r="X464">
        <v>2.0329370818747944E-2</v>
      </c>
      <c r="Y464">
        <v>5.3348390660734905E-3</v>
      </c>
    </row>
    <row r="465" spans="1:25" x14ac:dyDescent="0.25">
      <c r="A465" s="881"/>
      <c r="B465" s="1131">
        <v>215</v>
      </c>
      <c r="C465" s="885">
        <v>0.99006624217317252</v>
      </c>
      <c r="D465" s="885">
        <v>1.0246288738454035</v>
      </c>
      <c r="E465" s="885">
        <v>1.0206851601573528</v>
      </c>
      <c r="F465" s="885">
        <v>1.0196919034412557</v>
      </c>
      <c r="G465" s="885">
        <v>0.96142542526453134</v>
      </c>
      <c r="H465" s="885">
        <v>1.0330708065866196</v>
      </c>
      <c r="I465" s="885">
        <v>1.015087900003893</v>
      </c>
      <c r="K465">
        <v>1.9586088741435139</v>
      </c>
      <c r="L465">
        <v>0</v>
      </c>
      <c r="M465">
        <v>1.9277658069033544E-3</v>
      </c>
      <c r="N465">
        <v>0.20716584716478975</v>
      </c>
      <c r="O465">
        <v>2.5097627956529176E-2</v>
      </c>
      <c r="P465">
        <v>2.1499548215493908E-2</v>
      </c>
      <c r="Q465">
        <v>3.0150922896154094E-3</v>
      </c>
      <c r="R465">
        <v>1.9166080792737872E-3</v>
      </c>
      <c r="S465">
        <v>0.21208851250835378</v>
      </c>
      <c r="T465">
        <v>1.0564805883670783</v>
      </c>
      <c r="U465">
        <v>3.7694761230318945E-2</v>
      </c>
      <c r="V465">
        <v>0.24620559726455823</v>
      </c>
      <c r="W465">
        <v>0.1221044253176254</v>
      </c>
      <c r="X465">
        <v>2.2051656174680592E-2</v>
      </c>
      <c r="Y465">
        <v>5.2163753820997196E-3</v>
      </c>
    </row>
    <row r="466" spans="1:25" x14ac:dyDescent="0.25">
      <c r="A466" s="881"/>
      <c r="B466" s="1131">
        <v>216</v>
      </c>
      <c r="C466" s="885">
        <v>0.99765346025000179</v>
      </c>
      <c r="D466" s="885">
        <v>0.99388405299105564</v>
      </c>
      <c r="E466" s="885">
        <v>1.0118891824518497</v>
      </c>
      <c r="F466" s="885">
        <v>1.0154449525417497</v>
      </c>
      <c r="G466" s="885">
        <v>1.0072380030468724</v>
      </c>
      <c r="H466" s="885">
        <v>1.0375749694832801</v>
      </c>
      <c r="I466" s="885">
        <v>0.99490105821038799</v>
      </c>
      <c r="K466">
        <v>1.9609962170015345</v>
      </c>
      <c r="L466">
        <v>0</v>
      </c>
      <c r="M466">
        <v>1.9871400961808724E-3</v>
      </c>
      <c r="N466">
        <v>0.20779656971771449</v>
      </c>
      <c r="O466">
        <v>2.5284721309134436E-2</v>
      </c>
      <c r="P466">
        <v>2.1371656555012074E-2</v>
      </c>
      <c r="Q466">
        <v>3.0047060713493897E-3</v>
      </c>
      <c r="R466">
        <v>1.975712696886186E-3</v>
      </c>
      <c r="S466">
        <v>0.20965092869437349</v>
      </c>
      <c r="T466">
        <v>1.0572829741090901</v>
      </c>
      <c r="U466">
        <v>3.7408090171475804E-2</v>
      </c>
      <c r="V466">
        <v>0.24890884146638273</v>
      </c>
      <c r="W466">
        <v>0.12320716464955409</v>
      </c>
      <c r="X466">
        <v>2.171475298933315E-2</v>
      </c>
      <c r="Y466">
        <v>5.3772386674087085E-3</v>
      </c>
    </row>
    <row r="467" spans="1:25" x14ac:dyDescent="0.25">
      <c r="A467" s="881"/>
      <c r="B467" s="1131">
        <v>217</v>
      </c>
      <c r="C467" s="885">
        <v>0.97480039954171793</v>
      </c>
      <c r="D467" s="885">
        <v>0.96995584290032733</v>
      </c>
      <c r="E467" s="885">
        <v>0.98139446848815692</v>
      </c>
      <c r="F467" s="885">
        <v>0.98685979918499445</v>
      </c>
      <c r="G467" s="885">
        <v>0.99383627080767301</v>
      </c>
      <c r="H467" s="885">
        <v>1.0219443276462286</v>
      </c>
      <c r="I467" s="885">
        <v>0.97338464981972284</v>
      </c>
      <c r="K467">
        <v>1.9710457754814128</v>
      </c>
      <c r="L467">
        <v>0</v>
      </c>
      <c r="M467">
        <v>2.161840019559247E-3</v>
      </c>
      <c r="N467">
        <v>0.20558267280873854</v>
      </c>
      <c r="O467">
        <v>2.6192343763015664E-2</v>
      </c>
      <c r="P467">
        <v>2.1040154329604786E-2</v>
      </c>
      <c r="Q467">
        <v>3.0132637082550188E-3</v>
      </c>
      <c r="R467">
        <v>2.1492392985158E-3</v>
      </c>
      <c r="S467">
        <v>0.21069350218715924</v>
      </c>
      <c r="T467">
        <v>1.0600881161870337</v>
      </c>
      <c r="U467">
        <v>3.8285079302862637E-2</v>
      </c>
      <c r="V467">
        <v>0.25539336536638024</v>
      </c>
      <c r="W467">
        <v>0.12447080359056678</v>
      </c>
      <c r="X467">
        <v>2.0449554084824548E-2</v>
      </c>
      <c r="Y467">
        <v>5.8495208740156649E-3</v>
      </c>
    </row>
    <row r="468" spans="1:25" x14ac:dyDescent="0.25">
      <c r="A468" s="881"/>
      <c r="B468" s="1131">
        <v>218</v>
      </c>
      <c r="C468" s="885">
        <v>1.0090476505531225</v>
      </c>
      <c r="D468" s="885">
        <v>0.9989513827492954</v>
      </c>
      <c r="E468" s="885">
        <v>0.9840912136256823</v>
      </c>
      <c r="F468" s="885">
        <v>1.0390611094683564</v>
      </c>
      <c r="G468" s="885">
        <v>0.97256699413623959</v>
      </c>
      <c r="H468" s="885">
        <v>0.96085535989840787</v>
      </c>
      <c r="I468" s="885">
        <v>1.0065586625401102</v>
      </c>
      <c r="K468">
        <v>1.9141645820798312</v>
      </c>
      <c r="L468">
        <v>0</v>
      </c>
      <c r="M468">
        <v>1.9242343730815972E-3</v>
      </c>
      <c r="N468">
        <v>0.18445981868147421</v>
      </c>
      <c r="O468">
        <v>2.4936322837446675E-2</v>
      </c>
      <c r="P468">
        <v>2.082038412676189E-2</v>
      </c>
      <c r="Q468">
        <v>2.8825823635256409E-3</v>
      </c>
      <c r="R468">
        <v>1.9122809678760462E-3</v>
      </c>
      <c r="S468">
        <v>0.20147352340062755</v>
      </c>
      <c r="T468">
        <v>1.0598385907578511</v>
      </c>
      <c r="U468">
        <v>3.6985677118874724E-2</v>
      </c>
      <c r="V468">
        <v>0.24667346427593909</v>
      </c>
      <c r="W468">
        <v>0.11147350432633395</v>
      </c>
      <c r="X468">
        <v>1.9428069184892781E-2</v>
      </c>
      <c r="Y468">
        <v>5.2045984113069594E-3</v>
      </c>
    </row>
    <row r="469" spans="1:25" x14ac:dyDescent="0.25">
      <c r="A469" s="881"/>
      <c r="B469" s="1131">
        <v>219</v>
      </c>
      <c r="C469" s="885">
        <v>0.96028272944778359</v>
      </c>
      <c r="D469" s="885">
        <v>0.99895593684973427</v>
      </c>
      <c r="E469" s="885">
        <v>1.0101794547085496</v>
      </c>
      <c r="F469" s="885">
        <v>0.96392170438447478</v>
      </c>
      <c r="G469" s="885">
        <v>0.98193482097916174</v>
      </c>
      <c r="H469" s="885">
        <v>1.0177554028646829</v>
      </c>
      <c r="I469" s="885">
        <v>1.0143606289972611</v>
      </c>
      <c r="K469">
        <v>1.9839022789816596</v>
      </c>
      <c r="L469">
        <v>0</v>
      </c>
      <c r="M469">
        <v>2.0272416228270152E-3</v>
      </c>
      <c r="N469">
        <v>0.21084212523651272</v>
      </c>
      <c r="O469">
        <v>2.6202575983380241E-2</v>
      </c>
      <c r="P469">
        <v>2.1568236014869457E-2</v>
      </c>
      <c r="Q469">
        <v>3.1095699117634668E-3</v>
      </c>
      <c r="R469">
        <v>2.0153523874315207E-3</v>
      </c>
      <c r="S469">
        <v>0.21943090185498718</v>
      </c>
      <c r="T469">
        <v>1.0574392894854863</v>
      </c>
      <c r="U469">
        <v>3.8863877748148382E-2</v>
      </c>
      <c r="V469">
        <v>0.25377443689020623</v>
      </c>
      <c r="W469">
        <v>0.12515815349970871</v>
      </c>
      <c r="X469">
        <v>2.2039876754137721E-2</v>
      </c>
      <c r="Y469">
        <v>5.4851248378526346E-3</v>
      </c>
    </row>
    <row r="470" spans="1:25" x14ac:dyDescent="0.25">
      <c r="A470" s="881"/>
      <c r="B470" s="1131">
        <v>220</v>
      </c>
      <c r="C470" s="885">
        <v>0.97354855638776472</v>
      </c>
      <c r="D470" s="885">
        <v>0.99313375710950969</v>
      </c>
      <c r="E470" s="885">
        <v>0.9991387310090768</v>
      </c>
      <c r="F470" s="885">
        <v>1.0043818843787788</v>
      </c>
      <c r="G470" s="885">
        <v>0.99185599285455128</v>
      </c>
      <c r="H470" s="885">
        <v>0.96372844005321945</v>
      </c>
      <c r="I470" s="885">
        <v>0.98065544619367462</v>
      </c>
      <c r="K470">
        <v>1.9417751711444133</v>
      </c>
      <c r="L470">
        <v>0</v>
      </c>
      <c r="M470">
        <v>1.9436565244552973E-3</v>
      </c>
      <c r="N470">
        <v>0.19526141679815845</v>
      </c>
      <c r="O470">
        <v>2.5920463315913425E-2</v>
      </c>
      <c r="P470">
        <v>2.1174905626926709E-2</v>
      </c>
      <c r="Q470">
        <v>3.0409862395456492E-3</v>
      </c>
      <c r="R470">
        <v>1.9316233432907788E-3</v>
      </c>
      <c r="S470">
        <v>0.20428571537143858</v>
      </c>
      <c r="T470">
        <v>1.0584514559956675</v>
      </c>
      <c r="U470">
        <v>3.833430839791846E-2</v>
      </c>
      <c r="V470">
        <v>0.25252123386533082</v>
      </c>
      <c r="W470">
        <v>0.11678537097005037</v>
      </c>
      <c r="X470">
        <v>2.0754105763653587E-2</v>
      </c>
      <c r="Y470">
        <v>5.2572419809735161E-3</v>
      </c>
    </row>
    <row r="471" spans="1:25" x14ac:dyDescent="0.25">
      <c r="A471" s="881"/>
      <c r="B471" s="1131">
        <v>221</v>
      </c>
      <c r="C471" s="885">
        <v>0.9934894411356423</v>
      </c>
      <c r="D471" s="885">
        <v>0.99188696248059516</v>
      </c>
      <c r="E471" s="885">
        <v>1.0459554128521995</v>
      </c>
      <c r="F471" s="885">
        <v>0.98659318184686984</v>
      </c>
      <c r="G471" s="885">
        <v>1.00776709995098</v>
      </c>
      <c r="H471" s="885">
        <v>1.0112562673162124</v>
      </c>
      <c r="I471" s="885">
        <v>1.0001041785738054</v>
      </c>
      <c r="K471">
        <v>1.9619061859611007</v>
      </c>
      <c r="L471">
        <v>0</v>
      </c>
      <c r="M471">
        <v>1.8114477813737041E-3</v>
      </c>
      <c r="N471">
        <v>0.2105234620580316</v>
      </c>
      <c r="O471">
        <v>2.5416014591721558E-2</v>
      </c>
      <c r="P471">
        <v>2.1871158216780769E-2</v>
      </c>
      <c r="Q471">
        <v>3.1233933514627781E-3</v>
      </c>
      <c r="R471">
        <v>1.8007611144578431E-3</v>
      </c>
      <c r="S471">
        <v>0.20913464513047972</v>
      </c>
      <c r="T471">
        <v>1.0541922306925666</v>
      </c>
      <c r="U471">
        <v>3.7564878956596312E-2</v>
      </c>
      <c r="V471">
        <v>0.24975712189785512</v>
      </c>
      <c r="W471">
        <v>0.12200458600707485</v>
      </c>
      <c r="X471">
        <v>2.3428303592632167E-2</v>
      </c>
      <c r="Y471">
        <v>4.9010781328124066E-3</v>
      </c>
    </row>
    <row r="472" spans="1:25" x14ac:dyDescent="0.25">
      <c r="A472" s="881"/>
      <c r="B472" s="1131">
        <v>222</v>
      </c>
      <c r="C472" s="885">
        <v>1.0270126335007579</v>
      </c>
      <c r="D472" s="885">
        <v>0.99754526288221124</v>
      </c>
      <c r="E472" s="885">
        <v>1.0174002875408958</v>
      </c>
      <c r="F472" s="885">
        <v>0.9779476861911367</v>
      </c>
      <c r="G472" s="885">
        <v>1.030890675094118</v>
      </c>
      <c r="H472" s="885">
        <v>0.9831305934135075</v>
      </c>
      <c r="I472" s="885">
        <v>0.99341168717145967</v>
      </c>
      <c r="K472">
        <v>1.9150053459672107</v>
      </c>
      <c r="L472">
        <v>0</v>
      </c>
      <c r="M472">
        <v>1.8046049655629972E-3</v>
      </c>
      <c r="N472">
        <v>0.19190682739120404</v>
      </c>
      <c r="O472">
        <v>2.4517217624386651E-2</v>
      </c>
      <c r="P472">
        <v>2.1208838482313606E-2</v>
      </c>
      <c r="Q472">
        <v>2.9303061278518634E-3</v>
      </c>
      <c r="R472">
        <v>1.7936497682341139E-3</v>
      </c>
      <c r="S472">
        <v>0.19767313471137335</v>
      </c>
      <c r="T472">
        <v>1.0567798869882756</v>
      </c>
      <c r="U472">
        <v>3.6338706441909945E-2</v>
      </c>
      <c r="V472">
        <v>0.2443931799363234</v>
      </c>
      <c r="W472">
        <v>0.11336185653074751</v>
      </c>
      <c r="X472">
        <v>2.1024623537507239E-2</v>
      </c>
      <c r="Y472">
        <v>4.8817233926460686E-3</v>
      </c>
    </row>
    <row r="473" spans="1:25" x14ac:dyDescent="0.25">
      <c r="A473" s="881"/>
      <c r="B473" s="1131">
        <v>223</v>
      </c>
      <c r="C473" s="885">
        <v>1.0043209307695271</v>
      </c>
      <c r="D473" s="885">
        <v>1.0191470865635965</v>
      </c>
      <c r="E473" s="885">
        <v>0.95490416319831373</v>
      </c>
      <c r="F473" s="885">
        <v>0.96481455365523239</v>
      </c>
      <c r="G473" s="885">
        <v>0.99311346582932714</v>
      </c>
      <c r="H473" s="885">
        <v>0.96837154177167406</v>
      </c>
      <c r="I473" s="885">
        <v>0.98113123020736914</v>
      </c>
      <c r="K473">
        <v>1.9024636614356281</v>
      </c>
      <c r="L473">
        <v>0</v>
      </c>
      <c r="M473">
        <v>2.0509399282575796E-3</v>
      </c>
      <c r="N473">
        <v>0.17951015914947391</v>
      </c>
      <c r="O473">
        <v>2.4806995557963885E-2</v>
      </c>
      <c r="P473">
        <v>2.0304694975081406E-2</v>
      </c>
      <c r="Q473">
        <v>2.787196632727995E-3</v>
      </c>
      <c r="R473">
        <v>2.0382808352956945E-3</v>
      </c>
      <c r="S473">
        <v>0.19624478134438786</v>
      </c>
      <c r="T473">
        <v>1.0625541883717662</v>
      </c>
      <c r="U473">
        <v>3.7159745911420412E-2</v>
      </c>
      <c r="V473">
        <v>0.24487375025534849</v>
      </c>
      <c r="W473">
        <v>0.11071842801663247</v>
      </c>
      <c r="X473">
        <v>1.7968851799209318E-2</v>
      </c>
      <c r="Y473">
        <v>5.5475285145781062E-3</v>
      </c>
    </row>
    <row r="474" spans="1:25" x14ac:dyDescent="0.25">
      <c r="A474" s="881"/>
      <c r="B474" s="1131">
        <v>224</v>
      </c>
      <c r="C474" s="885">
        <v>1.0223214977681858</v>
      </c>
      <c r="D474" s="885">
        <v>1.0400975625273174</v>
      </c>
      <c r="E474" s="885">
        <v>1.0216745436159596</v>
      </c>
      <c r="F474" s="885">
        <v>0.9719127376159441</v>
      </c>
      <c r="G474" s="885">
        <v>0.99294357347952733</v>
      </c>
      <c r="H474" s="885">
        <v>0.98908762472502487</v>
      </c>
      <c r="I474" s="885">
        <v>1.0191193438186532</v>
      </c>
      <c r="K474">
        <v>1.9107072029843282</v>
      </c>
      <c r="L474">
        <v>0</v>
      </c>
      <c r="M474">
        <v>1.7706125295019874E-3</v>
      </c>
      <c r="N474">
        <v>0.1908125656863478</v>
      </c>
      <c r="O474">
        <v>2.4126948210472558E-2</v>
      </c>
      <c r="P474">
        <v>2.1250305904246231E-2</v>
      </c>
      <c r="Q474">
        <v>2.9043205035607744E-3</v>
      </c>
      <c r="R474">
        <v>1.7598977068678688E-3</v>
      </c>
      <c r="S474">
        <v>0.20045192406666365</v>
      </c>
      <c r="T474">
        <v>1.056390524122901</v>
      </c>
      <c r="U474">
        <v>3.6505454186760447E-2</v>
      </c>
      <c r="V474">
        <v>0.24002526973042546</v>
      </c>
      <c r="W474">
        <v>0.11239073489758343</v>
      </c>
      <c r="X474">
        <v>2.1070009090031313E-2</v>
      </c>
      <c r="Y474">
        <v>4.7898614079711884E-3</v>
      </c>
    </row>
    <row r="475" spans="1:25" x14ac:dyDescent="0.25">
      <c r="A475" s="881"/>
      <c r="B475" s="1131">
        <v>225</v>
      </c>
      <c r="C475" s="885">
        <v>1.0352424259800175</v>
      </c>
      <c r="D475" s="885">
        <v>0.98805539710530377</v>
      </c>
      <c r="E475" s="885">
        <v>1.0223543720899064</v>
      </c>
      <c r="F475" s="885">
        <v>1.0047868865458405</v>
      </c>
      <c r="G475" s="885">
        <v>1.0302060653898819</v>
      </c>
      <c r="H475" s="885">
        <v>1.0485608334396344</v>
      </c>
      <c r="I475" s="885">
        <v>0.97888323824686196</v>
      </c>
      <c r="K475">
        <v>1.9386951618033199</v>
      </c>
      <c r="L475">
        <v>0</v>
      </c>
      <c r="M475">
        <v>1.8984919108254621E-3</v>
      </c>
      <c r="N475">
        <v>0.20510109629942563</v>
      </c>
      <c r="O475">
        <v>2.4437784539013716E-2</v>
      </c>
      <c r="P475">
        <v>2.131415936895438E-2</v>
      </c>
      <c r="Q475">
        <v>2.9332724803756119E-3</v>
      </c>
      <c r="R475">
        <v>1.8876931031529961E-3</v>
      </c>
      <c r="S475">
        <v>0.2003823019488285</v>
      </c>
      <c r="T475">
        <v>1.0563286610653948</v>
      </c>
      <c r="U475">
        <v>3.6049827233063214E-2</v>
      </c>
      <c r="V475">
        <v>0.24445230198362566</v>
      </c>
      <c r="W475">
        <v>0.12075151118591432</v>
      </c>
      <c r="X475">
        <v>2.1817366157478816E-2</v>
      </c>
      <c r="Y475">
        <v>5.1376783489182412E-3</v>
      </c>
    </row>
    <row r="476" spans="1:25" x14ac:dyDescent="0.25">
      <c r="A476" s="881"/>
      <c r="B476" s="1131">
        <v>226</v>
      </c>
      <c r="C476" s="885">
        <v>0.97480667460496884</v>
      </c>
      <c r="D476" s="885">
        <v>0.98138307683298676</v>
      </c>
      <c r="E476" s="885">
        <v>0.98358844468743223</v>
      </c>
      <c r="F476" s="885">
        <v>0.98386135124539753</v>
      </c>
      <c r="G476" s="885">
        <v>1.0126683367398064</v>
      </c>
      <c r="H476" s="885">
        <v>1.0021033618104116</v>
      </c>
      <c r="I476" s="885">
        <v>1.0265347666645717</v>
      </c>
      <c r="K476">
        <v>1.9694118504030931</v>
      </c>
      <c r="L476">
        <v>0</v>
      </c>
      <c r="M476">
        <v>2.097879997048027E-3</v>
      </c>
      <c r="N476">
        <v>0.20084418643586846</v>
      </c>
      <c r="O476">
        <v>2.6040249094126732E-2</v>
      </c>
      <c r="P476">
        <v>2.1162081571869284E-2</v>
      </c>
      <c r="Q476">
        <v>3.0049238425046351E-3</v>
      </c>
      <c r="R476">
        <v>2.0853997405611093E-3</v>
      </c>
      <c r="S476">
        <v>0.21886564712150239</v>
      </c>
      <c r="T476">
        <v>1.0598850897424541</v>
      </c>
      <c r="U476">
        <v>3.8284832852668524E-2</v>
      </c>
      <c r="V476">
        <v>0.25387054927521646</v>
      </c>
      <c r="W476">
        <v>0.12141720883412846</v>
      </c>
      <c r="X476">
        <v>2.0373791247273097E-2</v>
      </c>
      <c r="Y476">
        <v>5.6757706419676215E-3</v>
      </c>
    </row>
    <row r="477" spans="1:25" x14ac:dyDescent="0.25">
      <c r="A477" s="881"/>
      <c r="B477" s="1131">
        <v>227</v>
      </c>
      <c r="C477" s="885">
        <v>0.98918722957646343</v>
      </c>
      <c r="D477" s="885">
        <v>0.99371879515593609</v>
      </c>
      <c r="E477" s="885">
        <v>0.99323124263259199</v>
      </c>
      <c r="F477" s="885">
        <v>1.0133315867616681</v>
      </c>
      <c r="G477" s="885">
        <v>0.9811407967209711</v>
      </c>
      <c r="H477" s="885">
        <v>0.99603912384334004</v>
      </c>
      <c r="I477" s="885">
        <v>0.96921053483116126</v>
      </c>
      <c r="K477">
        <v>1.9400743913818819</v>
      </c>
      <c r="L477">
        <v>0</v>
      </c>
      <c r="M477">
        <v>2.0012138907767769E-3</v>
      </c>
      <c r="N477">
        <v>0.19742128794530278</v>
      </c>
      <c r="O477">
        <v>2.5503228471102864E-2</v>
      </c>
      <c r="P477">
        <v>2.1015505376712131E-2</v>
      </c>
      <c r="Q477">
        <v>2.9744070687570353E-3</v>
      </c>
      <c r="R477">
        <v>1.9892257869534294E-3</v>
      </c>
      <c r="S477">
        <v>0.20186968284966034</v>
      </c>
      <c r="T477">
        <v>1.0589949797699303</v>
      </c>
      <c r="U477">
        <v>3.7728257588703566E-2</v>
      </c>
      <c r="V477">
        <v>0.25014455700487953</v>
      </c>
      <c r="W477">
        <v>0.11855671507767161</v>
      </c>
      <c r="X477">
        <v>2.0463741489002891E-2</v>
      </c>
      <c r="Y477">
        <v>5.4140168439828018E-3</v>
      </c>
    </row>
    <row r="478" spans="1:25" x14ac:dyDescent="0.25">
      <c r="A478" s="881"/>
      <c r="B478" s="1131">
        <v>228</v>
      </c>
      <c r="C478" s="885">
        <v>1.0307281114756683</v>
      </c>
      <c r="D478" s="885">
        <v>1.0011888833524183</v>
      </c>
      <c r="E478" s="885">
        <v>1.0303421209958286</v>
      </c>
      <c r="F478" s="885">
        <v>1.0225387890352833</v>
      </c>
      <c r="G478" s="885">
        <v>0.96573812323341601</v>
      </c>
      <c r="H478" s="885">
        <v>0.99710251656606752</v>
      </c>
      <c r="I478" s="885">
        <v>0.99678348047437038</v>
      </c>
      <c r="K478">
        <v>1.9201185049832701</v>
      </c>
      <c r="L478">
        <v>0</v>
      </c>
      <c r="M478">
        <v>1.7712492108052618E-3</v>
      </c>
      <c r="N478">
        <v>0.19610099543574183</v>
      </c>
      <c r="O478">
        <v>2.4384789121733842E-2</v>
      </c>
      <c r="P478">
        <v>2.1392841788460126E-2</v>
      </c>
      <c r="Q478">
        <v>2.9528882388326874E-3</v>
      </c>
      <c r="R478">
        <v>1.7606444988366606E-3</v>
      </c>
      <c r="S478">
        <v>0.19866535750148809</v>
      </c>
      <c r="T478">
        <v>1.055603145931248</v>
      </c>
      <c r="U478">
        <v>3.6207715871342978E-2</v>
      </c>
      <c r="V478">
        <v>0.24345496086892215</v>
      </c>
      <c r="W478">
        <v>0.11483488607136785</v>
      </c>
      <c r="X478">
        <v>2.1739634936569229E-2</v>
      </c>
      <c r="Y478">
        <v>4.7918939295303322E-3</v>
      </c>
    </row>
    <row r="479" spans="1:25" x14ac:dyDescent="0.25">
      <c r="A479" s="881"/>
      <c r="B479" s="1131">
        <v>229</v>
      </c>
      <c r="C479" s="885">
        <v>0.97333826730494577</v>
      </c>
      <c r="D479" s="885">
        <v>1.001405616904965</v>
      </c>
      <c r="E479" s="885">
        <v>1.002852778968073</v>
      </c>
      <c r="F479" s="885">
        <v>1.0217695189669873</v>
      </c>
      <c r="G479" s="885">
        <v>1.0095728320588173</v>
      </c>
      <c r="H479" s="885">
        <v>0.99158792103079507</v>
      </c>
      <c r="I479" s="885">
        <v>0.98400258234754334</v>
      </c>
      <c r="K479">
        <v>1.9523964608794899</v>
      </c>
      <c r="L479">
        <v>0</v>
      </c>
      <c r="M479">
        <v>1.9765611109256861E-3</v>
      </c>
      <c r="N479">
        <v>0.20090903933835821</v>
      </c>
      <c r="O479">
        <v>2.5819795836484201E-2</v>
      </c>
      <c r="P479">
        <v>2.1253447797825335E-2</v>
      </c>
      <c r="Q479">
        <v>3.0422603068008466E-3</v>
      </c>
      <c r="R479">
        <v>1.9646611770354218E-3</v>
      </c>
      <c r="S479">
        <v>0.20709710171453788</v>
      </c>
      <c r="T479">
        <v>1.0581104374721884</v>
      </c>
      <c r="U479">
        <v>3.8342590499654661E-2</v>
      </c>
      <c r="V479">
        <v>0.25149172226467253</v>
      </c>
      <c r="W479">
        <v>0.11985842812687682</v>
      </c>
      <c r="X479">
        <v>2.113637738247132E-2</v>
      </c>
      <c r="Y479">
        <v>5.3471600735074676E-3</v>
      </c>
    </row>
    <row r="480" spans="1:25" x14ac:dyDescent="0.25">
      <c r="A480" s="881"/>
      <c r="B480" s="1131">
        <v>230</v>
      </c>
      <c r="C480" s="885">
        <v>0.98819708005073592</v>
      </c>
      <c r="D480" s="885">
        <v>1.0386284291866137</v>
      </c>
      <c r="E480" s="885">
        <v>1.0099215893864775</v>
      </c>
      <c r="F480" s="885">
        <v>0.99491471246866692</v>
      </c>
      <c r="G480" s="885">
        <v>1.0314862935773934</v>
      </c>
      <c r="H480" s="885">
        <v>1.013584282092729</v>
      </c>
      <c r="I480" s="885">
        <v>1.0292928520346369</v>
      </c>
      <c r="K480">
        <v>1.946763805480306</v>
      </c>
      <c r="L480">
        <v>0</v>
      </c>
      <c r="M480">
        <v>1.9256162430365236E-3</v>
      </c>
      <c r="N480">
        <v>0.20010411477865192</v>
      </c>
      <c r="O480">
        <v>2.4977476994317918E-2</v>
      </c>
      <c r="P480">
        <v>2.1325490475951659E-2</v>
      </c>
      <c r="Q480">
        <v>2.9714096030780037E-3</v>
      </c>
      <c r="R480">
        <v>1.914246143268103E-3</v>
      </c>
      <c r="S480">
        <v>0.21211351619909843</v>
      </c>
      <c r="T480">
        <v>1.0574628752553323</v>
      </c>
      <c r="U480">
        <v>3.7766060388481237E-2</v>
      </c>
      <c r="V480">
        <v>0.24480935879372026</v>
      </c>
      <c r="W480">
        <v>0.11880476892647317</v>
      </c>
      <c r="X480">
        <v>2.1230157194063067E-2</v>
      </c>
      <c r="Y480">
        <v>5.2099469709042398E-3</v>
      </c>
    </row>
    <row r="481" spans="1:25" x14ac:dyDescent="0.25">
      <c r="A481" s="881"/>
      <c r="B481" s="1131">
        <v>231</v>
      </c>
      <c r="C481" s="885">
        <v>0.96574212692917683</v>
      </c>
      <c r="D481" s="885">
        <v>0.98476817566421337</v>
      </c>
      <c r="E481" s="885">
        <v>1.0273026964914531</v>
      </c>
      <c r="F481" s="885">
        <v>1.0006754342196607</v>
      </c>
      <c r="G481" s="885">
        <v>1.0201852396838775</v>
      </c>
      <c r="H481" s="885">
        <v>0.97501730006823706</v>
      </c>
      <c r="I481" s="885">
        <v>0.9860573121502012</v>
      </c>
      <c r="K481">
        <v>1.9634884120711409</v>
      </c>
      <c r="L481">
        <v>0</v>
      </c>
      <c r="M481">
        <v>1.8757832652278503E-3</v>
      </c>
      <c r="N481">
        <v>0.20569733702289289</v>
      </c>
      <c r="O481">
        <v>2.6239796993309056E-2</v>
      </c>
      <c r="P481">
        <v>2.1685976274571288E-2</v>
      </c>
      <c r="Q481">
        <v>3.1643194982960152E-3</v>
      </c>
      <c r="R481">
        <v>1.8643115032188427E-3</v>
      </c>
      <c r="S481">
        <v>0.20905264970818144</v>
      </c>
      <c r="T481">
        <v>1.0558789179636214</v>
      </c>
      <c r="U481">
        <v>3.8644177943843359E-2</v>
      </c>
      <c r="V481">
        <v>0.25479953042955877</v>
      </c>
      <c r="W481">
        <v>0.1207002009169057</v>
      </c>
      <c r="X481">
        <v>2.2562935740330737E-2</v>
      </c>
      <c r="Y481">
        <v>5.0740413416398254E-3</v>
      </c>
    </row>
    <row r="482" spans="1:25" x14ac:dyDescent="0.25">
      <c r="A482" s="881"/>
      <c r="B482" s="1131">
        <v>232</v>
      </c>
      <c r="C482" s="885">
        <v>1.0115927468540482</v>
      </c>
      <c r="D482" s="885">
        <v>0.99167314318244004</v>
      </c>
      <c r="E482" s="885">
        <v>0.99489495005892215</v>
      </c>
      <c r="F482" s="885">
        <v>1.0267552686765453</v>
      </c>
      <c r="G482" s="885">
        <v>1.016087797234841</v>
      </c>
      <c r="H482" s="885">
        <v>0.9923387519254534</v>
      </c>
      <c r="I482" s="885">
        <v>0.99414494713953372</v>
      </c>
      <c r="K482">
        <v>1.9281272691710178</v>
      </c>
      <c r="L482">
        <v>0</v>
      </c>
      <c r="M482">
        <v>1.9447899980651413E-3</v>
      </c>
      <c r="N482">
        <v>0.19284691193927031</v>
      </c>
      <c r="O482">
        <v>2.496384050783533E-2</v>
      </c>
      <c r="P482">
        <v>2.099438314037997E-2</v>
      </c>
      <c r="Q482">
        <v>2.9159678191188793E-3</v>
      </c>
      <c r="R482">
        <v>1.9330981293601073E-3</v>
      </c>
      <c r="S482">
        <v>0.20229916838558384</v>
      </c>
      <c r="T482">
        <v>1.0588417714751484</v>
      </c>
      <c r="U482">
        <v>3.6892623752967146E-2</v>
      </c>
      <c r="V482">
        <v>0.24721962084924409</v>
      </c>
      <c r="W482">
        <v>0.11567737353788818</v>
      </c>
      <c r="X482">
        <v>2.0226043769793686E-2</v>
      </c>
      <c r="Y482">
        <v>5.2612558624911317E-3</v>
      </c>
    </row>
    <row r="483" spans="1:25" x14ac:dyDescent="0.25">
      <c r="A483" s="881"/>
      <c r="B483" s="1131">
        <v>233</v>
      </c>
      <c r="C483" s="885">
        <v>0.98359617286702161</v>
      </c>
      <c r="D483" s="885">
        <v>1.0047053039179505</v>
      </c>
      <c r="E483" s="885">
        <v>0.97607580665724913</v>
      </c>
      <c r="F483" s="885">
        <v>1.0000096764852455</v>
      </c>
      <c r="G483" s="885">
        <v>0.99135345570954514</v>
      </c>
      <c r="H483" s="885">
        <v>0.99149687015609189</v>
      </c>
      <c r="I483" s="885">
        <v>0.98277372162148879</v>
      </c>
      <c r="K483">
        <v>1.9373764907707265</v>
      </c>
      <c r="L483">
        <v>0</v>
      </c>
      <c r="M483">
        <v>2.0656691785356659E-3</v>
      </c>
      <c r="N483">
        <v>0.19317080754492802</v>
      </c>
      <c r="O483">
        <v>2.550896799280615E-2</v>
      </c>
      <c r="P483">
        <v>2.0794293443840855E-2</v>
      </c>
      <c r="Q483">
        <v>2.9260246257435262E-3</v>
      </c>
      <c r="R483">
        <v>2.0532287935961339E-3</v>
      </c>
      <c r="S483">
        <v>0.20436353539463348</v>
      </c>
      <c r="T483">
        <v>1.0605810700632852</v>
      </c>
      <c r="U483">
        <v>3.7942716361059385E-2</v>
      </c>
      <c r="V483">
        <v>0.24956943589811639</v>
      </c>
      <c r="W483">
        <v>0.11738880982220158</v>
      </c>
      <c r="X483">
        <v>1.9555058079569802E-2</v>
      </c>
      <c r="Y483">
        <v>5.5882119294787752E-3</v>
      </c>
    </row>
    <row r="484" spans="1:25" x14ac:dyDescent="0.25">
      <c r="A484" s="881"/>
      <c r="B484" s="1131">
        <v>234</v>
      </c>
      <c r="C484" s="885">
        <v>1.000901414765377</v>
      </c>
      <c r="D484" s="885">
        <v>1.0143125682432872</v>
      </c>
      <c r="E484" s="885">
        <v>0.98840536052442973</v>
      </c>
      <c r="F484" s="885">
        <v>1.0128010349307461</v>
      </c>
      <c r="G484" s="885">
        <v>0.95792731204561621</v>
      </c>
      <c r="H484" s="885">
        <v>1.0039832491311265</v>
      </c>
      <c r="I484" s="885">
        <v>0.99418864881609825</v>
      </c>
      <c r="K484">
        <v>1.9307707479552452</v>
      </c>
      <c r="L484">
        <v>0</v>
      </c>
      <c r="M484">
        <v>1.9935850270737902E-3</v>
      </c>
      <c r="N484">
        <v>0.1937436089196663</v>
      </c>
      <c r="O484">
        <v>2.4950268803710419E-2</v>
      </c>
      <c r="P484">
        <v>2.0904690695652685E-2</v>
      </c>
      <c r="Q484">
        <v>2.8998994779595834E-3</v>
      </c>
      <c r="R484">
        <v>1.9817202957761173E-3</v>
      </c>
      <c r="S484">
        <v>0.20352500947177957</v>
      </c>
      <c r="T484">
        <v>1.0594399969344477</v>
      </c>
      <c r="U484">
        <v>3.7286699819147742E-2</v>
      </c>
      <c r="V484">
        <v>0.24592595552824895</v>
      </c>
      <c r="W484">
        <v>0.1167354783643437</v>
      </c>
      <c r="X484">
        <v>1.9977415300402698E-2</v>
      </c>
      <c r="Y484">
        <v>5.3935893711826608E-3</v>
      </c>
    </row>
    <row r="485" spans="1:25" x14ac:dyDescent="0.25">
      <c r="A485" s="881"/>
      <c r="B485" s="1131">
        <v>235</v>
      </c>
      <c r="C485" s="885">
        <v>1.0151206587091901</v>
      </c>
      <c r="D485" s="885">
        <v>1.0261732324122934</v>
      </c>
      <c r="E485" s="885">
        <v>1.0237791749351797</v>
      </c>
      <c r="F485" s="885">
        <v>0.98352604361126239</v>
      </c>
      <c r="G485" s="885">
        <v>0.9777030462960834</v>
      </c>
      <c r="H485" s="885">
        <v>0.99265358186524233</v>
      </c>
      <c r="I485" s="885">
        <v>0.96269070255073541</v>
      </c>
      <c r="K485">
        <v>1.9115644078371492</v>
      </c>
      <c r="L485">
        <v>0</v>
      </c>
      <c r="M485">
        <v>1.7935221271685397E-3</v>
      </c>
      <c r="N485">
        <v>0.19455436047894978</v>
      </c>
      <c r="O485">
        <v>2.4460008999605855E-2</v>
      </c>
      <c r="P485">
        <v>2.1204963654568056E-2</v>
      </c>
      <c r="Q485">
        <v>2.947839589007459E-3</v>
      </c>
      <c r="R485">
        <v>1.7827176085148052E-3</v>
      </c>
      <c r="S485">
        <v>0.192211395628267</v>
      </c>
      <c r="T485">
        <v>1.0561990654418207</v>
      </c>
      <c r="U485">
        <v>3.6764408526935792E-2</v>
      </c>
      <c r="V485">
        <v>0.24257686443844328</v>
      </c>
      <c r="W485">
        <v>0.11443237393425593</v>
      </c>
      <c r="X485">
        <v>2.137196200627469E-2</v>
      </c>
      <c r="Y485">
        <v>4.8519696576755931E-3</v>
      </c>
    </row>
    <row r="486" spans="1:25" x14ac:dyDescent="0.25">
      <c r="A486" s="881"/>
      <c r="B486" s="1131">
        <v>236</v>
      </c>
      <c r="C486" s="885">
        <v>1.0007853503549335</v>
      </c>
      <c r="D486" s="885">
        <v>0.99801854639910792</v>
      </c>
      <c r="E486" s="885">
        <v>1.0309043869074843</v>
      </c>
      <c r="F486" s="885">
        <v>0.99624475077624608</v>
      </c>
      <c r="G486" s="885">
        <v>1.0195345353622935</v>
      </c>
      <c r="H486" s="885">
        <v>0.99980964516164383</v>
      </c>
      <c r="I486" s="885">
        <v>1.0268160884729458</v>
      </c>
      <c r="K486">
        <v>1.9510309067172797</v>
      </c>
      <c r="L486">
        <v>0</v>
      </c>
      <c r="M486">
        <v>1.8298900528192768E-3</v>
      </c>
      <c r="N486">
        <v>0.20295079671726968</v>
      </c>
      <c r="O486">
        <v>2.5153824602493775E-2</v>
      </c>
      <c r="P486">
        <v>2.1655901530742757E-2</v>
      </c>
      <c r="Q486">
        <v>3.0470342991165463E-3</v>
      </c>
      <c r="R486">
        <v>1.8189663159465454E-3</v>
      </c>
      <c r="S486">
        <v>0.21136251312548229</v>
      </c>
      <c r="T486">
        <v>1.055552170253268</v>
      </c>
      <c r="U486">
        <v>3.7291024081918367E-2</v>
      </c>
      <c r="V486">
        <v>0.24794148495340448</v>
      </c>
      <c r="W486">
        <v>0.11880131338876503</v>
      </c>
      <c r="X486">
        <v>2.2335140811766865E-2</v>
      </c>
      <c r="Y486">
        <v>4.9506266899215969E-3</v>
      </c>
    </row>
    <row r="487" spans="1:25" x14ac:dyDescent="0.25">
      <c r="A487" s="881"/>
      <c r="B487" s="1131">
        <v>237</v>
      </c>
      <c r="C487" s="885">
        <v>0.98063086264533927</v>
      </c>
      <c r="D487" s="885">
        <v>0.97312151850824891</v>
      </c>
      <c r="E487" s="885">
        <v>1.0292416720244952</v>
      </c>
      <c r="F487" s="885">
        <v>0.96650564489968205</v>
      </c>
      <c r="G487" s="885">
        <v>1.0388409009115565</v>
      </c>
      <c r="H487" s="885">
        <v>1.0110504389883697</v>
      </c>
      <c r="I487" s="885">
        <v>0.96950868053716599</v>
      </c>
      <c r="K487">
        <v>1.9697331948124666</v>
      </c>
      <c r="L487">
        <v>0</v>
      </c>
      <c r="M487">
        <v>1.91902553976226E-3</v>
      </c>
      <c r="N487">
        <v>0.21175734845974731</v>
      </c>
      <c r="O487">
        <v>2.5994485607412757E-2</v>
      </c>
      <c r="P487">
        <v>2.1670082726270964E-2</v>
      </c>
      <c r="Q487">
        <v>3.1381295749697193E-3</v>
      </c>
      <c r="R487">
        <v>1.9077170053501953E-3</v>
      </c>
      <c r="S487">
        <v>0.20718865484201018</v>
      </c>
      <c r="T487">
        <v>1.0557029497285813</v>
      </c>
      <c r="U487">
        <v>3.8057450588738335E-2</v>
      </c>
      <c r="V487">
        <v>0.2540903142733249</v>
      </c>
      <c r="W487">
        <v>0.12409458843349146</v>
      </c>
      <c r="X487">
        <v>2.2858322302511308E-2</v>
      </c>
      <c r="Y487">
        <v>5.1921768098214319E-3</v>
      </c>
    </row>
    <row r="488" spans="1:25" x14ac:dyDescent="0.25">
      <c r="A488" s="881"/>
      <c r="B488" s="1131">
        <v>238</v>
      </c>
      <c r="C488" s="885">
        <v>1.0291104416938699</v>
      </c>
      <c r="D488" s="885">
        <v>0.96391059050644723</v>
      </c>
      <c r="E488" s="885">
        <v>0.99956824590534765</v>
      </c>
      <c r="F488" s="885">
        <v>0.9929498921492439</v>
      </c>
      <c r="G488" s="885">
        <v>1.0060125091227983</v>
      </c>
      <c r="H488" s="885">
        <v>0.9682168975478036</v>
      </c>
      <c r="I488" s="885">
        <v>0.99781778285451705</v>
      </c>
      <c r="K488">
        <v>1.9180469642002103</v>
      </c>
      <c r="L488">
        <v>0</v>
      </c>
      <c r="M488">
        <v>1.8731599659902458E-3</v>
      </c>
      <c r="N488">
        <v>0.18843879026137408</v>
      </c>
      <c r="O488">
        <v>2.4887332969451757E-2</v>
      </c>
      <c r="P488">
        <v>2.103473089174842E-2</v>
      </c>
      <c r="Q488">
        <v>2.9149070522520959E-3</v>
      </c>
      <c r="R488">
        <v>1.8616410834599285E-3</v>
      </c>
      <c r="S488">
        <v>0.19980657167052718</v>
      </c>
      <c r="T488">
        <v>1.0584119910770884</v>
      </c>
      <c r="U488">
        <v>3.6264631169701578E-2</v>
      </c>
      <c r="V488">
        <v>0.24833755907915045</v>
      </c>
      <c r="W488">
        <v>0.11267164181256842</v>
      </c>
      <c r="X488">
        <v>2.0223553759517728E-2</v>
      </c>
      <c r="Y488">
        <v>5.0667733393596967E-3</v>
      </c>
    </row>
    <row r="489" spans="1:25" x14ac:dyDescent="0.25">
      <c r="A489" s="881"/>
      <c r="B489" s="1131">
        <v>239</v>
      </c>
      <c r="C489" s="885">
        <v>1.001011671809787</v>
      </c>
      <c r="D489" s="885">
        <v>1.0238580674580957</v>
      </c>
      <c r="E489" s="885">
        <v>1.0347555066825282</v>
      </c>
      <c r="F489" s="885">
        <v>0.9990653982837675</v>
      </c>
      <c r="G489" s="885">
        <v>0.99269357677639569</v>
      </c>
      <c r="H489" s="885">
        <v>0.98883841275181805</v>
      </c>
      <c r="I489" s="885">
        <v>1.035587289585596</v>
      </c>
      <c r="K489">
        <v>1.938293757460644</v>
      </c>
      <c r="L489">
        <v>0</v>
      </c>
      <c r="M489">
        <v>1.7722006190789576E-3</v>
      </c>
      <c r="N489">
        <v>0.19890047901290797</v>
      </c>
      <c r="O489">
        <v>2.4832419392600686E-2</v>
      </c>
      <c r="P489">
        <v>2.164096618019215E-2</v>
      </c>
      <c r="Q489">
        <v>3.0249179712332546E-3</v>
      </c>
      <c r="R489">
        <v>1.7614850135660154E-3</v>
      </c>
      <c r="S489">
        <v>0.20950215510984666</v>
      </c>
      <c r="T489">
        <v>1.0552033561020766</v>
      </c>
      <c r="U489">
        <v>3.7282592852731986E-2</v>
      </c>
      <c r="V489">
        <v>0.24476813310157991</v>
      </c>
      <c r="W489">
        <v>0.11613088111398466</v>
      </c>
      <c r="X489">
        <v>2.2224390695455565E-2</v>
      </c>
      <c r="Y489">
        <v>4.7941815335480311E-3</v>
      </c>
    </row>
    <row r="490" spans="1:25" x14ac:dyDescent="0.25">
      <c r="A490" s="881"/>
      <c r="B490" s="1131">
        <v>240</v>
      </c>
      <c r="C490" s="885">
        <v>0.97067985161992809</v>
      </c>
      <c r="D490" s="885">
        <v>1.0137829635663238</v>
      </c>
      <c r="E490" s="885">
        <v>0.99772958250714194</v>
      </c>
      <c r="F490" s="885">
        <v>0.9750188442977854</v>
      </c>
      <c r="G490" s="885">
        <v>1.0008748824204248</v>
      </c>
      <c r="H490" s="885">
        <v>0.99881773373162208</v>
      </c>
      <c r="I490" s="885">
        <v>0.97234957467206384</v>
      </c>
      <c r="K490">
        <v>1.9491105729405354</v>
      </c>
      <c r="L490">
        <v>0</v>
      </c>
      <c r="M490">
        <v>2.0058714862221066E-3</v>
      </c>
      <c r="N490">
        <v>0.20067217654870464</v>
      </c>
      <c r="O490">
        <v>2.5733720160909176E-2</v>
      </c>
      <c r="P490">
        <v>2.1132796949600241E-2</v>
      </c>
      <c r="Q490">
        <v>3.0191220801649545E-3</v>
      </c>
      <c r="R490">
        <v>1.9938723260631273E-3</v>
      </c>
      <c r="S490">
        <v>0.20478067655292451</v>
      </c>
      <c r="T490">
        <v>1.058580982588649</v>
      </c>
      <c r="U490">
        <v>3.8447599935894999E-2</v>
      </c>
      <c r="V490">
        <v>0.25032874683250272</v>
      </c>
      <c r="W490">
        <v>0.12013743998571767</v>
      </c>
      <c r="X490">
        <v>2.0862647273917036E-2</v>
      </c>
      <c r="Y490">
        <v>5.4266631917081953E-3</v>
      </c>
    </row>
    <row r="491" spans="1:25" x14ac:dyDescent="0.25">
      <c r="A491" s="881"/>
      <c r="B491" s="1131">
        <v>241</v>
      </c>
      <c r="C491" s="885">
        <v>1.0185197297968902</v>
      </c>
      <c r="D491" s="885">
        <v>1.0176920817590289</v>
      </c>
      <c r="E491" s="885">
        <v>1.0133762277886105</v>
      </c>
      <c r="F491" s="885">
        <v>0.9991740458616658</v>
      </c>
      <c r="G491" s="885">
        <v>1.0046908103665124</v>
      </c>
      <c r="H491" s="885">
        <v>0.97042151750515993</v>
      </c>
      <c r="I491" s="885">
        <v>1.0074308885883243</v>
      </c>
      <c r="K491">
        <v>1.9099402022089706</v>
      </c>
      <c r="L491">
        <v>0</v>
      </c>
      <c r="M491">
        <v>1.7936447367255207E-3</v>
      </c>
      <c r="N491">
        <v>0.18835423064731477</v>
      </c>
      <c r="O491">
        <v>2.4478431830096757E-2</v>
      </c>
      <c r="P491">
        <v>2.1156386750470952E-2</v>
      </c>
      <c r="Q491">
        <v>2.9180111236169464E-3</v>
      </c>
      <c r="R491">
        <v>1.7825982283642689E-3</v>
      </c>
      <c r="S491">
        <v>0.19902938399296941</v>
      </c>
      <c r="T491">
        <v>1.0571471107261075</v>
      </c>
      <c r="U491">
        <v>3.6641715922733485E-2</v>
      </c>
      <c r="V491">
        <v>0.24311265850805897</v>
      </c>
      <c r="W491">
        <v>0.11156679293456406</v>
      </c>
      <c r="X491">
        <v>2.0694881537137791E-2</v>
      </c>
      <c r="Y491">
        <v>4.8516447442594904E-3</v>
      </c>
    </row>
    <row r="492" spans="1:25" x14ac:dyDescent="0.25">
      <c r="A492" s="881"/>
      <c r="B492" s="1131">
        <v>242</v>
      </c>
      <c r="C492" s="885">
        <v>1.027477238356568</v>
      </c>
      <c r="D492" s="885">
        <v>1.0357809229839372</v>
      </c>
      <c r="E492" s="885">
        <v>0.95726360400162014</v>
      </c>
      <c r="F492" s="885">
        <v>1.0297834113267514</v>
      </c>
      <c r="G492" s="885">
        <v>1.015720282929109</v>
      </c>
      <c r="H492" s="885">
        <v>0.99465635086171644</v>
      </c>
      <c r="I492" s="885">
        <v>1.0363395556025088</v>
      </c>
      <c r="K492">
        <v>1.9024162365290758</v>
      </c>
      <c r="L492">
        <v>0</v>
      </c>
      <c r="M492">
        <v>2.0327173862692439E-3</v>
      </c>
      <c r="N492">
        <v>0.17925851272588009</v>
      </c>
      <c r="O492">
        <v>2.4055098311382504E-2</v>
      </c>
      <c r="P492">
        <v>2.0360704573736295E-2</v>
      </c>
      <c r="Q492">
        <v>2.7123167129903258E-3</v>
      </c>
      <c r="R492">
        <v>2.0204887776598744E-3</v>
      </c>
      <c r="S492">
        <v>0.20376010910417169</v>
      </c>
      <c r="T492">
        <v>1.0623334404980427</v>
      </c>
      <c r="U492">
        <v>3.6322274798622378E-2</v>
      </c>
      <c r="V492">
        <v>0.23983646932390931</v>
      </c>
      <c r="W492">
        <v>0.11037928191548343</v>
      </c>
      <c r="X492">
        <v>1.7911152774621783E-2</v>
      </c>
      <c r="Y492">
        <v>5.4991043988436268E-3</v>
      </c>
    </row>
    <row r="493" spans="1:25" x14ac:dyDescent="0.25">
      <c r="A493" s="881"/>
      <c r="B493" s="1131">
        <v>243</v>
      </c>
      <c r="C493" s="885">
        <v>0.98487604365049364</v>
      </c>
      <c r="D493" s="885">
        <v>1.0080288338174259</v>
      </c>
      <c r="E493" s="885">
        <v>1.0081573452092409</v>
      </c>
      <c r="F493" s="885">
        <v>1.0238787310345594</v>
      </c>
      <c r="G493" s="885">
        <v>0.96970976879797854</v>
      </c>
      <c r="H493" s="885">
        <v>0.98808787879092963</v>
      </c>
      <c r="I493" s="885">
        <v>0.983020703675066</v>
      </c>
      <c r="K493">
        <v>1.9401080727701514</v>
      </c>
      <c r="L493">
        <v>0</v>
      </c>
      <c r="M493">
        <v>1.9186075608515643E-3</v>
      </c>
      <c r="N493">
        <v>0.19825727944042756</v>
      </c>
      <c r="O493">
        <v>2.5434243255647037E-2</v>
      </c>
      <c r="P493">
        <v>2.1240429171237064E-2</v>
      </c>
      <c r="Q493">
        <v>3.0141869867728864E-3</v>
      </c>
      <c r="R493">
        <v>1.9070103357631892E-3</v>
      </c>
      <c r="S493">
        <v>0.20349738575669368</v>
      </c>
      <c r="T493">
        <v>1.0576243122676081</v>
      </c>
      <c r="U493">
        <v>3.7893408862487148E-2</v>
      </c>
      <c r="V493">
        <v>0.24896893617246477</v>
      </c>
      <c r="W493">
        <v>0.11784956098981041</v>
      </c>
      <c r="X493">
        <v>2.1149673603931669E-2</v>
      </c>
      <c r="Y493">
        <v>5.1902534881591699E-3</v>
      </c>
    </row>
    <row r="494" spans="1:25" x14ac:dyDescent="0.25">
      <c r="A494" s="881"/>
      <c r="B494" s="1131">
        <v>244</v>
      </c>
      <c r="C494" s="885">
        <v>1.0070378689806792</v>
      </c>
      <c r="D494" s="885">
        <v>1.0202942970559969</v>
      </c>
      <c r="E494" s="885">
        <v>0.97458049885450371</v>
      </c>
      <c r="F494" s="885">
        <v>1.0120950594969327</v>
      </c>
      <c r="G494" s="885">
        <v>1.0291437513497617</v>
      </c>
      <c r="H494" s="885">
        <v>0.98805687659192309</v>
      </c>
      <c r="I494" s="885">
        <v>0.99061328011791538</v>
      </c>
      <c r="K494">
        <v>1.9138475038056646</v>
      </c>
      <c r="L494">
        <v>0</v>
      </c>
      <c r="M494">
        <v>2.0016273449687217E-3</v>
      </c>
      <c r="N494">
        <v>0.18630646243885127</v>
      </c>
      <c r="O494">
        <v>2.4726331228218944E-2</v>
      </c>
      <c r="P494">
        <v>2.0625059441715058E-2</v>
      </c>
      <c r="Q494">
        <v>2.8349578447321999E-3</v>
      </c>
      <c r="R494">
        <v>1.9895178365296239E-3</v>
      </c>
      <c r="S494">
        <v>0.19944548695303524</v>
      </c>
      <c r="T494">
        <v>1.0607198583437241</v>
      </c>
      <c r="U494">
        <v>3.7059490760454152E-2</v>
      </c>
      <c r="V494">
        <v>0.2443634519989103</v>
      </c>
      <c r="W494">
        <v>0.11333530565278407</v>
      </c>
      <c r="X494">
        <v>1.9028396945021436E-2</v>
      </c>
      <c r="Y494">
        <v>5.4148117066550863E-3</v>
      </c>
    </row>
    <row r="495" spans="1:25" x14ac:dyDescent="0.25">
      <c r="A495" s="881"/>
      <c r="B495" s="1131">
        <v>245</v>
      </c>
      <c r="C495" s="885">
        <v>1.0004523681405408</v>
      </c>
      <c r="D495" s="885">
        <v>1.0175901374223237</v>
      </c>
      <c r="E495" s="885">
        <v>1.0018200404765207</v>
      </c>
      <c r="F495" s="885">
        <v>0.97824270192882601</v>
      </c>
      <c r="G495" s="885">
        <v>0.97198541252128456</v>
      </c>
      <c r="H495" s="885">
        <v>1.0351124048872131</v>
      </c>
      <c r="I495" s="885">
        <v>0.98336278999002824</v>
      </c>
      <c r="K495">
        <v>1.943567681410304</v>
      </c>
      <c r="L495">
        <v>0</v>
      </c>
      <c r="M495">
        <v>1.9959037686775438E-3</v>
      </c>
      <c r="N495">
        <v>0.20227467081387573</v>
      </c>
      <c r="O495">
        <v>2.4921725315532228E-2</v>
      </c>
      <c r="P495">
        <v>2.1103642224082508E-2</v>
      </c>
      <c r="Q495">
        <v>2.9366676591260914E-3</v>
      </c>
      <c r="R495">
        <v>1.9843799050771982E-3</v>
      </c>
      <c r="S495">
        <v>0.20417163207671632</v>
      </c>
      <c r="T495">
        <v>1.0582052080817541</v>
      </c>
      <c r="U495">
        <v>3.7303435715066696E-2</v>
      </c>
      <c r="V495">
        <v>0.24559565220846111</v>
      </c>
      <c r="W495">
        <v>0.1207583011104294</v>
      </c>
      <c r="X495">
        <v>2.0907442117897426E-2</v>
      </c>
      <c r="Y495">
        <v>5.4008279509602311E-3</v>
      </c>
    </row>
    <row r="496" spans="1:25" x14ac:dyDescent="0.25">
      <c r="A496" s="881"/>
      <c r="B496" s="1131">
        <v>246</v>
      </c>
      <c r="C496" s="885">
        <v>0.99703150783417982</v>
      </c>
      <c r="D496" s="885">
        <v>0.99192997236913749</v>
      </c>
      <c r="E496" s="885">
        <v>1.0026223596221264</v>
      </c>
      <c r="F496" s="885">
        <v>0.97881384205836264</v>
      </c>
      <c r="G496" s="885">
        <v>0.98529045841155705</v>
      </c>
      <c r="H496" s="885">
        <v>0.96025578568419778</v>
      </c>
      <c r="I496" s="885">
        <v>0.97283748973734629</v>
      </c>
      <c r="K496">
        <v>1.9220200997268935</v>
      </c>
      <c r="L496">
        <v>0</v>
      </c>
      <c r="M496">
        <v>1.8783423413045786E-3</v>
      </c>
      <c r="N496">
        <v>0.19075180944456718</v>
      </c>
      <c r="O496">
        <v>2.5325177161411135E-2</v>
      </c>
      <c r="P496">
        <v>2.1077679404624433E-2</v>
      </c>
      <c r="Q496">
        <v>2.9813115531000076E-3</v>
      </c>
      <c r="R496">
        <v>1.8666724501352184E-3</v>
      </c>
      <c r="S496">
        <v>0.19764985217903422</v>
      </c>
      <c r="T496">
        <v>1.0581315786048122</v>
      </c>
      <c r="U496">
        <v>3.7431425494252053E-2</v>
      </c>
      <c r="V496">
        <v>0.2492419210342556</v>
      </c>
      <c r="W496">
        <v>0.11381673113049126</v>
      </c>
      <c r="X496">
        <v>2.0543816550653793E-2</v>
      </c>
      <c r="Y496">
        <v>5.080467060860256E-3</v>
      </c>
    </row>
    <row r="497" spans="1:25" x14ac:dyDescent="0.25">
      <c r="A497" s="881"/>
      <c r="B497" s="1131">
        <v>247</v>
      </c>
      <c r="C497" s="885">
        <v>0.97589214427000492</v>
      </c>
      <c r="D497" s="885">
        <v>0.99609768836081969</v>
      </c>
      <c r="E497" s="885">
        <v>1.0066357741012357</v>
      </c>
      <c r="F497" s="885">
        <v>0.99938601506730484</v>
      </c>
      <c r="G497" s="885">
        <v>0.97071308433206482</v>
      </c>
      <c r="H497" s="885">
        <v>0.97930156013348768</v>
      </c>
      <c r="I497" s="885">
        <v>1.0046205922349698</v>
      </c>
      <c r="K497">
        <v>1.952285615603671</v>
      </c>
      <c r="L497">
        <v>0</v>
      </c>
      <c r="M497">
        <v>1.9365857214092589E-3</v>
      </c>
      <c r="N497">
        <v>0.19916062844344473</v>
      </c>
      <c r="O497">
        <v>2.5820072897455484E-2</v>
      </c>
      <c r="P497">
        <v>2.1352687531873676E-2</v>
      </c>
      <c r="Q497">
        <v>3.0527213172330831E-3</v>
      </c>
      <c r="R497">
        <v>1.9247845319518987E-3</v>
      </c>
      <c r="S497">
        <v>0.21011573727493449</v>
      </c>
      <c r="T497">
        <v>1.0577636410344431</v>
      </c>
      <c r="U497">
        <v>3.8242249228098393E-2</v>
      </c>
      <c r="V497">
        <v>0.25179331411459344</v>
      </c>
      <c r="W497">
        <v>0.11850922039115942</v>
      </c>
      <c r="X497">
        <v>2.1248515568969072E-2</v>
      </c>
      <c r="Y497">
        <v>5.2386289909226377E-3</v>
      </c>
    </row>
    <row r="498" spans="1:25" x14ac:dyDescent="0.25">
      <c r="A498" s="881"/>
      <c r="B498" s="1131">
        <v>248</v>
      </c>
      <c r="C498" s="885">
        <v>0.99601168602798718</v>
      </c>
      <c r="D498" s="885">
        <v>0.99922913208307418</v>
      </c>
      <c r="E498" s="885">
        <v>1.0140952856316869</v>
      </c>
      <c r="F498" s="885">
        <v>1.0003298838291517</v>
      </c>
      <c r="G498" s="885">
        <v>1.0062088306485706</v>
      </c>
      <c r="H498" s="885">
        <v>1.0045058368403461</v>
      </c>
      <c r="I498" s="885">
        <v>0.99675681812730432</v>
      </c>
      <c r="K498">
        <v>1.946442503672406</v>
      </c>
      <c r="L498">
        <v>0</v>
      </c>
      <c r="M498">
        <v>1.9129447871682427E-3</v>
      </c>
      <c r="N498">
        <v>0.20137545684653479</v>
      </c>
      <c r="O498">
        <v>2.5259216957932117E-2</v>
      </c>
      <c r="P498">
        <v>2.1355284078309101E-2</v>
      </c>
      <c r="Q498">
        <v>3.0094179533466116E-3</v>
      </c>
      <c r="R498">
        <v>1.9015776780011693E-3</v>
      </c>
      <c r="S498">
        <v>0.20651946236978894</v>
      </c>
      <c r="T498">
        <v>1.057081445227898</v>
      </c>
      <c r="U498">
        <v>3.7469751735290636E-2</v>
      </c>
      <c r="V498">
        <v>0.24846894123515081</v>
      </c>
      <c r="W498">
        <v>0.11922146864463498</v>
      </c>
      <c r="X498">
        <v>2.1517958148078404E-2</v>
      </c>
      <c r="Y498">
        <v>5.1754675846060992E-3</v>
      </c>
    </row>
    <row r="499" spans="1:25" x14ac:dyDescent="0.25">
      <c r="A499" s="881"/>
      <c r="B499" s="1131">
        <v>249</v>
      </c>
      <c r="C499" s="885">
        <v>0.99831190343763754</v>
      </c>
      <c r="D499" s="885">
        <v>1.003306136029833</v>
      </c>
      <c r="E499" s="885">
        <v>1.01401691728695</v>
      </c>
      <c r="F499" s="885">
        <v>1.0224052037914451</v>
      </c>
      <c r="G499" s="885">
        <v>0.95484873500217993</v>
      </c>
      <c r="H499" s="885">
        <v>0.97295049551126356</v>
      </c>
      <c r="I499" s="885">
        <v>1.0252710651634334</v>
      </c>
      <c r="K499">
        <v>1.9351633680099425</v>
      </c>
      <c r="L499">
        <v>0</v>
      </c>
      <c r="M499">
        <v>1.8451695657455494E-3</v>
      </c>
      <c r="N499">
        <v>0.1941554775318356</v>
      </c>
      <c r="O499">
        <v>2.5150283588915089E-2</v>
      </c>
      <c r="P499">
        <v>2.1365602703799239E-2</v>
      </c>
      <c r="Q499">
        <v>2.9970554010135854E-3</v>
      </c>
      <c r="R499">
        <v>1.8338463946220766E-3</v>
      </c>
      <c r="S499">
        <v>0.20826784457121217</v>
      </c>
      <c r="T499">
        <v>1.0570886009684759</v>
      </c>
      <c r="U499">
        <v>3.7383417419351882E-2</v>
      </c>
      <c r="V499">
        <v>0.24763743038208591</v>
      </c>
      <c r="W499">
        <v>0.11495308667318931</v>
      </c>
      <c r="X499">
        <v>2.1184766582326011E-2</v>
      </c>
      <c r="Y499">
        <v>4.9911253588597751E-3</v>
      </c>
    </row>
    <row r="500" spans="1:25" x14ac:dyDescent="0.25">
      <c r="A500" s="881"/>
      <c r="B500" s="1131">
        <v>250</v>
      </c>
      <c r="C500" s="885">
        <v>1.0052222318674329</v>
      </c>
      <c r="D500" s="885">
        <v>0.98992905659047359</v>
      </c>
      <c r="E500" s="885">
        <v>0.9860925504858884</v>
      </c>
      <c r="F500" s="885">
        <v>1.0079349537955231</v>
      </c>
      <c r="G500" s="885">
        <v>1.0288580143412707</v>
      </c>
      <c r="H500" s="885">
        <v>1.0226275436173224</v>
      </c>
      <c r="I500" s="885">
        <v>0.9914176175675512</v>
      </c>
      <c r="K500">
        <v>1.9441807832782634</v>
      </c>
      <c r="L500">
        <v>0</v>
      </c>
      <c r="M500">
        <v>2.0563221343216599E-3</v>
      </c>
      <c r="N500">
        <v>0.19843011805616584</v>
      </c>
      <c r="O500">
        <v>2.5143973841591883E-2</v>
      </c>
      <c r="P500">
        <v>2.0937943651962006E-2</v>
      </c>
      <c r="Q500">
        <v>2.9106420494471952E-3</v>
      </c>
      <c r="R500">
        <v>2.044327372094347E-3</v>
      </c>
      <c r="S500">
        <v>0.20622532423910833</v>
      </c>
      <c r="T500">
        <v>1.0596535928151687</v>
      </c>
      <c r="U500">
        <v>3.7126427786605742E-2</v>
      </c>
      <c r="V500">
        <v>0.24833448740819328</v>
      </c>
      <c r="W500">
        <v>0.11975027234733208</v>
      </c>
      <c r="X500">
        <v>2.0116010650410403E-2</v>
      </c>
      <c r="Y500">
        <v>5.5639851945037191E-3</v>
      </c>
    </row>
    <row r="501" spans="1:25" x14ac:dyDescent="0.25">
      <c r="A501" s="881"/>
      <c r="B501" s="1131">
        <v>251</v>
      </c>
      <c r="C501" s="885">
        <v>0.96917875144786247</v>
      </c>
      <c r="D501" s="885">
        <v>0.9936665831151168</v>
      </c>
      <c r="E501" s="885">
        <v>0.99564612154642895</v>
      </c>
      <c r="F501" s="885">
        <v>1.0178111192052981</v>
      </c>
      <c r="G501" s="885">
        <v>1.0150583646061195</v>
      </c>
      <c r="H501" s="885">
        <v>1.0181591766606861</v>
      </c>
      <c r="I501" s="885">
        <v>0.99033872583990212</v>
      </c>
      <c r="K501">
        <v>1.9705798126694603</v>
      </c>
      <c r="L501">
        <v>0</v>
      </c>
      <c r="M501">
        <v>2.0773610109033743E-3</v>
      </c>
      <c r="N501">
        <v>0.20650639069144394</v>
      </c>
      <c r="O501">
        <v>2.6030414505401781E-2</v>
      </c>
      <c r="P501">
        <v>2.1250622867244443E-2</v>
      </c>
      <c r="Q501">
        <v>3.0432819095542393E-3</v>
      </c>
      <c r="R501">
        <v>2.0651871567327891E-3</v>
      </c>
      <c r="S501">
        <v>0.21282842011303216</v>
      </c>
      <c r="T501">
        <v>1.0587726325240021</v>
      </c>
      <c r="U501">
        <v>3.8507149011638778E-2</v>
      </c>
      <c r="V501">
        <v>0.25311199862869138</v>
      </c>
      <c r="W501">
        <v>0.12380701936037426</v>
      </c>
      <c r="X501">
        <v>2.1113298260384578E-2</v>
      </c>
      <c r="Y501">
        <v>5.6207586518634027E-3</v>
      </c>
    </row>
    <row r="502" spans="1:25" x14ac:dyDescent="0.25">
      <c r="A502" s="881"/>
      <c r="B502" s="1131">
        <v>252</v>
      </c>
      <c r="C502" s="885">
        <v>1.0073149276516256</v>
      </c>
      <c r="D502" s="885">
        <v>0.98996551569989855</v>
      </c>
      <c r="E502" s="885">
        <v>1.0178343656800606</v>
      </c>
      <c r="F502" s="885">
        <v>0.96807676414388355</v>
      </c>
      <c r="G502" s="885">
        <v>0.99320986543837608</v>
      </c>
      <c r="H502" s="885">
        <v>1.0228498463244842</v>
      </c>
      <c r="I502" s="885">
        <v>1.0091858291508911</v>
      </c>
      <c r="K502">
        <v>1.9530529121654381</v>
      </c>
      <c r="L502">
        <v>0</v>
      </c>
      <c r="M502">
        <v>1.9197071626361863E-3</v>
      </c>
      <c r="N502">
        <v>0.20447176276077694</v>
      </c>
      <c r="O502">
        <v>2.50912791968609E-2</v>
      </c>
      <c r="P502">
        <v>2.1438835624018042E-2</v>
      </c>
      <c r="Q502">
        <v>2.9986150556108124E-3</v>
      </c>
      <c r="R502">
        <v>1.908511696174339E-3</v>
      </c>
      <c r="S502">
        <v>0.20950428984113245</v>
      </c>
      <c r="T502">
        <v>1.0567403121112473</v>
      </c>
      <c r="U502">
        <v>3.7049297668925209E-2</v>
      </c>
      <c r="V502">
        <v>0.24803332104770234</v>
      </c>
      <c r="W502">
        <v>0.12074869526876469</v>
      </c>
      <c r="X502">
        <v>2.1793359360583374E-2</v>
      </c>
      <c r="Y502">
        <v>5.1943396962749909E-3</v>
      </c>
    </row>
    <row r="503" spans="1:25" x14ac:dyDescent="0.25">
      <c r="A503" s="881"/>
      <c r="B503" s="1131">
        <v>253</v>
      </c>
      <c r="C503" s="885">
        <v>1.0126231217851211</v>
      </c>
      <c r="D503" s="885">
        <v>0.98693252953989197</v>
      </c>
      <c r="E503" s="885">
        <v>1.0190500266018501</v>
      </c>
      <c r="F503" s="885">
        <v>1.0284217698237585</v>
      </c>
      <c r="G503" s="885">
        <v>1.0332058356541014</v>
      </c>
      <c r="H503" s="885">
        <v>0.99989822515848226</v>
      </c>
      <c r="I503" s="885">
        <v>0.97258467463034992</v>
      </c>
      <c r="K503">
        <v>1.9329023958189975</v>
      </c>
      <c r="L503">
        <v>0</v>
      </c>
      <c r="M503">
        <v>1.8648396247203625E-3</v>
      </c>
      <c r="N503">
        <v>0.19935273819685348</v>
      </c>
      <c r="O503">
        <v>2.4997750084365628E-2</v>
      </c>
      <c r="P503">
        <v>2.1301845626129478E-2</v>
      </c>
      <c r="Q503">
        <v>2.9904102865462401E-3</v>
      </c>
      <c r="R503">
        <v>1.853716880028673E-3</v>
      </c>
      <c r="S503">
        <v>0.1988860085867297</v>
      </c>
      <c r="T503">
        <v>1.0566295195711402</v>
      </c>
      <c r="U503">
        <v>3.6855084382357517E-2</v>
      </c>
      <c r="V503">
        <v>0.24767648744236498</v>
      </c>
      <c r="W503">
        <v>0.11762907256823597</v>
      </c>
      <c r="X503">
        <v>2.1549395549131264E-2</v>
      </c>
      <c r="Y503">
        <v>5.0452062698327768E-3</v>
      </c>
    </row>
    <row r="504" spans="1:25" x14ac:dyDescent="0.25">
      <c r="A504" s="881"/>
      <c r="B504" s="1131">
        <v>254</v>
      </c>
      <c r="C504" s="885">
        <v>0.97726580266361696</v>
      </c>
      <c r="D504" s="885">
        <v>1.0092002232290991</v>
      </c>
      <c r="E504" s="885">
        <v>1.0324074394682949</v>
      </c>
      <c r="F504" s="885">
        <v>0.98780956658921282</v>
      </c>
      <c r="G504" s="885">
        <v>1.0043222272483561</v>
      </c>
      <c r="H504" s="885">
        <v>0.97587788135646725</v>
      </c>
      <c r="I504" s="885">
        <v>0.98471323825616208</v>
      </c>
      <c r="K504">
        <v>1.9454501273756704</v>
      </c>
      <c r="L504">
        <v>0</v>
      </c>
      <c r="M504">
        <v>1.813252039153058E-3</v>
      </c>
      <c r="N504">
        <v>0.2020151749849482</v>
      </c>
      <c r="O504">
        <v>2.5617593069906189E-2</v>
      </c>
      <c r="P504">
        <v>2.1616298522924449E-2</v>
      </c>
      <c r="Q504">
        <v>3.1102351077099974E-3</v>
      </c>
      <c r="R504">
        <v>1.8021536224790851E-3</v>
      </c>
      <c r="S504">
        <v>0.20408642747457484</v>
      </c>
      <c r="T504">
        <v>1.0554159625505697</v>
      </c>
      <c r="U504">
        <v>3.8188495391118064E-2</v>
      </c>
      <c r="V504">
        <v>0.24993194199506183</v>
      </c>
      <c r="W504">
        <v>0.11813471743368587</v>
      </c>
      <c r="X504">
        <v>2.2439511181240678E-2</v>
      </c>
      <c r="Y504">
        <v>4.9048680806060823E-3</v>
      </c>
    </row>
    <row r="505" spans="1:25" x14ac:dyDescent="0.25">
      <c r="A505" s="881"/>
      <c r="B505" s="1131">
        <v>255</v>
      </c>
      <c r="C505" s="885">
        <v>1.0159014462686933</v>
      </c>
      <c r="D505" s="885">
        <v>1.0191285264691934</v>
      </c>
      <c r="E505" s="885">
        <v>0.97394249784441167</v>
      </c>
      <c r="F505" s="885">
        <v>0.99898904231590846</v>
      </c>
      <c r="G505" s="885">
        <v>0.97933245523600454</v>
      </c>
      <c r="H505" s="885">
        <v>0.99068322007229215</v>
      </c>
      <c r="I505" s="885">
        <v>1.0088068351070725</v>
      </c>
      <c r="K505">
        <v>1.9126234785257772</v>
      </c>
      <c r="L505">
        <v>0</v>
      </c>
      <c r="M505">
        <v>1.9932251465463592E-3</v>
      </c>
      <c r="N505">
        <v>0.18515890007094857</v>
      </c>
      <c r="O505">
        <v>2.4524434889472816E-2</v>
      </c>
      <c r="P505">
        <v>2.0627397672613981E-2</v>
      </c>
      <c r="Q505">
        <v>2.8097591289608093E-3</v>
      </c>
      <c r="R505">
        <v>1.981199382622546E-3</v>
      </c>
      <c r="S505">
        <v>0.20170321831505683</v>
      </c>
      <c r="T505">
        <v>1.0607791013151044</v>
      </c>
      <c r="U505">
        <v>3.6736152643537183E-2</v>
      </c>
      <c r="V505">
        <v>0.24329553152506378</v>
      </c>
      <c r="W505">
        <v>0.11268728954348349</v>
      </c>
      <c r="X505">
        <v>1.8921547568159992E-2</v>
      </c>
      <c r="Y505">
        <v>5.3921716172976152E-3</v>
      </c>
    </row>
    <row r="506" spans="1:25" x14ac:dyDescent="0.25">
      <c r="A506" s="881"/>
      <c r="B506" s="1131">
        <v>256</v>
      </c>
      <c r="C506" s="885">
        <v>1.0086907035469896</v>
      </c>
      <c r="D506" s="885">
        <v>1.0369819640262625</v>
      </c>
      <c r="E506" s="885">
        <v>0.96775868340999927</v>
      </c>
      <c r="F506" s="885">
        <v>0.98765463050283264</v>
      </c>
      <c r="G506" s="885">
        <v>1.0095483739687934</v>
      </c>
      <c r="H506" s="885">
        <v>0.97932639567037794</v>
      </c>
      <c r="I506" s="885">
        <v>1.0165050734740659</v>
      </c>
      <c r="K506">
        <v>1.9068119064955962</v>
      </c>
      <c r="L506">
        <v>0</v>
      </c>
      <c r="M506">
        <v>1.9932245029900004E-3</v>
      </c>
      <c r="N506">
        <v>0.18160903024095384</v>
      </c>
      <c r="O506">
        <v>2.4489133889587185E-2</v>
      </c>
      <c r="P506">
        <v>2.0529449082135484E-2</v>
      </c>
      <c r="Q506">
        <v>2.7913824169446514E-3</v>
      </c>
      <c r="R506">
        <v>1.9810448142283136E-3</v>
      </c>
      <c r="S506">
        <v>0.20193934681414893</v>
      </c>
      <c r="T506">
        <v>1.0613541292325703</v>
      </c>
      <c r="U506">
        <v>3.6998765300089109E-2</v>
      </c>
      <c r="V506">
        <v>0.24218950611834672</v>
      </c>
      <c r="W506">
        <v>0.11100519804113293</v>
      </c>
      <c r="X506">
        <v>1.8526394115367807E-2</v>
      </c>
      <c r="Y506">
        <v>5.3917509330819709E-3</v>
      </c>
    </row>
    <row r="507" spans="1:25" x14ac:dyDescent="0.25">
      <c r="A507" s="881"/>
      <c r="B507" s="1131">
        <v>257</v>
      </c>
      <c r="C507" s="885">
        <v>0.98790352555849448</v>
      </c>
      <c r="D507" s="885">
        <v>1.0031760828338496</v>
      </c>
      <c r="E507" s="885">
        <v>1.0012765893453017</v>
      </c>
      <c r="F507" s="885">
        <v>0.98223267548465931</v>
      </c>
      <c r="G507" s="885">
        <v>1.0245093171666284</v>
      </c>
      <c r="H507" s="885">
        <v>0.96872799612794291</v>
      </c>
      <c r="I507" s="885">
        <v>1.0331787563412516</v>
      </c>
      <c r="K507">
        <v>1.9403600349128771</v>
      </c>
      <c r="L507">
        <v>0</v>
      </c>
      <c r="M507">
        <v>1.9071852298304499E-3</v>
      </c>
      <c r="N507">
        <v>0.19288141009929816</v>
      </c>
      <c r="O507">
        <v>2.5416892707442497E-2</v>
      </c>
      <c r="P507">
        <v>2.1252769482493418E-2</v>
      </c>
      <c r="Q507">
        <v>2.9904197849119764E-3</v>
      </c>
      <c r="R507">
        <v>1.8954305809871154E-3</v>
      </c>
      <c r="S507">
        <v>0.21165177014046499</v>
      </c>
      <c r="T507">
        <v>1.058255095282008</v>
      </c>
      <c r="U507">
        <v>3.777728253355353E-2</v>
      </c>
      <c r="V507">
        <v>0.24913371161971171</v>
      </c>
      <c r="W507">
        <v>0.11519329006087857</v>
      </c>
      <c r="X507">
        <v>2.0660410638033921E-2</v>
      </c>
      <c r="Y507">
        <v>5.1587372129238314E-3</v>
      </c>
    </row>
    <row r="508" spans="1:25" x14ac:dyDescent="0.25">
      <c r="A508" s="881"/>
      <c r="B508" s="1131">
        <v>258</v>
      </c>
      <c r="C508" s="885">
        <v>0.97506070250689048</v>
      </c>
      <c r="D508" s="885">
        <v>1.0295110008596147</v>
      </c>
      <c r="E508" s="885">
        <v>0.99393468822408615</v>
      </c>
      <c r="F508" s="885">
        <v>1.0028074896514476</v>
      </c>
      <c r="G508" s="885">
        <v>1.0347325014947799</v>
      </c>
      <c r="H508" s="885">
        <v>0.99105920858556829</v>
      </c>
      <c r="I508" s="885">
        <v>0.99473896544420615</v>
      </c>
      <c r="K508">
        <v>1.9400949297227594</v>
      </c>
      <c r="L508">
        <v>0</v>
      </c>
      <c r="M508">
        <v>1.9821310566007048E-3</v>
      </c>
      <c r="N508">
        <v>0.19595852661871099</v>
      </c>
      <c r="O508">
        <v>2.5424192818759437E-2</v>
      </c>
      <c r="P508">
        <v>2.1061007282104506E-2</v>
      </c>
      <c r="Q508">
        <v>2.9745859887611234E-3</v>
      </c>
      <c r="R508">
        <v>1.9701684529279764E-3</v>
      </c>
      <c r="S508">
        <v>0.20630103155762544</v>
      </c>
      <c r="T508">
        <v>1.0589301873912298</v>
      </c>
      <c r="U508">
        <v>3.8274858688249896E-2</v>
      </c>
      <c r="V508">
        <v>0.24776353207022786</v>
      </c>
      <c r="W508">
        <v>0.11762140564496185</v>
      </c>
      <c r="X508">
        <v>2.0435415202785391E-2</v>
      </c>
      <c r="Y508">
        <v>5.3621490630139917E-3</v>
      </c>
    </row>
    <row r="509" spans="1:25" x14ac:dyDescent="0.25">
      <c r="A509" s="881"/>
      <c r="B509" s="1131">
        <v>259</v>
      </c>
      <c r="C509" s="885">
        <v>1.0267693433092471</v>
      </c>
      <c r="D509" s="885">
        <v>1.0126144278107156</v>
      </c>
      <c r="E509" s="885">
        <v>1.0064271857017959</v>
      </c>
      <c r="F509" s="885">
        <v>1.0192061448798151</v>
      </c>
      <c r="G509" s="885">
        <v>0.97153539948217904</v>
      </c>
      <c r="H509" s="885">
        <v>0.97497034878807431</v>
      </c>
      <c r="I509" s="885">
        <v>1.0262770892655606</v>
      </c>
      <c r="K509">
        <v>1.9104232836452619</v>
      </c>
      <c r="L509">
        <v>0</v>
      </c>
      <c r="M509">
        <v>1.8184498718780192E-3</v>
      </c>
      <c r="N509">
        <v>0.18688374465372595</v>
      </c>
      <c r="O509">
        <v>2.434182733851421E-2</v>
      </c>
      <c r="P509">
        <v>2.1087008028637163E-2</v>
      </c>
      <c r="Q509">
        <v>2.8806406726129374E-3</v>
      </c>
      <c r="R509">
        <v>1.8073066851768918E-3</v>
      </c>
      <c r="S509">
        <v>0.20204172606786469</v>
      </c>
      <c r="T509">
        <v>1.0577827483074251</v>
      </c>
      <c r="U509">
        <v>3.6347316799150479E-2</v>
      </c>
      <c r="V509">
        <v>0.24261016064927504</v>
      </c>
      <c r="W509">
        <v>0.1112197420612256</v>
      </c>
      <c r="X509">
        <v>2.0320619234966638E-2</v>
      </c>
      <c r="Y509">
        <v>4.9188930185628497E-3</v>
      </c>
    </row>
    <row r="510" spans="1:25" x14ac:dyDescent="0.25">
      <c r="A510" s="881"/>
      <c r="B510" s="1131">
        <v>260</v>
      </c>
      <c r="C510" s="885">
        <v>1.0476318912490599</v>
      </c>
      <c r="D510" s="885">
        <v>1.0349609085592966</v>
      </c>
      <c r="E510" s="885">
        <v>1.0354562647109622</v>
      </c>
      <c r="F510" s="885">
        <v>0.98886524731145831</v>
      </c>
      <c r="G510" s="885">
        <v>0.99905538112620074</v>
      </c>
      <c r="H510" s="885">
        <v>1.0185871677338725</v>
      </c>
      <c r="I510" s="885">
        <v>0.99259649722657262</v>
      </c>
      <c r="K510">
        <v>1.9046303131474815</v>
      </c>
      <c r="L510">
        <v>0</v>
      </c>
      <c r="M510">
        <v>1.7324647895428935E-3</v>
      </c>
      <c r="N510">
        <v>0.19489782274335152</v>
      </c>
      <c r="O510">
        <v>2.3601525745366378E-2</v>
      </c>
      <c r="P510">
        <v>2.130309990276729E-2</v>
      </c>
      <c r="Q510">
        <v>2.8791023097768055E-3</v>
      </c>
      <c r="R510">
        <v>1.7222878815649238E-3</v>
      </c>
      <c r="S510">
        <v>0.19373024564358324</v>
      </c>
      <c r="T510">
        <v>1.0551399476054142</v>
      </c>
      <c r="U510">
        <v>3.5623496108371649E-2</v>
      </c>
      <c r="V510">
        <v>0.23735869462925238</v>
      </c>
      <c r="W510">
        <v>0.11374063772457182</v>
      </c>
      <c r="X510">
        <v>2.167841778142942E-2</v>
      </c>
      <c r="Y510">
        <v>4.6874998615721525E-3</v>
      </c>
    </row>
    <row r="511" spans="1:25" x14ac:dyDescent="0.25">
      <c r="A511" s="881"/>
      <c r="B511" s="1131">
        <v>261</v>
      </c>
      <c r="C511" s="885">
        <v>0.98920866677269814</v>
      </c>
      <c r="D511" s="885">
        <v>1.002407077783356</v>
      </c>
      <c r="E511" s="885">
        <v>0.97230219464476475</v>
      </c>
      <c r="F511" s="885">
        <v>0.9705923954960094</v>
      </c>
      <c r="G511" s="885">
        <v>1.0438156252759929</v>
      </c>
      <c r="H511" s="885">
        <v>0.98981226848908221</v>
      </c>
      <c r="I511" s="885">
        <v>1.0175570320289191</v>
      </c>
      <c r="K511">
        <v>1.9398939484787137</v>
      </c>
      <c r="L511">
        <v>0</v>
      </c>
      <c r="M511">
        <v>2.0690935577209243E-3</v>
      </c>
      <c r="N511">
        <v>0.1912266224926559</v>
      </c>
      <c r="O511">
        <v>2.5392991616471867E-2</v>
      </c>
      <c r="P511">
        <v>2.0810456644327194E-2</v>
      </c>
      <c r="Q511">
        <v>2.9010726246479872E-3</v>
      </c>
      <c r="R511">
        <v>2.0566133193056831E-3</v>
      </c>
      <c r="S511">
        <v>0.21044199735766564</v>
      </c>
      <c r="T511">
        <v>1.0609314875869784</v>
      </c>
      <c r="U511">
        <v>3.7727439977527442E-2</v>
      </c>
      <c r="V511">
        <v>0.24904400278218397</v>
      </c>
      <c r="W511">
        <v>0.11651327239882375</v>
      </c>
      <c r="X511">
        <v>1.9319661743093467E-2</v>
      </c>
      <c r="Y511">
        <v>5.5974234927515668E-3</v>
      </c>
    </row>
    <row r="512" spans="1:25" x14ac:dyDescent="0.25">
      <c r="A512" s="881"/>
      <c r="B512" s="1131">
        <v>262</v>
      </c>
      <c r="C512" s="885">
        <v>0.98672217667767204</v>
      </c>
      <c r="D512" s="885">
        <v>1.0009797086528627</v>
      </c>
      <c r="E512" s="885">
        <v>0.97491288063077963</v>
      </c>
      <c r="F512" s="885">
        <v>1.0253221975279383</v>
      </c>
      <c r="G512" s="885">
        <v>0.99098285543619813</v>
      </c>
      <c r="H512" s="885">
        <v>1.0216868630050977</v>
      </c>
      <c r="I512" s="885">
        <v>1.0144199564100869</v>
      </c>
      <c r="K512">
        <v>1.9560121161540462</v>
      </c>
      <c r="L512">
        <v>0</v>
      </c>
      <c r="M512">
        <v>2.1309159825306182E-3</v>
      </c>
      <c r="N512">
        <v>0.19858723323144642</v>
      </c>
      <c r="O512">
        <v>2.547493867911069E-2</v>
      </c>
      <c r="P512">
        <v>2.0901852738019762E-2</v>
      </c>
      <c r="Q512">
        <v>2.9179058782558406E-3</v>
      </c>
      <c r="R512">
        <v>2.118465067989577E-3</v>
      </c>
      <c r="S512">
        <v>0.21377406188921555</v>
      </c>
      <c r="T512">
        <v>1.0606890005567444</v>
      </c>
      <c r="U512">
        <v>3.7822511222536465E-2</v>
      </c>
      <c r="V512">
        <v>0.24957984612961953</v>
      </c>
      <c r="W512">
        <v>0.12077807161170664</v>
      </c>
      <c r="X512">
        <v>1.9733381568686269E-2</v>
      </c>
      <c r="Y512">
        <v>5.7657635632456525E-3</v>
      </c>
    </row>
    <row r="513" spans="1:25" x14ac:dyDescent="0.25">
      <c r="A513" s="881"/>
      <c r="B513" s="1131">
        <v>263</v>
      </c>
      <c r="C513" s="885">
        <v>1.0243873920791129</v>
      </c>
      <c r="D513" s="885">
        <v>0.98332966448300441</v>
      </c>
      <c r="E513" s="885">
        <v>0.99128412310066105</v>
      </c>
      <c r="F513" s="885">
        <v>1.010270391291701</v>
      </c>
      <c r="G513" s="885">
        <v>1.0173418740072173</v>
      </c>
      <c r="H513" s="885">
        <v>0.97528004715116978</v>
      </c>
      <c r="I513" s="885">
        <v>1.0096759312582302</v>
      </c>
      <c r="K513">
        <v>1.9174340540739021</v>
      </c>
      <c r="L513">
        <v>0</v>
      </c>
      <c r="M513">
        <v>1.9098551804652025E-3</v>
      </c>
      <c r="N513">
        <v>0.18724697681646604</v>
      </c>
      <c r="O513">
        <v>2.4755538338667251E-2</v>
      </c>
      <c r="P513">
        <v>2.0921615709195627E-2</v>
      </c>
      <c r="Q513">
        <v>2.8794143063192133E-3</v>
      </c>
      <c r="R513">
        <v>1.8981793820909301E-3</v>
      </c>
      <c r="S513">
        <v>0.20196734710495354</v>
      </c>
      <c r="T513">
        <v>1.0591744238007796</v>
      </c>
      <c r="U513">
        <v>3.6431833200495548E-2</v>
      </c>
      <c r="V513">
        <v>0.24650582998816356</v>
      </c>
      <c r="W513">
        <v>0.11259749825289798</v>
      </c>
      <c r="X513">
        <v>1.9799033810950464E-2</v>
      </c>
      <c r="Y513">
        <v>5.166218543386376E-3</v>
      </c>
    </row>
    <row r="514" spans="1:25" x14ac:dyDescent="0.25">
      <c r="A514" s="881"/>
      <c r="B514" s="1131">
        <v>264</v>
      </c>
      <c r="C514" s="885">
        <v>1.0045956710033503</v>
      </c>
      <c r="D514" s="885">
        <v>1.0197451830036273</v>
      </c>
      <c r="E514" s="885">
        <v>0.98942745635643048</v>
      </c>
      <c r="F514" s="885">
        <v>1.0205563651816332</v>
      </c>
      <c r="G514" s="885">
        <v>0.97420914070326703</v>
      </c>
      <c r="H514" s="885">
        <v>0.98917703273695723</v>
      </c>
      <c r="I514" s="885">
        <v>0.99345137539907358</v>
      </c>
      <c r="K514">
        <v>1.919721902645497</v>
      </c>
      <c r="L514">
        <v>0</v>
      </c>
      <c r="M514">
        <v>1.9476210333432807E-3</v>
      </c>
      <c r="N514">
        <v>0.18986255213040304</v>
      </c>
      <c r="O514">
        <v>2.4793029301607535E-2</v>
      </c>
      <c r="P514">
        <v>2.0863204838543779E-2</v>
      </c>
      <c r="Q514">
        <v>2.8856707016675876E-3</v>
      </c>
      <c r="R514">
        <v>1.9358520321803973E-3</v>
      </c>
      <c r="S514">
        <v>0.2006635575940344</v>
      </c>
      <c r="T514">
        <v>1.0593456691253049</v>
      </c>
      <c r="U514">
        <v>3.7149583337983946E-2</v>
      </c>
      <c r="V514">
        <v>0.24476499917788505</v>
      </c>
      <c r="W514">
        <v>0.11431644358979595</v>
      </c>
      <c r="X514">
        <v>1.9820210771290828E-2</v>
      </c>
      <c r="Y514">
        <v>5.2687510781441399E-3</v>
      </c>
    </row>
    <row r="515" spans="1:25" x14ac:dyDescent="0.25">
      <c r="A515" s="881"/>
      <c r="B515" s="1131">
        <v>265</v>
      </c>
      <c r="C515" s="885">
        <v>1.004841218171582</v>
      </c>
      <c r="D515" s="885">
        <v>0.99583667524307906</v>
      </c>
      <c r="E515" s="885">
        <v>0.96709744952801879</v>
      </c>
      <c r="F515" s="885">
        <v>1.0022007489487759</v>
      </c>
      <c r="G515" s="885">
        <v>1.0070437024836272</v>
      </c>
      <c r="H515" s="885">
        <v>1.0034272869627368</v>
      </c>
      <c r="I515" s="885">
        <v>0.99698083546464134</v>
      </c>
      <c r="K515">
        <v>1.9312802911012787</v>
      </c>
      <c r="L515">
        <v>0</v>
      </c>
      <c r="M515">
        <v>2.0943720186889984E-3</v>
      </c>
      <c r="N515">
        <v>0.19046309840255218</v>
      </c>
      <c r="O515">
        <v>2.507946189418599E-2</v>
      </c>
      <c r="P515">
        <v>2.0634621213871721E-2</v>
      </c>
      <c r="Q515">
        <v>2.8487418221383961E-3</v>
      </c>
      <c r="R515">
        <v>2.0819163937395267E-3</v>
      </c>
      <c r="S515">
        <v>0.20496235025294438</v>
      </c>
      <c r="T515">
        <v>1.0614157043727865</v>
      </c>
      <c r="U515">
        <v>3.7140505311700198E-2</v>
      </c>
      <c r="V515">
        <v>0.24764713156224899</v>
      </c>
      <c r="W515">
        <v>0.11647098704789977</v>
      </c>
      <c r="X515">
        <v>1.8963854725692765E-2</v>
      </c>
      <c r="Y515">
        <v>5.6662901202042433E-3</v>
      </c>
    </row>
    <row r="516" spans="1:25" x14ac:dyDescent="0.25">
      <c r="A516" s="881"/>
      <c r="B516" s="1131">
        <v>266</v>
      </c>
      <c r="C516" s="885">
        <v>1.0024725613495742</v>
      </c>
      <c r="D516" s="885">
        <v>0.97513656399181803</v>
      </c>
      <c r="E516" s="885">
        <v>0.98831075425200465</v>
      </c>
      <c r="F516" s="885">
        <v>1.02486785358776</v>
      </c>
      <c r="G516" s="885">
        <v>1.0220806889065175</v>
      </c>
      <c r="H516" s="885">
        <v>1.0365948753304983</v>
      </c>
      <c r="I516" s="885">
        <v>0.98920757345623633</v>
      </c>
      <c r="K516">
        <v>1.9584245249656127</v>
      </c>
      <c r="L516">
        <v>0</v>
      </c>
      <c r="M516">
        <v>2.0959907039948197E-3</v>
      </c>
      <c r="N516">
        <v>0.20367733854300632</v>
      </c>
      <c r="O516">
        <v>2.5402004628189714E-2</v>
      </c>
      <c r="P516">
        <v>2.1042509767228171E-2</v>
      </c>
      <c r="Q516">
        <v>2.9440064538723584E-3</v>
      </c>
      <c r="R516">
        <v>2.0839419633084718E-3</v>
      </c>
      <c r="S516">
        <v>0.20917827033191111</v>
      </c>
      <c r="T516">
        <v>1.0594487300691409</v>
      </c>
      <c r="U516">
        <v>3.7228261440567074E-2</v>
      </c>
      <c r="V516">
        <v>0.25061962985907715</v>
      </c>
      <c r="W516">
        <v>0.12272881381936754</v>
      </c>
      <c r="X516">
        <v>2.0495205741096319E-2</v>
      </c>
      <c r="Y516">
        <v>5.6718030528420827E-3</v>
      </c>
    </row>
    <row r="517" spans="1:25" x14ac:dyDescent="0.25">
      <c r="A517" s="881"/>
      <c r="B517" s="1131">
        <v>267</v>
      </c>
      <c r="C517" s="885">
        <v>0.98433061595017801</v>
      </c>
      <c r="D517" s="885">
        <v>1.0041431743120137</v>
      </c>
      <c r="E517" s="885">
        <v>1.0066079699309629</v>
      </c>
      <c r="F517" s="885">
        <v>0.98122521394822804</v>
      </c>
      <c r="G517" s="885">
        <v>1.0287699161973898</v>
      </c>
      <c r="H517" s="885">
        <v>1.0145256421244253</v>
      </c>
      <c r="I517" s="885">
        <v>0.99735194406570993</v>
      </c>
      <c r="K517">
        <v>1.9564335703709981</v>
      </c>
      <c r="L517">
        <v>0</v>
      </c>
      <c r="M517">
        <v>1.9812611102136366E-3</v>
      </c>
      <c r="N517">
        <v>0.20378017717116292</v>
      </c>
      <c r="O517">
        <v>2.5496992863708875E-2</v>
      </c>
      <c r="P517">
        <v>2.1310407213707697E-2</v>
      </c>
      <c r="Q517">
        <v>3.0161303148890151E-3</v>
      </c>
      <c r="R517">
        <v>1.969600365868083E-3</v>
      </c>
      <c r="S517">
        <v>0.20964997762092316</v>
      </c>
      <c r="T517">
        <v>1.0577661878751354</v>
      </c>
      <c r="U517">
        <v>3.7914405989385398E-2</v>
      </c>
      <c r="V517">
        <v>0.24953372107882524</v>
      </c>
      <c r="W517">
        <v>0.12126034873368542</v>
      </c>
      <c r="X517">
        <v>2.1356279336613253E-2</v>
      </c>
      <c r="Y517">
        <v>5.360602917306812E-3</v>
      </c>
    </row>
    <row r="518" spans="1:25" x14ac:dyDescent="0.25">
      <c r="A518" s="881"/>
      <c r="B518" s="1131">
        <v>268</v>
      </c>
      <c r="C518" s="885">
        <v>0.99129306904247927</v>
      </c>
      <c r="D518" s="885">
        <v>1.0183616803404683</v>
      </c>
      <c r="E518" s="885">
        <v>0.98086384395616422</v>
      </c>
      <c r="F518" s="885">
        <v>1.0106303044735798</v>
      </c>
      <c r="G518" s="885">
        <v>0.98648500768825176</v>
      </c>
      <c r="H518" s="885">
        <v>1.017785784889115</v>
      </c>
      <c r="I518" s="885">
        <v>0.97212644589003705</v>
      </c>
      <c r="K518">
        <v>1.9361028218360508</v>
      </c>
      <c r="L518">
        <v>0</v>
      </c>
      <c r="M518">
        <v>2.0690974579204695E-3</v>
      </c>
      <c r="N518">
        <v>0.19642957753821783</v>
      </c>
      <c r="O518">
        <v>2.5142584633787834E-2</v>
      </c>
      <c r="P518">
        <v>2.079001887293782E-2</v>
      </c>
      <c r="Q518">
        <v>2.9007948401338214E-3</v>
      </c>
      <c r="R518">
        <v>2.0569469838989858E-3</v>
      </c>
      <c r="S518">
        <v>0.20192868344381087</v>
      </c>
      <c r="T518">
        <v>1.0601372472342812</v>
      </c>
      <c r="U518">
        <v>3.7648110096205695E-2</v>
      </c>
      <c r="V518">
        <v>0.24678266373168689</v>
      </c>
      <c r="W518">
        <v>0.1189727900340644</v>
      </c>
      <c r="X518">
        <v>1.9784170267162976E-2</v>
      </c>
      <c r="Y518">
        <v>5.5983316177820337E-3</v>
      </c>
    </row>
    <row r="519" spans="1:25" x14ac:dyDescent="0.25">
      <c r="A519" s="881"/>
      <c r="B519" s="1131">
        <v>269</v>
      </c>
      <c r="C519" s="885">
        <v>0.96772589661253161</v>
      </c>
      <c r="D519" s="885">
        <v>0.96886115464532196</v>
      </c>
      <c r="E519" s="885">
        <v>0.96918565896190412</v>
      </c>
      <c r="F519" s="885">
        <v>1.0236479862164412</v>
      </c>
      <c r="G519" s="885">
        <v>1.0401919729504321</v>
      </c>
      <c r="H519" s="885">
        <v>1.009874636266229</v>
      </c>
      <c r="I519" s="885">
        <v>0.99235201430891562</v>
      </c>
      <c r="K519">
        <v>1.9734431427361634</v>
      </c>
      <c r="L519">
        <v>0</v>
      </c>
      <c r="M519">
        <v>2.2089883214593373E-3</v>
      </c>
      <c r="N519">
        <v>0.20220882543668892</v>
      </c>
      <c r="O519">
        <v>2.6398636622657831E-2</v>
      </c>
      <c r="P519">
        <v>2.0940549343499645E-2</v>
      </c>
      <c r="Q519">
        <v>2.999205963496464E-3</v>
      </c>
      <c r="R519">
        <v>2.1959599363284466E-3</v>
      </c>
      <c r="S519">
        <v>0.21520982599217997</v>
      </c>
      <c r="T519">
        <v>1.0612213046267329</v>
      </c>
      <c r="U519">
        <v>3.856496011066194E-2</v>
      </c>
      <c r="V519">
        <v>0.25662874882932335</v>
      </c>
      <c r="W519">
        <v>0.1234731307095889</v>
      </c>
      <c r="X519">
        <v>1.9834304437777211E-2</v>
      </c>
      <c r="Y519">
        <v>5.9766790486875734E-3</v>
      </c>
    </row>
    <row r="520" spans="1:25" x14ac:dyDescent="0.25">
      <c r="A520" s="881"/>
      <c r="B520" s="1131">
        <v>270</v>
      </c>
      <c r="C520" s="885">
        <v>0.98733642411268563</v>
      </c>
      <c r="D520" s="885">
        <v>1.0270439073839679</v>
      </c>
      <c r="E520" s="885">
        <v>0.97852974211082244</v>
      </c>
      <c r="F520" s="885">
        <v>0.98754214771054283</v>
      </c>
      <c r="G520" s="885">
        <v>1.0005645747976246</v>
      </c>
      <c r="H520" s="885">
        <v>0.99421618297277592</v>
      </c>
      <c r="I520" s="885">
        <v>0.99934209593504653</v>
      </c>
      <c r="K520">
        <v>1.9309479579755591</v>
      </c>
      <c r="L520">
        <v>0</v>
      </c>
      <c r="M520">
        <v>2.0307310785074215E-3</v>
      </c>
      <c r="N520">
        <v>0.19136281647964046</v>
      </c>
      <c r="O520">
        <v>2.5137811168112038E-2</v>
      </c>
      <c r="P520">
        <v>2.0795839547470319E-2</v>
      </c>
      <c r="Q520">
        <v>2.8950666320210357E-3</v>
      </c>
      <c r="R520">
        <v>2.0185160857028235E-3</v>
      </c>
      <c r="S520">
        <v>0.20522254215439215</v>
      </c>
      <c r="T520">
        <v>1.0603534936880783</v>
      </c>
      <c r="U520">
        <v>3.7798980863545509E-2</v>
      </c>
      <c r="V520">
        <v>0.24629946920073972</v>
      </c>
      <c r="W520">
        <v>0.11609188310306906</v>
      </c>
      <c r="X520">
        <v>1.9508534749660838E-2</v>
      </c>
      <c r="Y520">
        <v>5.4937353816342663E-3</v>
      </c>
    </row>
    <row r="521" spans="1:25" x14ac:dyDescent="0.25">
      <c r="A521" s="881"/>
      <c r="B521" s="1131">
        <v>271</v>
      </c>
      <c r="C521" s="885">
        <v>1.0023288261807826</v>
      </c>
      <c r="D521" s="885">
        <v>1.00417839119918</v>
      </c>
      <c r="E521" s="885">
        <v>0.99267906315163801</v>
      </c>
      <c r="F521" s="885">
        <v>1.0028381116851237</v>
      </c>
      <c r="G521" s="885">
        <v>0.98203584447876735</v>
      </c>
      <c r="H521" s="885">
        <v>1.0134909283451143</v>
      </c>
      <c r="I521" s="885">
        <v>1.038916520408218</v>
      </c>
      <c r="K521">
        <v>1.948015766500486</v>
      </c>
      <c r="L521">
        <v>0</v>
      </c>
      <c r="M521">
        <v>2.001522036025963E-3</v>
      </c>
      <c r="N521">
        <v>0.19713220780605661</v>
      </c>
      <c r="O521">
        <v>2.5038724419041342E-2</v>
      </c>
      <c r="P521">
        <v>2.1127011096351758E-2</v>
      </c>
      <c r="Q521">
        <v>2.9207379893538988E-3</v>
      </c>
      <c r="R521">
        <v>1.9897299904009509E-3</v>
      </c>
      <c r="S521">
        <v>0.21435391747883251</v>
      </c>
      <c r="T521">
        <v>1.0590458529415945</v>
      </c>
      <c r="U521">
        <v>3.723360001838933E-2</v>
      </c>
      <c r="V521">
        <v>0.24696108533986999</v>
      </c>
      <c r="W521">
        <v>0.11842807206689919</v>
      </c>
      <c r="X521">
        <v>2.0370960270162601E-2</v>
      </c>
      <c r="Y521">
        <v>5.4153891195563341E-3</v>
      </c>
    </row>
    <row r="522" spans="1:25" x14ac:dyDescent="0.25">
      <c r="A522" s="881"/>
      <c r="B522" s="1131">
        <v>272</v>
      </c>
      <c r="C522" s="885">
        <v>0.99494385422163356</v>
      </c>
      <c r="D522" s="885">
        <v>0.99735605176650355</v>
      </c>
      <c r="E522" s="885">
        <v>0.97563601238965558</v>
      </c>
      <c r="F522" s="885">
        <v>1.0140374601390227</v>
      </c>
      <c r="G522" s="885">
        <v>1.0352018643709042</v>
      </c>
      <c r="H522" s="885">
        <v>0.99820895610956695</v>
      </c>
      <c r="I522" s="885">
        <v>0.98677291175733506</v>
      </c>
      <c r="K522">
        <v>1.9353673139622398</v>
      </c>
      <c r="L522">
        <v>0</v>
      </c>
      <c r="M522">
        <v>2.0653162570242176E-3</v>
      </c>
      <c r="N522">
        <v>0.19288169941624281</v>
      </c>
      <c r="O522">
        <v>2.5309827649516146E-2</v>
      </c>
      <c r="P522">
        <v>2.0770532401228673E-2</v>
      </c>
      <c r="Q522">
        <v>2.9003975142684068E-3</v>
      </c>
      <c r="R522">
        <v>2.0529679148948098E-3</v>
      </c>
      <c r="S522">
        <v>0.20421391785356419</v>
      </c>
      <c r="T522">
        <v>1.0606218809553576</v>
      </c>
      <c r="U522">
        <v>3.7509966459477635E-2</v>
      </c>
      <c r="V522">
        <v>0.24885827123548862</v>
      </c>
      <c r="W522">
        <v>0.11724900002721163</v>
      </c>
      <c r="X522">
        <v>1.9476666888361704E-2</v>
      </c>
      <c r="Y522">
        <v>5.5875019036524124E-3</v>
      </c>
    </row>
    <row r="523" spans="1:25" x14ac:dyDescent="0.25">
      <c r="A523" s="881"/>
      <c r="B523" s="1131">
        <v>273</v>
      </c>
      <c r="C523" s="885">
        <v>0.99554083904402557</v>
      </c>
      <c r="D523" s="885">
        <v>0.97062717773313945</v>
      </c>
      <c r="E523" s="885">
        <v>1.0131325142332326</v>
      </c>
      <c r="F523" s="885">
        <v>0.98423128464647547</v>
      </c>
      <c r="G523" s="885">
        <v>0.97935667352968403</v>
      </c>
      <c r="H523" s="885">
        <v>0.98997734287096784</v>
      </c>
      <c r="I523" s="885">
        <v>1.03272891342105</v>
      </c>
      <c r="K523">
        <v>1.9596981919955667</v>
      </c>
      <c r="L523">
        <v>0</v>
      </c>
      <c r="M523">
        <v>1.9174059438792936E-3</v>
      </c>
      <c r="N523">
        <v>0.2012268259350519</v>
      </c>
      <c r="O523">
        <v>2.5637851085324518E-2</v>
      </c>
      <c r="P523">
        <v>2.1515669656575899E-2</v>
      </c>
      <c r="Q523">
        <v>3.045383183993158E-3</v>
      </c>
      <c r="R523">
        <v>1.9058685160977726E-3</v>
      </c>
      <c r="S523">
        <v>0.21540605678247227</v>
      </c>
      <c r="T523">
        <v>1.0571693716147128</v>
      </c>
      <c r="U523">
        <v>3.7487473278096699E-2</v>
      </c>
      <c r="V523">
        <v>0.25221417526700529</v>
      </c>
      <c r="W523">
        <v>0.11921123937434976</v>
      </c>
      <c r="X523">
        <v>2.1608537414335154E-2</v>
      </c>
      <c r="Y523">
        <v>5.1871458314306559E-3</v>
      </c>
    </row>
    <row r="524" spans="1:25" x14ac:dyDescent="0.25">
      <c r="A524" s="881"/>
      <c r="B524" s="1131">
        <v>274</v>
      </c>
      <c r="C524" s="885">
        <v>1.0071979119115397</v>
      </c>
      <c r="D524" s="885">
        <v>0.96409111687856119</v>
      </c>
      <c r="E524" s="885">
        <v>1.0041640234744453</v>
      </c>
      <c r="F524" s="885">
        <v>1.004216218904084</v>
      </c>
      <c r="G524" s="885">
        <v>1.0111718541705472</v>
      </c>
      <c r="H524" s="885">
        <v>0.99671295328308929</v>
      </c>
      <c r="I524" s="885">
        <v>1.0329276024772458</v>
      </c>
      <c r="K524">
        <v>1.9547033638586828</v>
      </c>
      <c r="L524">
        <v>0</v>
      </c>
      <c r="M524">
        <v>1.9510777076925893E-3</v>
      </c>
      <c r="N524">
        <v>0.19913860756609195</v>
      </c>
      <c r="O524">
        <v>2.5426411066402293E-2</v>
      </c>
      <c r="P524">
        <v>2.1352586804588944E-2</v>
      </c>
      <c r="Q524">
        <v>2.991860680061225E-3</v>
      </c>
      <c r="R524">
        <v>1.9394225452385725E-3</v>
      </c>
      <c r="S524">
        <v>0.21433034865462808</v>
      </c>
      <c r="T524">
        <v>1.0579901692901024</v>
      </c>
      <c r="U524">
        <v>3.7053602037446134E-2</v>
      </c>
      <c r="V524">
        <v>0.25139412129613564</v>
      </c>
      <c r="W524">
        <v>0.11869594096995131</v>
      </c>
      <c r="X524">
        <v>2.1062901818057263E-2</v>
      </c>
      <c r="Y524">
        <v>5.2784688376691811E-3</v>
      </c>
    </row>
    <row r="525" spans="1:25" x14ac:dyDescent="0.25">
      <c r="A525" s="881"/>
      <c r="B525" s="1131">
        <v>275</v>
      </c>
      <c r="C525" s="885">
        <v>1.0060371320821515</v>
      </c>
      <c r="D525" s="885">
        <v>0.97566679065805606</v>
      </c>
      <c r="E525" s="885">
        <v>0.99567833455794985</v>
      </c>
      <c r="F525" s="885">
        <v>0.98058552164545887</v>
      </c>
      <c r="G525" s="885">
        <v>1.0252769127783361</v>
      </c>
      <c r="H525" s="885">
        <v>0.97628081513493048</v>
      </c>
      <c r="I525" s="885">
        <v>0.96317894888615252</v>
      </c>
      <c r="K525">
        <v>1.9254889376221191</v>
      </c>
      <c r="L525">
        <v>0</v>
      </c>
      <c r="M525">
        <v>1.9362722243176581E-3</v>
      </c>
      <c r="N525">
        <v>0.19245316029628329</v>
      </c>
      <c r="O525">
        <v>2.5305167281432252E-2</v>
      </c>
      <c r="P525">
        <v>2.0974574500817425E-2</v>
      </c>
      <c r="Q525">
        <v>2.9547938728113291E-3</v>
      </c>
      <c r="R525">
        <v>1.9244535283082986E-3</v>
      </c>
      <c r="S525">
        <v>0.19698620925380692</v>
      </c>
      <c r="T525">
        <v>1.0587696680811263</v>
      </c>
      <c r="U525">
        <v>3.7096355005979416E-2</v>
      </c>
      <c r="V525">
        <v>0.25003848464291589</v>
      </c>
      <c r="W525">
        <v>0.11537911873660327</v>
      </c>
      <c r="X525">
        <v>2.0305496538231001E-2</v>
      </c>
      <c r="Y525">
        <v>5.2377281081200811E-3</v>
      </c>
    </row>
    <row r="526" spans="1:25" x14ac:dyDescent="0.25">
      <c r="A526" s="881"/>
      <c r="B526" s="1131">
        <v>276</v>
      </c>
      <c r="C526" s="885">
        <v>1.0163475825285198</v>
      </c>
      <c r="D526" s="885">
        <v>0.98016786684728952</v>
      </c>
      <c r="E526" s="885">
        <v>0.96717693372688729</v>
      </c>
      <c r="F526" s="885">
        <v>0.97892120728231335</v>
      </c>
      <c r="G526" s="885">
        <v>1.0247987091457416</v>
      </c>
      <c r="H526" s="885">
        <v>0.99792166395349224</v>
      </c>
      <c r="I526" s="885">
        <v>1.0042841622996173</v>
      </c>
      <c r="K526">
        <v>1.9283456069840967</v>
      </c>
      <c r="L526">
        <v>0</v>
      </c>
      <c r="M526">
        <v>2.0751973452334833E-3</v>
      </c>
      <c r="N526">
        <v>0.18876115551087963</v>
      </c>
      <c r="O526">
        <v>2.4991276726078898E-2</v>
      </c>
      <c r="P526">
        <v>2.0636416967894256E-2</v>
      </c>
      <c r="Q526">
        <v>2.8358023519676396E-3</v>
      </c>
      <c r="R526">
        <v>2.0628013690420057E-3</v>
      </c>
      <c r="S526">
        <v>0.2050647570892257</v>
      </c>
      <c r="T526">
        <v>1.0614083017853155</v>
      </c>
      <c r="U526">
        <v>3.6720026930225587E-2</v>
      </c>
      <c r="V526">
        <v>0.24801275756363825</v>
      </c>
      <c r="W526">
        <v>0.11542379989057752</v>
      </c>
      <c r="X526">
        <v>1.888944282023922E-2</v>
      </c>
      <c r="Y526">
        <v>5.6142653242437909E-3</v>
      </c>
    </row>
    <row r="527" spans="1:25" x14ac:dyDescent="0.25">
      <c r="A527" s="881"/>
      <c r="B527" s="1131">
        <v>277</v>
      </c>
      <c r="C527" s="885">
        <v>0.99833121958788062</v>
      </c>
      <c r="D527" s="885">
        <v>0.98379665428706664</v>
      </c>
      <c r="E527" s="885">
        <v>0.99908167289940575</v>
      </c>
      <c r="F527" s="885">
        <v>0.98251923091519255</v>
      </c>
      <c r="G527" s="885">
        <v>1.0039205994229037</v>
      </c>
      <c r="H527" s="885">
        <v>0.99830725653901486</v>
      </c>
      <c r="I527" s="885">
        <v>1.0172349645516683</v>
      </c>
      <c r="K527">
        <v>1.9495185863555962</v>
      </c>
      <c r="L527">
        <v>0</v>
      </c>
      <c r="M527">
        <v>1.9728607005296372E-3</v>
      </c>
      <c r="N527">
        <v>0.19820365399137813</v>
      </c>
      <c r="O527">
        <v>2.5395668261855811E-2</v>
      </c>
      <c r="P527">
        <v>2.1221451394409077E-2</v>
      </c>
      <c r="Q527">
        <v>2.9772751793678957E-3</v>
      </c>
      <c r="R527">
        <v>1.9610775323702931E-3</v>
      </c>
      <c r="S527">
        <v>0.21113833355725301</v>
      </c>
      <c r="T527">
        <v>1.0584566991802415</v>
      </c>
      <c r="U527">
        <v>3.7382694108597611E-2</v>
      </c>
      <c r="V527">
        <v>0.25009395601975065</v>
      </c>
      <c r="W527">
        <v>0.11854974691192759</v>
      </c>
      <c r="X527">
        <v>2.0773484344894295E-2</v>
      </c>
      <c r="Y527">
        <v>5.3374065740771351E-3</v>
      </c>
    </row>
    <row r="528" spans="1:25" x14ac:dyDescent="0.25">
      <c r="A528" s="881"/>
      <c r="B528" s="1131">
        <v>278</v>
      </c>
      <c r="C528" s="885">
        <v>0.97009013112314035</v>
      </c>
      <c r="D528" s="885">
        <v>0.97342959856156175</v>
      </c>
      <c r="E528" s="885">
        <v>1.0113142498733632</v>
      </c>
      <c r="F528" s="885">
        <v>0.99687324919382114</v>
      </c>
      <c r="G528" s="885">
        <v>0.96923245355069809</v>
      </c>
      <c r="H528" s="885">
        <v>1.0285394864206383</v>
      </c>
      <c r="I528" s="885">
        <v>1.0148585775207311</v>
      </c>
      <c r="K528">
        <v>1.9921118481018236</v>
      </c>
      <c r="L528">
        <v>0</v>
      </c>
      <c r="M528">
        <v>2.0492794276891742E-3</v>
      </c>
      <c r="N528">
        <v>0.21390282952659861</v>
      </c>
      <c r="O528">
        <v>2.6272802180265113E-2</v>
      </c>
      <c r="P528">
        <v>2.1627932799124398E-2</v>
      </c>
      <c r="Q528">
        <v>3.1157792990359188E-3</v>
      </c>
      <c r="R528">
        <v>2.0374084020708528E-3</v>
      </c>
      <c r="S528">
        <v>0.22108114330880918</v>
      </c>
      <c r="T528">
        <v>1.0573355257685622</v>
      </c>
      <c r="U528">
        <v>3.847097233914603E-2</v>
      </c>
      <c r="V528">
        <v>0.25564333115582472</v>
      </c>
      <c r="W528">
        <v>0.12687720144423664</v>
      </c>
      <c r="X528">
        <v>2.2251047266901164E-2</v>
      </c>
      <c r="Y528">
        <v>5.5451540389376249E-3</v>
      </c>
    </row>
    <row r="529" spans="1:25" x14ac:dyDescent="0.25">
      <c r="A529" s="881"/>
      <c r="B529" s="1131">
        <v>279</v>
      </c>
      <c r="C529" s="885">
        <v>1.0414024338600751</v>
      </c>
      <c r="D529" s="885">
        <v>0.99466451819158908</v>
      </c>
      <c r="E529" s="885">
        <v>1.0309924255572758</v>
      </c>
      <c r="F529" s="885">
        <v>1.0082097786643809</v>
      </c>
      <c r="G529" s="885">
        <v>0.9626989694353898</v>
      </c>
      <c r="H529" s="885">
        <v>1.0051407925868669</v>
      </c>
      <c r="I529" s="885">
        <v>1.0153607845565009</v>
      </c>
      <c r="K529">
        <v>1.9224138520757685</v>
      </c>
      <c r="L529">
        <v>0</v>
      </c>
      <c r="M529">
        <v>1.770514367888067E-3</v>
      </c>
      <c r="N529">
        <v>0.19642571337558465</v>
      </c>
      <c r="O529">
        <v>2.4213101214699721E-2</v>
      </c>
      <c r="P529">
        <v>2.1430475655961616E-2</v>
      </c>
      <c r="Q529">
        <v>2.9326445953565621E-3</v>
      </c>
      <c r="R529">
        <v>1.7600035952550286E-3</v>
      </c>
      <c r="S529">
        <v>0.20169108286984958</v>
      </c>
      <c r="T529">
        <v>1.05554418968834</v>
      </c>
      <c r="U529">
        <v>3.5836588611172053E-2</v>
      </c>
      <c r="V529">
        <v>0.24283087756161725</v>
      </c>
      <c r="W529">
        <v>0.11497494635737848</v>
      </c>
      <c r="X529">
        <v>2.1754593317188708E-2</v>
      </c>
      <c r="Y529">
        <v>4.7901496012549404E-3</v>
      </c>
    </row>
    <row r="530" spans="1:25" x14ac:dyDescent="0.25">
      <c r="A530" s="881"/>
      <c r="B530" s="1131">
        <v>280</v>
      </c>
      <c r="C530" s="885">
        <v>0.99593935618782525</v>
      </c>
      <c r="D530" s="885">
        <v>1.0098296972851535</v>
      </c>
      <c r="E530" s="885">
        <v>1.0263381367324669</v>
      </c>
      <c r="F530" s="885">
        <v>0.96625642711707815</v>
      </c>
      <c r="G530" s="885">
        <v>0.99240602746271189</v>
      </c>
      <c r="H530" s="885">
        <v>0.96983767237045726</v>
      </c>
      <c r="I530" s="885">
        <v>1.0117331671964549</v>
      </c>
      <c r="K530">
        <v>1.9326362846575482</v>
      </c>
      <c r="L530">
        <v>0</v>
      </c>
      <c r="M530">
        <v>1.7905378286503463E-3</v>
      </c>
      <c r="N530">
        <v>0.1957536561461759</v>
      </c>
      <c r="O530">
        <v>2.51295239332931E-2</v>
      </c>
      <c r="P530">
        <v>2.1494160415786102E-2</v>
      </c>
      <c r="Q530">
        <v>3.0328504295617244E-3</v>
      </c>
      <c r="R530">
        <v>1.7795097091413074E-3</v>
      </c>
      <c r="S530">
        <v>0.20507816065591589</v>
      </c>
      <c r="T530">
        <v>1.0559665096569284</v>
      </c>
      <c r="U530">
        <v>3.74724729663947E-2</v>
      </c>
      <c r="V530">
        <v>0.24716854083410261</v>
      </c>
      <c r="W530">
        <v>0.11493982679452787</v>
      </c>
      <c r="X530">
        <v>2.1768372131307858E-2</v>
      </c>
      <c r="Y530">
        <v>4.8432388130646761E-3</v>
      </c>
    </row>
    <row r="531" spans="1:25" x14ac:dyDescent="0.25">
      <c r="A531" s="881"/>
      <c r="B531" s="1131">
        <v>281</v>
      </c>
      <c r="C531" s="885">
        <v>0.99282329774235489</v>
      </c>
      <c r="D531" s="885">
        <v>0.99903588324083481</v>
      </c>
      <c r="E531" s="885">
        <v>0.9607761223548944</v>
      </c>
      <c r="F531" s="885">
        <v>1.0030301075907504</v>
      </c>
      <c r="G531" s="885">
        <v>0.96725181070444144</v>
      </c>
      <c r="H531" s="885">
        <v>1.0422981658627692</v>
      </c>
      <c r="I531" s="885">
        <v>1.00159349301626</v>
      </c>
      <c r="K531">
        <v>1.9552474121020817</v>
      </c>
      <c r="L531">
        <v>0</v>
      </c>
      <c r="M531">
        <v>2.2276380339342774E-3</v>
      </c>
      <c r="N531">
        <v>0.19867083125241775</v>
      </c>
      <c r="O531">
        <v>2.5342761793812313E-2</v>
      </c>
      <c r="P531">
        <v>2.0659431385581142E-2</v>
      </c>
      <c r="Q531">
        <v>2.8606886421416065E-3</v>
      </c>
      <c r="R531">
        <v>2.2148810829160539E-3</v>
      </c>
      <c r="S531">
        <v>0.21206670778777612</v>
      </c>
      <c r="T531">
        <v>1.0620052089269163</v>
      </c>
      <c r="U531">
        <v>3.7590083437588552E-2</v>
      </c>
      <c r="V531">
        <v>0.24895133256108237</v>
      </c>
      <c r="W531">
        <v>0.12203028469232907</v>
      </c>
      <c r="X531">
        <v>1.905466240110729E-2</v>
      </c>
      <c r="Y531">
        <v>6.0281761723447432E-3</v>
      </c>
    </row>
    <row r="532" spans="1:25" x14ac:dyDescent="0.25">
      <c r="A532" s="881"/>
      <c r="B532" s="1131">
        <v>282</v>
      </c>
      <c r="C532" s="885">
        <v>0.99757326409017455</v>
      </c>
      <c r="D532" s="885">
        <v>0.97820756734232372</v>
      </c>
      <c r="E532" s="885">
        <v>0.99761115658179178</v>
      </c>
      <c r="F532" s="885">
        <v>0.9848075428434222</v>
      </c>
      <c r="G532" s="885">
        <v>0.98438132277370383</v>
      </c>
      <c r="H532" s="885">
        <v>1.0326639663518951</v>
      </c>
      <c r="I532" s="885">
        <v>1.0014979268234039</v>
      </c>
      <c r="K532">
        <v>1.9638381261035107</v>
      </c>
      <c r="L532">
        <v>0</v>
      </c>
      <c r="M532">
        <v>2.0544361044394963E-3</v>
      </c>
      <c r="N532">
        <v>0.2054984598657198</v>
      </c>
      <c r="O532">
        <v>2.5486929777734754E-2</v>
      </c>
      <c r="P532">
        <v>2.1224871270908274E-2</v>
      </c>
      <c r="Q532">
        <v>2.9823621388398434E-3</v>
      </c>
      <c r="R532">
        <v>2.0425786738650438E-3</v>
      </c>
      <c r="S532">
        <v>0.2121050615034589</v>
      </c>
      <c r="T532">
        <v>1.0585918716255136</v>
      </c>
      <c r="U532">
        <v>3.7411097454535851E-2</v>
      </c>
      <c r="V532">
        <v>0.25092579161441625</v>
      </c>
      <c r="W532">
        <v>0.12303680147711749</v>
      </c>
      <c r="X532">
        <v>2.1027510991456059E-2</v>
      </c>
      <c r="Y532">
        <v>5.5592258143817722E-3</v>
      </c>
    </row>
    <row r="533" spans="1:25" x14ac:dyDescent="0.25">
      <c r="A533" s="881"/>
      <c r="B533" s="1131">
        <v>283</v>
      </c>
      <c r="C533" s="885">
        <v>1.0130193230331679</v>
      </c>
      <c r="D533" s="885">
        <v>0.9945657469670981</v>
      </c>
      <c r="E533" s="885">
        <v>1.0325041597962308</v>
      </c>
      <c r="F533" s="885">
        <v>1.0288054003758227</v>
      </c>
      <c r="G533" s="885">
        <v>1.0021331371228905</v>
      </c>
      <c r="H533" s="885">
        <v>0.95971227511906054</v>
      </c>
      <c r="I533" s="885">
        <v>1.0105225618685516</v>
      </c>
      <c r="K533">
        <v>1.9225476150779086</v>
      </c>
      <c r="L533">
        <v>0</v>
      </c>
      <c r="M533">
        <v>1.7323934548537981E-3</v>
      </c>
      <c r="N533">
        <v>0.19304582740068274</v>
      </c>
      <c r="O533">
        <v>2.4892736404346895E-2</v>
      </c>
      <c r="P533">
        <v>2.1520718786520874E-2</v>
      </c>
      <c r="Q533">
        <v>3.0194450925588585E-3</v>
      </c>
      <c r="R533">
        <v>1.7216222428521411E-3</v>
      </c>
      <c r="S533">
        <v>0.20176515963348809</v>
      </c>
      <c r="T533">
        <v>1.0554072007148698</v>
      </c>
      <c r="U533">
        <v>3.6840670017204605E-2</v>
      </c>
      <c r="V533">
        <v>0.24666327339138994</v>
      </c>
      <c r="W533">
        <v>0.1128823056278203</v>
      </c>
      <c r="X533">
        <v>2.18353610086023E-2</v>
      </c>
      <c r="Y533">
        <v>4.6856882124236996E-3</v>
      </c>
    </row>
    <row r="534" spans="1:25" x14ac:dyDescent="0.25">
      <c r="A534" s="881"/>
      <c r="B534" s="1131">
        <v>284</v>
      </c>
      <c r="C534" s="885">
        <v>1.0031918190889546</v>
      </c>
      <c r="D534" s="885">
        <v>0.99780260252161124</v>
      </c>
      <c r="E534" s="885">
        <v>1.0177314820329428</v>
      </c>
      <c r="F534" s="885">
        <v>0.95989512002538857</v>
      </c>
      <c r="G534" s="885">
        <v>0.99781390016672911</v>
      </c>
      <c r="H534" s="885">
        <v>0.97194682774432306</v>
      </c>
      <c r="I534" s="885">
        <v>0.99312526172582327</v>
      </c>
      <c r="K534">
        <v>1.9273671215899015</v>
      </c>
      <c r="L534">
        <v>0</v>
      </c>
      <c r="M534">
        <v>1.8249295529361366E-3</v>
      </c>
      <c r="N534">
        <v>0.19425433482078822</v>
      </c>
      <c r="O534">
        <v>2.5096174093749698E-2</v>
      </c>
      <c r="P534">
        <v>2.1318561424532426E-2</v>
      </c>
      <c r="Q534">
        <v>3.0005462976650681E-3</v>
      </c>
      <c r="R534">
        <v>1.8137232944581546E-3</v>
      </c>
      <c r="S534">
        <v>0.20116293822139794</v>
      </c>
      <c r="T534">
        <v>1.0567496913411574</v>
      </c>
      <c r="U534">
        <v>3.7201569919907453E-2</v>
      </c>
      <c r="V534">
        <v>0.24763229660813652</v>
      </c>
      <c r="W534">
        <v>0.11472287482294947</v>
      </c>
      <c r="X534">
        <v>2.1302983384301043E-2</v>
      </c>
      <c r="Y534">
        <v>4.9363569137917673E-3</v>
      </c>
    </row>
    <row r="535" spans="1:25" x14ac:dyDescent="0.25">
      <c r="A535" s="881"/>
      <c r="B535" s="1131">
        <v>285</v>
      </c>
      <c r="C535" s="885">
        <v>1.0403254701849449</v>
      </c>
      <c r="D535" s="885">
        <v>0.9536547745583408</v>
      </c>
      <c r="E535" s="885">
        <v>0.99670440347340461</v>
      </c>
      <c r="F535" s="885">
        <v>1.032974524976322</v>
      </c>
      <c r="G535" s="885">
        <v>1.0298235800080864</v>
      </c>
      <c r="H535" s="885">
        <v>0.98679401820114421</v>
      </c>
      <c r="I535" s="885">
        <v>1.0038605177639983</v>
      </c>
      <c r="K535">
        <v>1.9229280308194761</v>
      </c>
      <c r="L535">
        <v>0</v>
      </c>
      <c r="M535">
        <v>1.9100774552109254E-3</v>
      </c>
      <c r="N535">
        <v>0.19047106592554583</v>
      </c>
      <c r="O535">
        <v>2.4750506114602954E-2</v>
      </c>
      <c r="P535">
        <v>2.1011006239986446E-2</v>
      </c>
      <c r="Q535">
        <v>2.8883451483662447E-3</v>
      </c>
      <c r="R535">
        <v>1.8985613742616696E-3</v>
      </c>
      <c r="S535">
        <v>0.20169064159655845</v>
      </c>
      <c r="T535">
        <v>1.0586752639320922</v>
      </c>
      <c r="U535">
        <v>3.5873687293537286E-2</v>
      </c>
      <c r="V535">
        <v>0.24814282427669801</v>
      </c>
      <c r="W535">
        <v>0.11411046141718208</v>
      </c>
      <c r="X535">
        <v>2.015848675570428E-2</v>
      </c>
      <c r="Y535">
        <v>5.1672582001514424E-3</v>
      </c>
    </row>
    <row r="536" spans="1:25" x14ac:dyDescent="0.25">
      <c r="A536" s="881"/>
      <c r="B536" s="1131">
        <v>286</v>
      </c>
      <c r="C536" s="885">
        <v>1.0026254983030662</v>
      </c>
      <c r="D536" s="885">
        <v>1.0196818416620517</v>
      </c>
      <c r="E536" s="885">
        <v>0.95650063797753582</v>
      </c>
      <c r="F536" s="885">
        <v>0.98383104068692895</v>
      </c>
      <c r="G536" s="885">
        <v>1.0132023379079642</v>
      </c>
      <c r="H536" s="885">
        <v>0.96587049020048876</v>
      </c>
      <c r="I536" s="885">
        <v>0.99610113442261916</v>
      </c>
      <c r="K536">
        <v>1.9057709073051023</v>
      </c>
      <c r="L536">
        <v>0</v>
      </c>
      <c r="M536">
        <v>2.0417444603905263E-3</v>
      </c>
      <c r="N536">
        <v>0.17959512982770789</v>
      </c>
      <c r="O536">
        <v>2.4842509713137027E-2</v>
      </c>
      <c r="P536">
        <v>2.0371057164217433E-2</v>
      </c>
      <c r="Q536">
        <v>2.7958829656809089E-3</v>
      </c>
      <c r="R536">
        <v>2.0291090367090788E-3</v>
      </c>
      <c r="S536">
        <v>0.19927904620005871</v>
      </c>
      <c r="T536">
        <v>1.062404799676097</v>
      </c>
      <c r="U536">
        <v>3.7222582773010653E-2</v>
      </c>
      <c r="V536">
        <v>0.24504290867128956</v>
      </c>
      <c r="W536">
        <v>0.11064607872265367</v>
      </c>
      <c r="X536">
        <v>1.8060981112621291E-2</v>
      </c>
      <c r="Y536">
        <v>5.5225659023079325E-3</v>
      </c>
    </row>
    <row r="537" spans="1:25" x14ac:dyDescent="0.25">
      <c r="A537" s="881"/>
      <c r="B537" s="1131">
        <v>287</v>
      </c>
      <c r="C537" s="885">
        <v>0.99443758346930744</v>
      </c>
      <c r="D537" s="885">
        <v>1.0398945799358654</v>
      </c>
      <c r="E537" s="885">
        <v>1.0090959893083493</v>
      </c>
      <c r="F537" s="885">
        <v>0.9676524743549878</v>
      </c>
      <c r="G537" s="885">
        <v>0.95458567599965671</v>
      </c>
      <c r="H537" s="885">
        <v>1.0078757151513227</v>
      </c>
      <c r="I537" s="885">
        <v>1.0120818239172487</v>
      </c>
      <c r="K537">
        <v>1.9352893076258648</v>
      </c>
      <c r="L537">
        <v>0</v>
      </c>
      <c r="M537">
        <v>1.9049289606216159E-3</v>
      </c>
      <c r="N537">
        <v>0.197440172547518</v>
      </c>
      <c r="O537">
        <v>2.4805848505588222E-2</v>
      </c>
      <c r="P537">
        <v>2.1220119313312674E-2</v>
      </c>
      <c r="Q537">
        <v>2.9488031667309926E-3</v>
      </c>
      <c r="R537">
        <v>1.8936163652921048E-3</v>
      </c>
      <c r="S537">
        <v>0.20656586704486318</v>
      </c>
      <c r="T537">
        <v>1.0575384065997451</v>
      </c>
      <c r="U537">
        <v>3.7529062880665723E-2</v>
      </c>
      <c r="V537">
        <v>0.2437976361620906</v>
      </c>
      <c r="W537">
        <v>0.11728894834953608</v>
      </c>
      <c r="X537">
        <v>2.1011956135284962E-2</v>
      </c>
      <c r="Y537">
        <v>5.1537995158580565E-3</v>
      </c>
    </row>
    <row r="538" spans="1:25" x14ac:dyDescent="0.25">
      <c r="A538" s="881"/>
      <c r="B538" s="1131">
        <v>288</v>
      </c>
      <c r="C538" s="885">
        <v>0.9979400630401819</v>
      </c>
      <c r="D538" s="885">
        <v>1.0019158702600039</v>
      </c>
      <c r="E538" s="885">
        <v>0.97846696894867224</v>
      </c>
      <c r="F538" s="885">
        <v>1.0061700232180799</v>
      </c>
      <c r="G538" s="885">
        <v>1.0025552071071537</v>
      </c>
      <c r="H538" s="885">
        <v>1.0355843703133913</v>
      </c>
      <c r="I538" s="885">
        <v>0.96869722025665561</v>
      </c>
      <c r="K538">
        <v>1.9439329381243688</v>
      </c>
      <c r="L538">
        <v>0</v>
      </c>
      <c r="M538">
        <v>2.1187759817299476E-3</v>
      </c>
      <c r="N538">
        <v>0.19967077365242161</v>
      </c>
      <c r="O538">
        <v>2.5176923524637188E-2</v>
      </c>
      <c r="P538">
        <v>2.0782286077096999E-2</v>
      </c>
      <c r="Q538">
        <v>2.894415005334845E-3</v>
      </c>
      <c r="R538">
        <v>2.1065613492777849E-3</v>
      </c>
      <c r="S538">
        <v>0.20312120118749249</v>
      </c>
      <c r="T538">
        <v>1.0603593123212671</v>
      </c>
      <c r="U538">
        <v>3.739734677774352E-2</v>
      </c>
      <c r="V538">
        <v>0.24786130069789067</v>
      </c>
      <c r="W538">
        <v>0.12113725801966659</v>
      </c>
      <c r="X538">
        <v>1.9810969928296722E-2</v>
      </c>
      <c r="Y538">
        <v>5.7333655649719735E-3</v>
      </c>
    </row>
    <row r="539" spans="1:25" x14ac:dyDescent="0.25">
      <c r="A539" s="881"/>
      <c r="B539" s="1131">
        <v>289</v>
      </c>
      <c r="C539" s="885">
        <v>1.0243116304928654</v>
      </c>
      <c r="D539" s="885">
        <v>1.0281409443435772</v>
      </c>
      <c r="E539" s="885">
        <v>1.0016083892670684</v>
      </c>
      <c r="F539" s="885">
        <v>0.99539341449633034</v>
      </c>
      <c r="G539" s="885">
        <v>0.99950521810633119</v>
      </c>
      <c r="H539" s="885">
        <v>0.98003323891541538</v>
      </c>
      <c r="I539" s="885">
        <v>0.98640239693306364</v>
      </c>
      <c r="K539">
        <v>1.8995672706103623</v>
      </c>
      <c r="L539">
        <v>0</v>
      </c>
      <c r="M539">
        <v>1.837139501913411E-3</v>
      </c>
      <c r="N539">
        <v>0.18600064621815846</v>
      </c>
      <c r="O539">
        <v>2.4217643119625328E-2</v>
      </c>
      <c r="P539">
        <v>2.0885849543542178E-2</v>
      </c>
      <c r="Q539">
        <v>2.8551271922045061E-3</v>
      </c>
      <c r="R539">
        <v>1.82592823472702E-3</v>
      </c>
      <c r="S539">
        <v>0.1937945034614294</v>
      </c>
      <c r="T539">
        <v>1.0582246356661129</v>
      </c>
      <c r="U539">
        <v>3.643452782329492E-2</v>
      </c>
      <c r="V539">
        <v>0.24112697174836287</v>
      </c>
      <c r="W539">
        <v>0.1110587456468158</v>
      </c>
      <c r="X539">
        <v>2.0010256720155668E-2</v>
      </c>
      <c r="Y539">
        <v>4.9695747378461393E-3</v>
      </c>
    </row>
    <row r="540" spans="1:25" x14ac:dyDescent="0.25">
      <c r="A540" s="881"/>
      <c r="B540" s="1131">
        <v>290</v>
      </c>
      <c r="C540" s="885">
        <v>1.0084312975668994</v>
      </c>
      <c r="D540" s="885">
        <v>1.0152565765722164</v>
      </c>
      <c r="E540" s="885">
        <v>1.0277534075577313</v>
      </c>
      <c r="F540" s="885">
        <v>1.0121705081625769</v>
      </c>
      <c r="G540" s="885">
        <v>1.01100925197195</v>
      </c>
      <c r="H540" s="885">
        <v>0.97789167940031851</v>
      </c>
      <c r="I540" s="885">
        <v>1.018308439789801</v>
      </c>
      <c r="K540">
        <v>1.9263795524059899</v>
      </c>
      <c r="L540">
        <v>0</v>
      </c>
      <c r="M540">
        <v>1.7730166966322331E-3</v>
      </c>
      <c r="N540">
        <v>0.19470127284353567</v>
      </c>
      <c r="O540">
        <v>2.4752589642896772E-2</v>
      </c>
      <c r="P540">
        <v>2.146207626586525E-2</v>
      </c>
      <c r="Q540">
        <v>2.9926603725779809E-3</v>
      </c>
      <c r="R540">
        <v>1.7621824304727778E-3</v>
      </c>
      <c r="S540">
        <v>0.20417149793889383</v>
      </c>
      <c r="T540">
        <v>1.0558380013639566</v>
      </c>
      <c r="U540">
        <v>3.7008282756556418E-2</v>
      </c>
      <c r="V540">
        <v>0.24477262818180637</v>
      </c>
      <c r="W540">
        <v>0.11421331062039451</v>
      </c>
      <c r="X540">
        <v>2.1681987013201013E-2</v>
      </c>
      <c r="Y540">
        <v>4.7960796724648173E-3</v>
      </c>
    </row>
    <row r="541" spans="1:25" x14ac:dyDescent="0.25">
      <c r="A541" s="881"/>
      <c r="B541" s="1131">
        <v>291</v>
      </c>
      <c r="C541" s="885">
        <v>0.99429445858635035</v>
      </c>
      <c r="D541" s="885">
        <v>0.96432879011586714</v>
      </c>
      <c r="E541" s="885">
        <v>0.99102635995800115</v>
      </c>
      <c r="F541" s="885">
        <v>0.98881828937746952</v>
      </c>
      <c r="G541" s="885">
        <v>0.96922928222540039</v>
      </c>
      <c r="H541" s="885">
        <v>1.0190446433745692</v>
      </c>
      <c r="I541" s="885">
        <v>0.98873728876257949</v>
      </c>
      <c r="K541">
        <v>1.9621988611455838</v>
      </c>
      <c r="L541">
        <v>0</v>
      </c>
      <c r="M541">
        <v>2.0770904088025432E-3</v>
      </c>
      <c r="N541">
        <v>0.20353517788229258</v>
      </c>
      <c r="O541">
        <v>2.5753223908786118E-2</v>
      </c>
      <c r="P541">
        <v>2.113417281105039E-2</v>
      </c>
      <c r="Q541">
        <v>2.9905609875906405E-3</v>
      </c>
      <c r="R541">
        <v>2.0649541845102885E-3</v>
      </c>
      <c r="S541">
        <v>0.21008795314303289</v>
      </c>
      <c r="T541">
        <v>1.0591981899712493</v>
      </c>
      <c r="U541">
        <v>3.7534465045674176E-2</v>
      </c>
      <c r="V541">
        <v>0.25323729607996975</v>
      </c>
      <c r="W541">
        <v>0.12241382838001745</v>
      </c>
      <c r="X541">
        <v>2.0706004581939257E-2</v>
      </c>
      <c r="Y541">
        <v>5.6201245782730291E-3</v>
      </c>
    </row>
    <row r="542" spans="1:25" x14ac:dyDescent="0.25">
      <c r="A542" s="881"/>
      <c r="B542" s="1131">
        <v>292</v>
      </c>
      <c r="C542" s="885">
        <v>0.97707452131019779</v>
      </c>
      <c r="D542" s="885">
        <v>0.99842077059554002</v>
      </c>
      <c r="E542" s="885">
        <v>0.97712433591150549</v>
      </c>
      <c r="F542" s="885">
        <v>0.96295634568969735</v>
      </c>
      <c r="G542" s="885">
        <v>0.99087371279303949</v>
      </c>
      <c r="H542" s="885">
        <v>1.0004530747104388</v>
      </c>
      <c r="I542" s="885">
        <v>0.97887614874065443</v>
      </c>
      <c r="K542">
        <v>1.9481759353655321</v>
      </c>
      <c r="L542">
        <v>0</v>
      </c>
      <c r="M542">
        <v>2.1001354509618177E-3</v>
      </c>
      <c r="N542">
        <v>0.19704793519736064</v>
      </c>
      <c r="O542">
        <v>2.5759097123056209E-2</v>
      </c>
      <c r="P542">
        <v>2.0863932803531347E-2</v>
      </c>
      <c r="Q542">
        <v>2.9565797683654971E-3</v>
      </c>
      <c r="R542">
        <v>2.0876061663498004E-3</v>
      </c>
      <c r="S542">
        <v>0.20641123194773559</v>
      </c>
      <c r="T542">
        <v>1.0604838015878026</v>
      </c>
      <c r="U542">
        <v>3.8195971532317297E-2</v>
      </c>
      <c r="V542">
        <v>0.25131748070450843</v>
      </c>
      <c r="W542">
        <v>0.11965761981766145</v>
      </c>
      <c r="X542">
        <v>1.9813038362189051E-2</v>
      </c>
      <c r="Y542">
        <v>5.681775805616374E-3</v>
      </c>
    </row>
    <row r="543" spans="1:25" x14ac:dyDescent="0.25">
      <c r="A543" s="881"/>
      <c r="B543" s="1131">
        <v>293</v>
      </c>
      <c r="C543" s="885">
        <v>0.96485933522383749</v>
      </c>
      <c r="D543" s="885">
        <v>0.98984871285414555</v>
      </c>
      <c r="E543" s="885">
        <v>1.0177076397066811</v>
      </c>
      <c r="F543" s="885">
        <v>1.0099183457872487</v>
      </c>
      <c r="G543" s="885">
        <v>0.9933707039885582</v>
      </c>
      <c r="H543" s="885">
        <v>0.96184856500662219</v>
      </c>
      <c r="I543" s="885">
        <v>0.99495029159876391</v>
      </c>
      <c r="K543">
        <v>1.9559468668005484</v>
      </c>
      <c r="L543">
        <v>0</v>
      </c>
      <c r="M543">
        <v>1.8852661367803221E-3</v>
      </c>
      <c r="N543">
        <v>0.20064966747634991</v>
      </c>
      <c r="O543">
        <v>2.6196873970700526E-2</v>
      </c>
      <c r="P543">
        <v>2.1542137452792029E-2</v>
      </c>
      <c r="Q543">
        <v>3.1303220147683619E-3</v>
      </c>
      <c r="R543">
        <v>1.8735743337348247E-3</v>
      </c>
      <c r="S543">
        <v>0.20925121947052455</v>
      </c>
      <c r="T543">
        <v>1.0567518649493075</v>
      </c>
      <c r="U543">
        <v>3.8679535180388705E-2</v>
      </c>
      <c r="V543">
        <v>0.25425955191880362</v>
      </c>
      <c r="W543">
        <v>0.11850174480942303</v>
      </c>
      <c r="X543">
        <v>2.1896389647722239E-2</v>
      </c>
      <c r="Y543">
        <v>5.0992517128130663E-3</v>
      </c>
    </row>
    <row r="544" spans="1:25" x14ac:dyDescent="0.25">
      <c r="A544" s="881"/>
      <c r="B544" s="1131">
        <v>294</v>
      </c>
      <c r="C544" s="885">
        <v>0.99904381799717445</v>
      </c>
      <c r="D544" s="885">
        <v>0.99123133377858397</v>
      </c>
      <c r="E544" s="885">
        <v>0.96177826061152805</v>
      </c>
      <c r="F544" s="885">
        <v>1.0195395772127236</v>
      </c>
      <c r="G544" s="885">
        <v>1.0210889229288822</v>
      </c>
      <c r="H544" s="885">
        <v>1.0250129238256325</v>
      </c>
      <c r="I544" s="885">
        <v>0.99763731973010372</v>
      </c>
      <c r="K544">
        <v>1.9456838654835995</v>
      </c>
      <c r="L544">
        <v>0</v>
      </c>
      <c r="M544">
        <v>2.1809423737894885E-3</v>
      </c>
      <c r="N544">
        <v>0.19509709314798537</v>
      </c>
      <c r="O544">
        <v>2.5282992663174023E-2</v>
      </c>
      <c r="P544">
        <v>2.0630529864245024E-2</v>
      </c>
      <c r="Q544">
        <v>2.8553160271531492E-3</v>
      </c>
      <c r="R544">
        <v>2.1682491318816212E-3</v>
      </c>
      <c r="S544">
        <v>0.20891830477679424</v>
      </c>
      <c r="T544">
        <v>1.061911650156286</v>
      </c>
      <c r="U544">
        <v>3.735602976427449E-2</v>
      </c>
      <c r="V544">
        <v>0.24903971182131474</v>
      </c>
      <c r="W544">
        <v>0.11975076894940172</v>
      </c>
      <c r="X544">
        <v>1.8952902181030698E-2</v>
      </c>
      <c r="Y544">
        <v>5.9012593738475474E-3</v>
      </c>
    </row>
    <row r="545" spans="1:25" x14ac:dyDescent="0.25">
      <c r="A545" s="881"/>
      <c r="B545" s="1131">
        <v>295</v>
      </c>
      <c r="C545" s="885">
        <v>0.98527257125487022</v>
      </c>
      <c r="D545" s="885">
        <v>1.0084966594394347</v>
      </c>
      <c r="E545" s="885">
        <v>1.0470575152194295</v>
      </c>
      <c r="F545" s="885">
        <v>1.0005615402711523</v>
      </c>
      <c r="G545" s="885">
        <v>1.0177112112412412</v>
      </c>
      <c r="H545" s="885">
        <v>1.0102035609178843</v>
      </c>
      <c r="I545" s="885">
        <v>0.99923368072830354</v>
      </c>
      <c r="K545">
        <v>1.9610696351841319</v>
      </c>
      <c r="L545">
        <v>0</v>
      </c>
      <c r="M545">
        <v>1.8055037481421016E-3</v>
      </c>
      <c r="N545">
        <v>0.2105481369423487</v>
      </c>
      <c r="O545">
        <v>2.541817524138398E-2</v>
      </c>
      <c r="P545">
        <v>2.1876640277473658E-2</v>
      </c>
      <c r="Q545">
        <v>3.1306556975099265E-3</v>
      </c>
      <c r="R545">
        <v>1.7948287718591929E-3</v>
      </c>
      <c r="S545">
        <v>0.20898679545628934</v>
      </c>
      <c r="T545">
        <v>1.0540929989407046</v>
      </c>
      <c r="U545">
        <v>3.7878158480941677E-2</v>
      </c>
      <c r="V545">
        <v>0.24885617830452836</v>
      </c>
      <c r="W545">
        <v>0.12192982465394249</v>
      </c>
      <c r="X545">
        <v>2.3477813913435525E-2</v>
      </c>
      <c r="Y545">
        <v>4.884932251855093E-3</v>
      </c>
    </row>
    <row r="546" spans="1:25" x14ac:dyDescent="0.25">
      <c r="A546" s="881"/>
      <c r="B546" s="1131">
        <v>296</v>
      </c>
      <c r="C546" s="885">
        <v>0.99368360018208701</v>
      </c>
      <c r="D546" s="885">
        <v>0.97920224669860689</v>
      </c>
      <c r="E546" s="885">
        <v>1.0066154252015962</v>
      </c>
      <c r="F546" s="885">
        <v>1.0024846920518593</v>
      </c>
      <c r="G546" s="885">
        <v>0.98161885104049817</v>
      </c>
      <c r="H546" s="885">
        <v>0.96298918649620424</v>
      </c>
      <c r="I546" s="885">
        <v>1.0151246020085467</v>
      </c>
      <c r="K546">
        <v>1.9404562905607567</v>
      </c>
      <c r="L546">
        <v>0</v>
      </c>
      <c r="M546">
        <v>1.8862307382244699E-3</v>
      </c>
      <c r="N546">
        <v>0.19395108724421817</v>
      </c>
      <c r="O546">
        <v>2.5573788452936227E-2</v>
      </c>
      <c r="P546">
        <v>2.1314209527663903E-2</v>
      </c>
      <c r="Q546">
        <v>3.0199180238416963E-3</v>
      </c>
      <c r="R546">
        <v>1.8745556207784837E-3</v>
      </c>
      <c r="S546">
        <v>0.20845288983329238</v>
      </c>
      <c r="T546">
        <v>1.0577655049750998</v>
      </c>
      <c r="U546">
        <v>3.7557539033630169E-2</v>
      </c>
      <c r="V546">
        <v>0.25135699922349353</v>
      </c>
      <c r="W546">
        <v>0.11541091671617103</v>
      </c>
      <c r="X546">
        <v>2.0963190195189493E-2</v>
      </c>
      <c r="Y546">
        <v>5.1019224526647191E-3</v>
      </c>
    </row>
    <row r="547" spans="1:25" x14ac:dyDescent="0.25">
      <c r="A547" s="881"/>
      <c r="B547" s="1131">
        <v>297</v>
      </c>
      <c r="C547" s="885">
        <v>0.9742169395342094</v>
      </c>
      <c r="D547" s="885">
        <v>1.0156674676057316</v>
      </c>
      <c r="E547" s="885">
        <v>1.0029106062421425</v>
      </c>
      <c r="F547" s="885">
        <v>0.97267097704259919</v>
      </c>
      <c r="G547" s="885">
        <v>1.0159127286119045</v>
      </c>
      <c r="H547" s="885">
        <v>0.98171335238747592</v>
      </c>
      <c r="I547" s="885">
        <v>0.99734539200433214</v>
      </c>
      <c r="K547">
        <v>1.9444560852976025</v>
      </c>
      <c r="L547">
        <v>0</v>
      </c>
      <c r="M547">
        <v>1.941265910765246E-3</v>
      </c>
      <c r="N547">
        <v>0.19734372416526602</v>
      </c>
      <c r="O547">
        <v>2.5616776555138134E-2</v>
      </c>
      <c r="P547">
        <v>2.1231010500746852E-2</v>
      </c>
      <c r="Q547">
        <v>3.0214804589731906E-3</v>
      </c>
      <c r="R547">
        <v>1.929449383770431E-3</v>
      </c>
      <c r="S547">
        <v>0.20734583119942526</v>
      </c>
      <c r="T547">
        <v>1.058105132105069</v>
      </c>
      <c r="U547">
        <v>3.8308008295113827E-2</v>
      </c>
      <c r="V547">
        <v>0.24957553687686099</v>
      </c>
      <c r="W547">
        <v>0.11772678146745617</v>
      </c>
      <c r="X547">
        <v>2.0942295020741256E-2</v>
      </c>
      <c r="Y547">
        <v>5.2513251798046948E-3</v>
      </c>
    </row>
    <row r="548" spans="1:25" x14ac:dyDescent="0.25">
      <c r="A548" s="881"/>
      <c r="B548" s="1131">
        <v>298</v>
      </c>
      <c r="C548" s="885">
        <v>1.0152675974254481</v>
      </c>
      <c r="D548" s="885">
        <v>1.0093425053929885</v>
      </c>
      <c r="E548" s="885">
        <v>1.0023978811416034</v>
      </c>
      <c r="F548" s="885">
        <v>1.043621653533191</v>
      </c>
      <c r="G548" s="885">
        <v>0.99455217774868476</v>
      </c>
      <c r="H548" s="885">
        <v>1.0100096633376952</v>
      </c>
      <c r="I548" s="885">
        <v>1.0061209686322514</v>
      </c>
      <c r="K548">
        <v>1.9299480488147125</v>
      </c>
      <c r="L548">
        <v>0</v>
      </c>
      <c r="M548">
        <v>1.9244632181398462E-3</v>
      </c>
      <c r="N548">
        <v>0.19535786545749204</v>
      </c>
      <c r="O548">
        <v>2.465699979910985E-2</v>
      </c>
      <c r="P548">
        <v>2.1089462946673965E-2</v>
      </c>
      <c r="Q548">
        <v>2.9055205351735738E-3</v>
      </c>
      <c r="R548">
        <v>1.913082055299786E-3</v>
      </c>
      <c r="S548">
        <v>0.2041125329477198</v>
      </c>
      <c r="T548">
        <v>1.0581521766489301</v>
      </c>
      <c r="U548">
        <v>3.6759087648965724E-2</v>
      </c>
      <c r="V548">
        <v>0.24455050890493699</v>
      </c>
      <c r="W548">
        <v>0.11658292118476608</v>
      </c>
      <c r="X548">
        <v>2.0585575196587717E-2</v>
      </c>
      <c r="Y548">
        <v>5.2067787071959784E-3</v>
      </c>
    </row>
    <row r="549" spans="1:25" x14ac:dyDescent="0.25">
      <c r="A549" s="881"/>
      <c r="B549" s="1131">
        <v>299</v>
      </c>
      <c r="C549" s="885">
        <v>1.0159667667459826</v>
      </c>
      <c r="D549" s="885">
        <v>1.0014911724816531</v>
      </c>
      <c r="E549" s="885">
        <v>0.97848638920766629</v>
      </c>
      <c r="F549" s="885">
        <v>0.99116589960536561</v>
      </c>
      <c r="G549" s="885">
        <v>1.0082442523924138</v>
      </c>
      <c r="H549" s="885">
        <v>0.99215586012414014</v>
      </c>
      <c r="I549" s="885">
        <v>0.99367548751608703</v>
      </c>
      <c r="K549">
        <v>1.9177253322616967</v>
      </c>
      <c r="L549">
        <v>0</v>
      </c>
      <c r="M549">
        <v>1.9942415255094054E-3</v>
      </c>
      <c r="N549">
        <v>0.18789850853598816</v>
      </c>
      <c r="O549">
        <v>2.4735388637917372E-2</v>
      </c>
      <c r="P549">
        <v>2.0704247555279252E-2</v>
      </c>
      <c r="Q549">
        <v>2.8436270185471513E-3</v>
      </c>
      <c r="R549">
        <v>1.9822419480678552E-3</v>
      </c>
      <c r="S549">
        <v>0.20040630432247278</v>
      </c>
      <c r="T549">
        <v>1.0603575121827329</v>
      </c>
      <c r="U549">
        <v>3.6733790732593787E-2</v>
      </c>
      <c r="V549">
        <v>0.24540739615016918</v>
      </c>
      <c r="W549">
        <v>0.11399366389017197</v>
      </c>
      <c r="X549">
        <v>1.9261883676507878E-2</v>
      </c>
      <c r="Y549">
        <v>5.3950091367581388E-3</v>
      </c>
    </row>
    <row r="550" spans="1:25" x14ac:dyDescent="0.25">
      <c r="A550" s="881"/>
      <c r="B550" s="1131">
        <v>300</v>
      </c>
      <c r="C550" s="885">
        <v>1.0153394343953726</v>
      </c>
      <c r="D550" s="885">
        <v>0.97313720060513809</v>
      </c>
      <c r="E550" s="885">
        <v>0.95947449867736845</v>
      </c>
      <c r="F550" s="885">
        <v>1.0008760562756907</v>
      </c>
      <c r="G550" s="885">
        <v>1.0391412639853006</v>
      </c>
      <c r="H550" s="885">
        <v>1.0263250860657918</v>
      </c>
      <c r="I550" s="885">
        <v>1.0080371846293166</v>
      </c>
      <c r="K550">
        <v>1.9432143976008793</v>
      </c>
      <c r="L550">
        <v>0</v>
      </c>
      <c r="M550">
        <v>2.1788827273616028E-3</v>
      </c>
      <c r="N550">
        <v>0.19351969626621013</v>
      </c>
      <c r="O550">
        <v>2.5105683751013682E-2</v>
      </c>
      <c r="P550">
        <v>2.059806196094556E-2</v>
      </c>
      <c r="Q550">
        <v>2.8249295004995688E-3</v>
      </c>
      <c r="R550">
        <v>2.1662339719729167E-3</v>
      </c>
      <c r="S550">
        <v>0.20961231000811539</v>
      </c>
      <c r="T550">
        <v>1.0621267852495186</v>
      </c>
      <c r="U550">
        <v>3.6756486881789271E-2</v>
      </c>
      <c r="V550">
        <v>0.24905240456126179</v>
      </c>
      <c r="W550">
        <v>0.11897520560457749</v>
      </c>
      <c r="X550">
        <v>1.8759707799463891E-2</v>
      </c>
      <c r="Y550">
        <v>5.8957747728733377E-3</v>
      </c>
    </row>
    <row r="551" spans="1:25" x14ac:dyDescent="0.25">
      <c r="A551" s="881"/>
      <c r="B551" s="1131">
        <v>301</v>
      </c>
      <c r="C551" s="885">
        <v>0.99324137771039178</v>
      </c>
      <c r="D551" s="885">
        <v>1.0215892636216315</v>
      </c>
      <c r="E551" s="885">
        <v>0.98689221076026601</v>
      </c>
      <c r="F551" s="885">
        <v>0.96162163862292704</v>
      </c>
      <c r="G551" s="885">
        <v>0.98607943174717527</v>
      </c>
      <c r="H551" s="885">
        <v>1.0055149668125529</v>
      </c>
      <c r="I551" s="885">
        <v>0.98594918929050301</v>
      </c>
      <c r="K551">
        <v>1.9322857463854792</v>
      </c>
      <c r="L551">
        <v>0</v>
      </c>
      <c r="M551">
        <v>2.0113281453349916E-3</v>
      </c>
      <c r="N551">
        <v>0.19455029359248255</v>
      </c>
      <c r="O551">
        <v>2.5054098966498659E-2</v>
      </c>
      <c r="P551">
        <v>2.0880522458250186E-2</v>
      </c>
      <c r="Q551">
        <v>2.908949218728113E-3</v>
      </c>
      <c r="R551">
        <v>1.9993701755928908E-3</v>
      </c>
      <c r="S551">
        <v>0.20288239602875707</v>
      </c>
      <c r="T551">
        <v>1.0595797179635749</v>
      </c>
      <c r="U551">
        <v>3.75742608377303E-2</v>
      </c>
      <c r="V551">
        <v>0.24611835677238336</v>
      </c>
      <c r="W551">
        <v>0.11734400985802711</v>
      </c>
      <c r="X551">
        <v>1.9963472133025902E-2</v>
      </c>
      <c r="Y551">
        <v>5.4416265257625999E-3</v>
      </c>
    </row>
    <row r="552" spans="1:25" x14ac:dyDescent="0.25">
      <c r="A552" s="881"/>
      <c r="B552" s="1131">
        <v>302</v>
      </c>
      <c r="C552" s="885">
        <v>1.0231323433283157</v>
      </c>
      <c r="D552" s="885">
        <v>0.9792053028440818</v>
      </c>
      <c r="E552" s="885">
        <v>1.0290239427914989</v>
      </c>
      <c r="F552" s="885">
        <v>1.0111977148582976</v>
      </c>
      <c r="G552" s="885">
        <v>1.0331793326878767</v>
      </c>
      <c r="H552" s="885">
        <v>1.0206566325225814</v>
      </c>
      <c r="I552" s="885">
        <v>0.99477388087137208</v>
      </c>
      <c r="K552">
        <v>1.9439868613567293</v>
      </c>
      <c r="L552">
        <v>0</v>
      </c>
      <c r="M552">
        <v>1.8519029431570317E-3</v>
      </c>
      <c r="N552">
        <v>0.2042234104371832</v>
      </c>
      <c r="O552">
        <v>2.4837661493482599E-2</v>
      </c>
      <c r="P552">
        <v>2.1506137826569068E-2</v>
      </c>
      <c r="Q552">
        <v>2.999145283889833E-3</v>
      </c>
      <c r="R552">
        <v>1.8410879436199774E-3</v>
      </c>
      <c r="S552">
        <v>0.20412757326415965</v>
      </c>
      <c r="T552">
        <v>1.0557227020182063</v>
      </c>
      <c r="U552">
        <v>3.6476523144123758E-2</v>
      </c>
      <c r="V552">
        <v>0.24719992296902077</v>
      </c>
      <c r="W552">
        <v>0.11969700406749169</v>
      </c>
      <c r="X552">
        <v>2.2196761384082917E-2</v>
      </c>
      <c r="Y552">
        <v>5.010834468056077E-3</v>
      </c>
    </row>
    <row r="553" spans="1:25" x14ac:dyDescent="0.25">
      <c r="A553" s="881"/>
      <c r="B553" s="1131">
        <v>303</v>
      </c>
      <c r="C553" s="885">
        <v>0.98705806200585067</v>
      </c>
      <c r="D553" s="885">
        <v>0.97835226352571347</v>
      </c>
      <c r="E553" s="885">
        <v>1.0052579459440047</v>
      </c>
      <c r="F553" s="885">
        <v>1.0303983828282663</v>
      </c>
      <c r="G553" s="885">
        <v>0.98738529620848992</v>
      </c>
      <c r="H553" s="885">
        <v>0.9942585659029608</v>
      </c>
      <c r="I553" s="885">
        <v>0.98474828155392014</v>
      </c>
      <c r="K553">
        <v>1.9530623304398715</v>
      </c>
      <c r="L553">
        <v>0</v>
      </c>
      <c r="M553">
        <v>1.9670161783398826E-3</v>
      </c>
      <c r="N553">
        <v>0.20144533535740275</v>
      </c>
      <c r="O553">
        <v>2.5756552373656913E-2</v>
      </c>
      <c r="P553">
        <v>2.1290773384556462E-2</v>
      </c>
      <c r="Q553">
        <v>3.0371806183930867E-3</v>
      </c>
      <c r="R553">
        <v>1.9552246510666635E-3</v>
      </c>
      <c r="S553">
        <v>0.20684531765207961</v>
      </c>
      <c r="T553">
        <v>1.0578898853111776</v>
      </c>
      <c r="U553">
        <v>3.780964062547286E-2</v>
      </c>
      <c r="V553">
        <v>0.25244445434122281</v>
      </c>
      <c r="W553">
        <v>0.11998131335587621</v>
      </c>
      <c r="X553">
        <v>2.1252191986734885E-2</v>
      </c>
      <c r="Y553">
        <v>5.321476960570456E-3</v>
      </c>
    </row>
    <row r="554" spans="1:25" x14ac:dyDescent="0.25">
      <c r="A554" s="881"/>
      <c r="B554" s="1131">
        <v>304</v>
      </c>
      <c r="C554" s="885">
        <v>0.98288807464891337</v>
      </c>
      <c r="D554" s="885">
        <v>1.013048671065331</v>
      </c>
      <c r="E554" s="885">
        <v>1.0026368870649334</v>
      </c>
      <c r="F554" s="885">
        <v>1.0061312311812001</v>
      </c>
      <c r="G554" s="885">
        <v>1.0315134962998411</v>
      </c>
      <c r="H554" s="885">
        <v>0.98766832172589591</v>
      </c>
      <c r="I554" s="885">
        <v>1.0058910267667318</v>
      </c>
      <c r="K554">
        <v>1.9431492994030455</v>
      </c>
      <c r="L554">
        <v>0</v>
      </c>
      <c r="M554">
        <v>1.9393980721624288E-3</v>
      </c>
      <c r="N554">
        <v>0.1969935472761683</v>
      </c>
      <c r="O554">
        <v>2.5423187449301079E-2</v>
      </c>
      <c r="P554">
        <v>2.1220313298445963E-2</v>
      </c>
      <c r="Q554">
        <v>2.9972869914192709E-3</v>
      </c>
      <c r="R554">
        <v>1.9276661777158218E-3</v>
      </c>
      <c r="S554">
        <v>0.20813548124578576</v>
      </c>
      <c r="T554">
        <v>1.0581302456408754</v>
      </c>
      <c r="U554">
        <v>3.7970051284066761E-2</v>
      </c>
      <c r="V554">
        <v>0.24863280913225699</v>
      </c>
      <c r="W554">
        <v>0.11753985038168924</v>
      </c>
      <c r="X554">
        <v>2.0871786716724638E-2</v>
      </c>
      <c r="Y554">
        <v>5.2464718807577661E-3</v>
      </c>
    </row>
    <row r="555" spans="1:25" x14ac:dyDescent="0.25">
      <c r="A555" s="881"/>
      <c r="B555" s="1131">
        <v>305</v>
      </c>
      <c r="C555" s="885">
        <v>0.99732573378420153</v>
      </c>
      <c r="D555" s="885">
        <v>0.98802430063110125</v>
      </c>
      <c r="E555" s="885">
        <v>0.98841545232658135</v>
      </c>
      <c r="F555" s="885">
        <v>0.95379885736715819</v>
      </c>
      <c r="G555" s="885">
        <v>0.97963082743316166</v>
      </c>
      <c r="H555" s="885">
        <v>0.96977701225847002</v>
      </c>
      <c r="I555" s="885">
        <v>0.97457097154652805</v>
      </c>
      <c r="K555">
        <v>1.9250788091316966</v>
      </c>
      <c r="L555">
        <v>0</v>
      </c>
      <c r="M555">
        <v>1.9577833960189805E-3</v>
      </c>
      <c r="N555">
        <v>0.19023222139167259</v>
      </c>
      <c r="O555">
        <v>2.5367264960215952E-2</v>
      </c>
      <c r="P555">
        <v>2.0899813667882346E-2</v>
      </c>
      <c r="Q555">
        <v>2.9430061812281108E-3</v>
      </c>
      <c r="R555">
        <v>1.9457426750979904E-3</v>
      </c>
      <c r="S555">
        <v>0.19924962555721015</v>
      </c>
      <c r="T555">
        <v>1.0594390653775521</v>
      </c>
      <c r="U555">
        <v>3.7420382666062957E-2</v>
      </c>
      <c r="V555">
        <v>0.24969636878251067</v>
      </c>
      <c r="W555">
        <v>0.11461897967931332</v>
      </c>
      <c r="X555">
        <v>1.992845144125335E-2</v>
      </c>
      <c r="Y555">
        <v>5.2956701477162686E-3</v>
      </c>
    </row>
    <row r="556" spans="1:25" x14ac:dyDescent="0.25">
      <c r="A556" s="881"/>
      <c r="B556" s="1131">
        <v>306</v>
      </c>
      <c r="C556" s="885">
        <v>1.0069088463703553</v>
      </c>
      <c r="D556" s="885">
        <v>0.99961438551780335</v>
      </c>
      <c r="E556" s="885">
        <v>0.99423914527164414</v>
      </c>
      <c r="F556" s="885">
        <v>1.0125861867474761</v>
      </c>
      <c r="G556" s="885">
        <v>1.0010893855368717</v>
      </c>
      <c r="H556" s="885">
        <v>0.95700629439492158</v>
      </c>
      <c r="I556" s="885">
        <v>0.97037399060541918</v>
      </c>
      <c r="K556">
        <v>1.9083248090507399</v>
      </c>
      <c r="L556">
        <v>0</v>
      </c>
      <c r="M556">
        <v>1.8794387486065726E-3</v>
      </c>
      <c r="N556">
        <v>0.18594444795279394</v>
      </c>
      <c r="O556">
        <v>2.4981084440318987E-2</v>
      </c>
      <c r="P556">
        <v>2.0872707546931865E-2</v>
      </c>
      <c r="Q556">
        <v>2.9176782864894831E-3</v>
      </c>
      <c r="R556">
        <v>1.8677161189169273E-3</v>
      </c>
      <c r="S556">
        <v>0.19420868947240905</v>
      </c>
      <c r="T556">
        <v>1.0589021506851473</v>
      </c>
      <c r="U556">
        <v>3.7064239464621757E-2</v>
      </c>
      <c r="V556">
        <v>0.24688399147238599</v>
      </c>
      <c r="W556">
        <v>0.11158724812715981</v>
      </c>
      <c r="X556">
        <v>1.9890986648931675E-2</v>
      </c>
      <c r="Y556">
        <v>5.0833075832387459E-3</v>
      </c>
    </row>
    <row r="557" spans="1:25" x14ac:dyDescent="0.25">
      <c r="A557" s="881"/>
      <c r="B557" s="1131">
        <v>307</v>
      </c>
      <c r="C557" s="885">
        <v>1.0462860885751568</v>
      </c>
      <c r="D557" s="885">
        <v>0.96455864419809234</v>
      </c>
      <c r="E557" s="885">
        <v>1.0179280112928497</v>
      </c>
      <c r="F557" s="885">
        <v>0.9684429027715844</v>
      </c>
      <c r="G557" s="885">
        <v>0.97623532790699419</v>
      </c>
      <c r="H557" s="885">
        <v>1.0031016395866166</v>
      </c>
      <c r="I557" s="885">
        <v>1.0069388695971893</v>
      </c>
      <c r="K557">
        <v>1.9259389927027739</v>
      </c>
      <c r="L557">
        <v>0</v>
      </c>
      <c r="M557">
        <v>1.8356898130668406E-3</v>
      </c>
      <c r="N557">
        <v>0.19555934797628061</v>
      </c>
      <c r="O557">
        <v>2.4470603508255435E-2</v>
      </c>
      <c r="P557">
        <v>2.1284395676009114E-2</v>
      </c>
      <c r="Q557">
        <v>2.9193618845567192E-3</v>
      </c>
      <c r="R557">
        <v>1.824793412784062E-3</v>
      </c>
      <c r="S557">
        <v>0.2017204966675244</v>
      </c>
      <c r="T557">
        <v>1.0567317754121914</v>
      </c>
      <c r="U557">
        <v>3.5669317415602857E-2</v>
      </c>
      <c r="V557">
        <v>0.24593194824562029</v>
      </c>
      <c r="W557">
        <v>0.11547825238570347</v>
      </c>
      <c r="X557">
        <v>2.1217903804701926E-2</v>
      </c>
      <c r="Y557">
        <v>4.9664861266113603E-3</v>
      </c>
    </row>
    <row r="558" spans="1:25" x14ac:dyDescent="0.25">
      <c r="A558" s="881"/>
      <c r="B558" s="1131">
        <v>308</v>
      </c>
      <c r="C558" s="885">
        <v>1.0055507457125874</v>
      </c>
      <c r="D558" s="885">
        <v>0.98679681257372043</v>
      </c>
      <c r="E558" s="885">
        <v>0.98890966452716389</v>
      </c>
      <c r="F558" s="885">
        <v>0.98487282874050031</v>
      </c>
      <c r="G558" s="885">
        <v>0.98691576536685921</v>
      </c>
      <c r="H558" s="885">
        <v>1.0249543563865464</v>
      </c>
      <c r="I558" s="885">
        <v>0.98965119742412699</v>
      </c>
      <c r="K558">
        <v>1.9464182520320392</v>
      </c>
      <c r="L558">
        <v>0</v>
      </c>
      <c r="M558">
        <v>2.0513822456064224E-3</v>
      </c>
      <c r="N558">
        <v>0.19970052976434305</v>
      </c>
      <c r="O558">
        <v>2.5175284490155991E-2</v>
      </c>
      <c r="P558">
        <v>2.0984875482834019E-2</v>
      </c>
      <c r="Q558">
        <v>2.921939205363946E-3</v>
      </c>
      <c r="R558">
        <v>2.0394460979798819E-3</v>
      </c>
      <c r="S558">
        <v>0.20632430031986218</v>
      </c>
      <c r="T558">
        <v>1.0593934503422162</v>
      </c>
      <c r="U558">
        <v>3.711429856726893E-2</v>
      </c>
      <c r="V558">
        <v>0.2486824617170223</v>
      </c>
      <c r="W558">
        <v>0.12028283221789662</v>
      </c>
      <c r="X558">
        <v>2.029951609722614E-2</v>
      </c>
      <c r="Y558">
        <v>5.5506999754757246E-3</v>
      </c>
    </row>
    <row r="559" spans="1:25" x14ac:dyDescent="0.25">
      <c r="A559" s="881"/>
      <c r="B559" s="1131">
        <v>309</v>
      </c>
      <c r="C559" s="885">
        <v>1.0128073415455201</v>
      </c>
      <c r="D559" s="885">
        <v>1.0057427616219401</v>
      </c>
      <c r="E559" s="885">
        <v>0.96679692326231181</v>
      </c>
      <c r="F559" s="885">
        <v>1.0138604256092394</v>
      </c>
      <c r="G559" s="885">
        <v>1.0116333914776001</v>
      </c>
      <c r="H559" s="885">
        <v>0.99487686626702776</v>
      </c>
      <c r="I559" s="885">
        <v>0.97630648535878994</v>
      </c>
      <c r="K559">
        <v>1.9136814058493505</v>
      </c>
      <c r="L559">
        <v>0</v>
      </c>
      <c r="M559">
        <v>2.051423955039708E-3</v>
      </c>
      <c r="N559">
        <v>0.18637225608712449</v>
      </c>
      <c r="O559">
        <v>2.4760600463968767E-2</v>
      </c>
      <c r="P559">
        <v>2.0494716562109952E-2</v>
      </c>
      <c r="Q559">
        <v>2.8135976647657907E-3</v>
      </c>
      <c r="R559">
        <v>2.0391104561572103E-3</v>
      </c>
      <c r="S559">
        <v>0.19739878433498795</v>
      </c>
      <c r="T559">
        <v>1.0614436954380739</v>
      </c>
      <c r="U559">
        <v>3.6848380802578837E-2</v>
      </c>
      <c r="V559">
        <v>0.24532142797792983</v>
      </c>
      <c r="W559">
        <v>0.11399336479409276</v>
      </c>
      <c r="X559">
        <v>1.8697108753522765E-2</v>
      </c>
      <c r="Y559">
        <v>5.5497864690787109E-3</v>
      </c>
    </row>
    <row r="560" spans="1:25" x14ac:dyDescent="0.25">
      <c r="A560" s="881"/>
      <c r="B560" s="1131">
        <v>310</v>
      </c>
      <c r="C560" s="885">
        <v>1.033769684727688</v>
      </c>
      <c r="D560" s="885">
        <v>0.95671387783813755</v>
      </c>
      <c r="E560" s="885">
        <v>1.0136176246745834</v>
      </c>
      <c r="F560" s="885">
        <v>0.98620504222406591</v>
      </c>
      <c r="G560" s="885">
        <v>1.0121476670635809</v>
      </c>
      <c r="H560" s="885">
        <v>1.0194049549378574</v>
      </c>
      <c r="I560" s="885">
        <v>0.98992248438125496</v>
      </c>
      <c r="K560">
        <v>1.9408237599585187</v>
      </c>
      <c r="L560">
        <v>0</v>
      </c>
      <c r="M560">
        <v>1.9131250374940028E-3</v>
      </c>
      <c r="N560">
        <v>0.20111684505205363</v>
      </c>
      <c r="O560">
        <v>2.4867759382267731E-2</v>
      </c>
      <c r="P560">
        <v>2.1284552227753075E-2</v>
      </c>
      <c r="Q560">
        <v>2.9523166816759899E-3</v>
      </c>
      <c r="R560">
        <v>1.9019570430783034E-3</v>
      </c>
      <c r="S560">
        <v>0.20308605747111327</v>
      </c>
      <c r="T560">
        <v>1.057125063729532</v>
      </c>
      <c r="U560">
        <v>3.6101184966308673E-2</v>
      </c>
      <c r="V560">
        <v>0.24864200075795859</v>
      </c>
      <c r="W560">
        <v>0.11910690919977437</v>
      </c>
      <c r="X560">
        <v>2.1375738393209567E-2</v>
      </c>
      <c r="Y560">
        <v>5.1765000912883932E-3</v>
      </c>
    </row>
    <row r="561" spans="1:25" x14ac:dyDescent="0.25">
      <c r="A561" s="881"/>
      <c r="B561" s="1131">
        <v>311</v>
      </c>
      <c r="C561" s="885">
        <v>1.0002076438505578</v>
      </c>
      <c r="D561" s="885">
        <v>0.99076396984500237</v>
      </c>
      <c r="E561" s="885">
        <v>1.0035198608503162</v>
      </c>
      <c r="F561" s="885">
        <v>0.99605233046547847</v>
      </c>
      <c r="G561" s="885">
        <v>0.97659598475618214</v>
      </c>
      <c r="H561" s="885">
        <v>0.97649857798140249</v>
      </c>
      <c r="I561" s="885">
        <v>0.9941567759295038</v>
      </c>
      <c r="K561">
        <v>1.9317812998680144</v>
      </c>
      <c r="L561">
        <v>0</v>
      </c>
      <c r="M561">
        <v>1.9015591651749214E-3</v>
      </c>
      <c r="N561">
        <v>0.19366962471851457</v>
      </c>
      <c r="O561">
        <v>2.525947710551248E-2</v>
      </c>
      <c r="P561">
        <v>2.1159240184465328E-2</v>
      </c>
      <c r="Q561">
        <v>2.9760115709505501E-3</v>
      </c>
      <c r="R561">
        <v>1.8899424942806905E-3</v>
      </c>
      <c r="S561">
        <v>0.20308992483122504</v>
      </c>
      <c r="T561">
        <v>1.0580492439212679</v>
      </c>
      <c r="U561">
        <v>3.7312562876687015E-2</v>
      </c>
      <c r="V561">
        <v>0.24893421080749525</v>
      </c>
      <c r="W561">
        <v>0.11548692578406602</v>
      </c>
      <c r="X561">
        <v>2.0711894288667518E-2</v>
      </c>
      <c r="Y561">
        <v>5.1438004500562393E-3</v>
      </c>
    </row>
    <row r="562" spans="1:25" x14ac:dyDescent="0.25">
      <c r="A562" s="881"/>
      <c r="B562" s="1131">
        <v>312</v>
      </c>
      <c r="C562" s="885">
        <v>0.95208421283904399</v>
      </c>
      <c r="D562" s="885">
        <v>0.98585952492726558</v>
      </c>
      <c r="E562" s="885">
        <v>0.9919212794623814</v>
      </c>
      <c r="F562" s="885">
        <v>1.0035406086303156</v>
      </c>
      <c r="G562" s="885">
        <v>1.0345583170298898</v>
      </c>
      <c r="H562" s="885">
        <v>1.03419368824747</v>
      </c>
      <c r="I562" s="885">
        <v>1.0181329543303317</v>
      </c>
      <c r="K562">
        <v>2.0007277852074661</v>
      </c>
      <c r="L562">
        <v>0</v>
      </c>
      <c r="M562">
        <v>2.1733355448608424E-3</v>
      </c>
      <c r="N562">
        <v>0.21357690122782624</v>
      </c>
      <c r="O562">
        <v>2.6601595701221337E-2</v>
      </c>
      <c r="P562">
        <v>2.1423942756753363E-2</v>
      </c>
      <c r="Q562">
        <v>3.0966864733105622E-3</v>
      </c>
      <c r="R562">
        <v>2.1608036066936317E-3</v>
      </c>
      <c r="S562">
        <v>0.2252873806686613</v>
      </c>
      <c r="T562">
        <v>1.059115688060055</v>
      </c>
      <c r="U562">
        <v>3.9198539475442516E-2</v>
      </c>
      <c r="V562">
        <v>0.2567678877478084</v>
      </c>
      <c r="W562">
        <v>0.12837420122402993</v>
      </c>
      <c r="X562">
        <v>2.1416498701821444E-2</v>
      </c>
      <c r="Y562">
        <v>5.8809951087025556E-3</v>
      </c>
    </row>
    <row r="563" spans="1:25" x14ac:dyDescent="0.25">
      <c r="A563" s="881"/>
      <c r="B563" s="1131">
        <v>313</v>
      </c>
      <c r="C563" s="885">
        <v>0.98433876284087751</v>
      </c>
      <c r="D563" s="885">
        <v>0.99221695521417996</v>
      </c>
      <c r="E563" s="885">
        <v>0.9717068717283851</v>
      </c>
      <c r="F563" s="885">
        <v>0.98617967680006668</v>
      </c>
      <c r="G563" s="885">
        <v>1.0009349566860017</v>
      </c>
      <c r="H563" s="885">
        <v>0.99990450459332791</v>
      </c>
      <c r="I563" s="885">
        <v>0.99869374323681537</v>
      </c>
      <c r="K563">
        <v>1.9479838336250799</v>
      </c>
      <c r="L563">
        <v>0</v>
      </c>
      <c r="M563">
        <v>2.113813722510449E-3</v>
      </c>
      <c r="N563">
        <v>0.19501021072738947</v>
      </c>
      <c r="O563">
        <v>2.5648060684438131E-2</v>
      </c>
      <c r="P563">
        <v>2.0819343614585272E-2</v>
      </c>
      <c r="Q563">
        <v>2.926345486925175E-3</v>
      </c>
      <c r="R563">
        <v>2.1012013754151213E-3</v>
      </c>
      <c r="S563">
        <v>0.20957883679975178</v>
      </c>
      <c r="T563">
        <v>1.0609868196100718</v>
      </c>
      <c r="U563">
        <v>3.7914092190383254E-2</v>
      </c>
      <c r="V563">
        <v>0.25104011833555517</v>
      </c>
      <c r="W563">
        <v>0.11886796026619476</v>
      </c>
      <c r="X563">
        <v>1.9485880773848923E-2</v>
      </c>
      <c r="Y563">
        <v>5.7187774830327141E-3</v>
      </c>
    </row>
    <row r="564" spans="1:25" x14ac:dyDescent="0.25">
      <c r="A564" s="881"/>
      <c r="B564" s="1131">
        <v>314</v>
      </c>
      <c r="C564" s="885">
        <v>0.97945516202808913</v>
      </c>
      <c r="D564" s="885">
        <v>0.98870932428633962</v>
      </c>
      <c r="E564" s="885">
        <v>0.99195740944684518</v>
      </c>
      <c r="F564" s="885">
        <v>0.96332570693534736</v>
      </c>
      <c r="G564" s="885">
        <v>1.0076405488627158</v>
      </c>
      <c r="H564" s="885">
        <v>1.0060202276230483</v>
      </c>
      <c r="I564" s="885">
        <v>0.96659401209311513</v>
      </c>
      <c r="K564">
        <v>1.9531632279087725</v>
      </c>
      <c r="L564">
        <v>0</v>
      </c>
      <c r="M564">
        <v>2.0519573079475564E-3</v>
      </c>
      <c r="N564">
        <v>0.2016385661027125</v>
      </c>
      <c r="O564">
        <v>2.5821226970120587E-2</v>
      </c>
      <c r="P564">
        <v>2.1069887818197738E-2</v>
      </c>
      <c r="Q564">
        <v>3.0065618852377534E-3</v>
      </c>
      <c r="R564">
        <v>2.03979146213261E-3</v>
      </c>
      <c r="S564">
        <v>0.20480037222590539</v>
      </c>
      <c r="T564">
        <v>1.0591123579198232</v>
      </c>
      <c r="U564">
        <v>3.8103133300804053E-2</v>
      </c>
      <c r="V564">
        <v>0.25221218931933803</v>
      </c>
      <c r="W564">
        <v>0.1211954391085964</v>
      </c>
      <c r="X564">
        <v>2.0664019160999279E-2</v>
      </c>
      <c r="Y564">
        <v>5.5516399428501891E-3</v>
      </c>
    </row>
    <row r="565" spans="1:25" x14ac:dyDescent="0.25">
      <c r="A565" s="881"/>
      <c r="B565" s="1131">
        <v>315</v>
      </c>
      <c r="C565" s="885">
        <v>0.98373567835612208</v>
      </c>
      <c r="D565" s="885">
        <v>0.99550778145288166</v>
      </c>
      <c r="E565" s="885">
        <v>0.96008436022995458</v>
      </c>
      <c r="F565" s="885">
        <v>1.0190714350459569</v>
      </c>
      <c r="G565" s="885">
        <v>1.0388179764539915</v>
      </c>
      <c r="H565" s="885">
        <v>1.0015173658231851</v>
      </c>
      <c r="I565" s="885">
        <v>0.98210234347724246</v>
      </c>
      <c r="K565">
        <v>1.941927861580359</v>
      </c>
      <c r="L565">
        <v>0</v>
      </c>
      <c r="M565">
        <v>2.1671728247252271E-3</v>
      </c>
      <c r="N565">
        <v>0.19281658640778876</v>
      </c>
      <c r="O565">
        <v>2.5621720278480423E-2</v>
      </c>
      <c r="P565">
        <v>2.0597754452225482E-2</v>
      </c>
      <c r="Q565">
        <v>2.8894088233569625E-3</v>
      </c>
      <c r="R565">
        <v>2.1542599569200379E-3</v>
      </c>
      <c r="S565">
        <v>0.20607322931815744</v>
      </c>
      <c r="T565">
        <v>1.062069813854394</v>
      </c>
      <c r="U565">
        <v>3.7937335629913603E-2</v>
      </c>
      <c r="V565">
        <v>0.25070972644523332</v>
      </c>
      <c r="W565">
        <v>0.11849206324195646</v>
      </c>
      <c r="X565">
        <v>1.8869950545522467E-2</v>
      </c>
      <c r="Y565">
        <v>5.8631854511324022E-3</v>
      </c>
    </row>
    <row r="566" spans="1:25" x14ac:dyDescent="0.25">
      <c r="A566" s="881"/>
      <c r="B566" s="1131">
        <v>316</v>
      </c>
      <c r="C566" s="885">
        <v>0.96826249544322029</v>
      </c>
      <c r="D566" s="885">
        <v>0.99346841868978009</v>
      </c>
      <c r="E566" s="885">
        <v>1.0329247255743239</v>
      </c>
      <c r="F566" s="885">
        <v>0.99652916832351912</v>
      </c>
      <c r="G566" s="885">
        <v>1.0194515016224535</v>
      </c>
      <c r="H566" s="885">
        <v>1.037123553589764</v>
      </c>
      <c r="I566" s="885">
        <v>0.98278801113865411</v>
      </c>
      <c r="K566">
        <v>1.9866097589291085</v>
      </c>
      <c r="L566">
        <v>0</v>
      </c>
      <c r="M566">
        <v>1.9579940154819987E-3</v>
      </c>
      <c r="N566">
        <v>0.21857227213377972</v>
      </c>
      <c r="O566">
        <v>2.6057621499855146E-2</v>
      </c>
      <c r="P566">
        <v>2.1805351227748244E-2</v>
      </c>
      <c r="Q566">
        <v>3.1618122201653096E-3</v>
      </c>
      <c r="R566">
        <v>1.9467296523601782E-3</v>
      </c>
      <c r="S566">
        <v>0.21337929120081769</v>
      </c>
      <c r="T566">
        <v>1.0553691061771768</v>
      </c>
      <c r="U566">
        <v>3.8543587897446795E-2</v>
      </c>
      <c r="V566">
        <v>0.25327219637007459</v>
      </c>
      <c r="W566">
        <v>0.12777278258597513</v>
      </c>
      <c r="X566">
        <v>2.3388645604721026E-2</v>
      </c>
      <c r="Y566">
        <v>5.2983563744669762E-3</v>
      </c>
    </row>
    <row r="567" spans="1:25" x14ac:dyDescent="0.25">
      <c r="A567" s="881"/>
      <c r="B567" s="1131">
        <v>317</v>
      </c>
      <c r="C567" s="885">
        <v>0.9720686252915709</v>
      </c>
      <c r="D567" s="885">
        <v>1.0196499068234723</v>
      </c>
      <c r="E567" s="885">
        <v>0.96570815670574284</v>
      </c>
      <c r="F567" s="885">
        <v>1.0104551694975503</v>
      </c>
      <c r="G567" s="885">
        <v>1.007397184096646</v>
      </c>
      <c r="H567" s="885">
        <v>0.97817344718016008</v>
      </c>
      <c r="I567" s="885">
        <v>0.96322156523619895</v>
      </c>
      <c r="K567">
        <v>1.92839388904264</v>
      </c>
      <c r="L567">
        <v>0</v>
      </c>
      <c r="M567">
        <v>2.0920772872120071E-3</v>
      </c>
      <c r="N567">
        <v>0.18940066188032728</v>
      </c>
      <c r="O567">
        <v>2.5623827508938012E-2</v>
      </c>
      <c r="P567">
        <v>2.058798002482114E-2</v>
      </c>
      <c r="Q567">
        <v>2.9112131183650306E-3</v>
      </c>
      <c r="R567">
        <v>2.0792932436763134E-3</v>
      </c>
      <c r="S567">
        <v>0.19998349966543258</v>
      </c>
      <c r="T567">
        <v>1.0615451325615999</v>
      </c>
      <c r="U567">
        <v>3.8392670671499832E-2</v>
      </c>
      <c r="V567">
        <v>0.24939494791060704</v>
      </c>
      <c r="W567">
        <v>0.11593407305219816</v>
      </c>
      <c r="X567">
        <v>1.897351592193398E-2</v>
      </c>
      <c r="Y567">
        <v>5.6591507704533634E-3</v>
      </c>
    </row>
    <row r="568" spans="1:25" x14ac:dyDescent="0.25">
      <c r="A568" s="881"/>
      <c r="B568" s="1131">
        <v>318</v>
      </c>
      <c r="C568" s="885">
        <v>0.99155633784456765</v>
      </c>
      <c r="D568" s="885">
        <v>1.0251109147996433</v>
      </c>
      <c r="E568" s="885">
        <v>0.98391507192980387</v>
      </c>
      <c r="F568" s="885">
        <v>0.99703146064648129</v>
      </c>
      <c r="G568" s="885">
        <v>0.98062140523206776</v>
      </c>
      <c r="H568" s="885">
        <v>1.0112379412552381</v>
      </c>
      <c r="I568" s="885">
        <v>1.0244939515670497</v>
      </c>
      <c r="K568">
        <v>1.9421274162327287</v>
      </c>
      <c r="L568">
        <v>0</v>
      </c>
      <c r="M568">
        <v>2.0354714163835267E-3</v>
      </c>
      <c r="N568">
        <v>0.19507480309943231</v>
      </c>
      <c r="O568">
        <v>2.5054097694113316E-2</v>
      </c>
      <c r="P568">
        <v>2.0950914598535663E-2</v>
      </c>
      <c r="Q568">
        <v>2.9008751357275505E-3</v>
      </c>
      <c r="R568">
        <v>2.0234355536415528E-3</v>
      </c>
      <c r="S568">
        <v>0.21143097576525499</v>
      </c>
      <c r="T568">
        <v>1.0598548802458445</v>
      </c>
      <c r="U568">
        <v>3.7638114120719872E-2</v>
      </c>
      <c r="V568">
        <v>0.2459334965044018</v>
      </c>
      <c r="W568">
        <v>0.11790276381092961</v>
      </c>
      <c r="X568">
        <v>1.9891406568848302E-2</v>
      </c>
      <c r="Y568">
        <v>5.5071245516613151E-3</v>
      </c>
    </row>
    <row r="569" spans="1:25" x14ac:dyDescent="0.25">
      <c r="A569" s="881"/>
      <c r="B569" s="1131">
        <v>319</v>
      </c>
      <c r="C569" s="885">
        <v>1.0102372102791586</v>
      </c>
      <c r="D569" s="885">
        <v>1.0223447693085046</v>
      </c>
      <c r="E569" s="885">
        <v>1.0133405319842581</v>
      </c>
      <c r="F569" s="885">
        <v>0.97407102194149431</v>
      </c>
      <c r="G569" s="885">
        <v>1.023917871315549</v>
      </c>
      <c r="H569" s="885">
        <v>0.95786947513505305</v>
      </c>
      <c r="I569" s="885">
        <v>0.97758480494808986</v>
      </c>
      <c r="K569">
        <v>1.9027291399395283</v>
      </c>
      <c r="L569">
        <v>0</v>
      </c>
      <c r="M569">
        <v>1.7810826345414016E-3</v>
      </c>
      <c r="N569">
        <v>0.18699875554658918</v>
      </c>
      <c r="O569">
        <v>2.4623613492718816E-2</v>
      </c>
      <c r="P569">
        <v>2.1086061323761597E-2</v>
      </c>
      <c r="Q569">
        <v>2.9361386856667782E-3</v>
      </c>
      <c r="R569">
        <v>1.7699662687265746E-3</v>
      </c>
      <c r="S569">
        <v>0.19309484079347666</v>
      </c>
      <c r="T569">
        <v>1.0571503710494343</v>
      </c>
      <c r="U569">
        <v>3.6942126285968234E-2</v>
      </c>
      <c r="V569">
        <v>0.24368176368919273</v>
      </c>
      <c r="W569">
        <v>0.11076659237608155</v>
      </c>
      <c r="X569">
        <v>2.064272834820154E-2</v>
      </c>
      <c r="Y569">
        <v>4.8172647142500601E-3</v>
      </c>
    </row>
    <row r="570" spans="1:25" x14ac:dyDescent="0.25">
      <c r="A570" s="881"/>
      <c r="B570" s="1131">
        <v>320</v>
      </c>
      <c r="C570" s="885">
        <v>1.0345298131322931</v>
      </c>
      <c r="D570" s="885">
        <v>0.97881618796396175</v>
      </c>
      <c r="E570" s="885">
        <v>1.0233861238490523</v>
      </c>
      <c r="F570" s="885">
        <v>0.99399564691274156</v>
      </c>
      <c r="G570" s="885">
        <v>1.0272256522316296</v>
      </c>
      <c r="H570" s="885">
        <v>1.0263343760018495</v>
      </c>
      <c r="I570" s="885">
        <v>0.99460514669479771</v>
      </c>
      <c r="K570">
        <v>1.9370075750307651</v>
      </c>
      <c r="L570">
        <v>0</v>
      </c>
      <c r="M570">
        <v>1.8641408817390457E-3</v>
      </c>
      <c r="N570">
        <v>0.20201215467762962</v>
      </c>
      <c r="O570">
        <v>2.4568871025546595E-2</v>
      </c>
      <c r="P570">
        <v>2.1375166792316325E-2</v>
      </c>
      <c r="Q570">
        <v>2.9500814785370514E-3</v>
      </c>
      <c r="R570">
        <v>1.8533149389456439E-3</v>
      </c>
      <c r="S570">
        <v>0.20243972237681496</v>
      </c>
      <c r="T570">
        <v>1.056234808211896</v>
      </c>
      <c r="U570">
        <v>3.6074659354591677E-2</v>
      </c>
      <c r="V570">
        <v>0.24569896221786908</v>
      </c>
      <c r="W570">
        <v>0.11885031526682872</v>
      </c>
      <c r="X570">
        <v>2.1769547252824741E-2</v>
      </c>
      <c r="Y570">
        <v>5.0441123187046147E-3</v>
      </c>
    </row>
    <row r="571" spans="1:25" x14ac:dyDescent="0.25">
      <c r="A571" s="881"/>
      <c r="B571" s="1131">
        <v>321</v>
      </c>
      <c r="C571" s="885">
        <v>0.99782419856681881</v>
      </c>
      <c r="D571" s="885">
        <v>1.0302369646146416</v>
      </c>
      <c r="E571" s="885">
        <v>1.0153965920731127</v>
      </c>
      <c r="F571" s="885">
        <v>1.0046155843719446</v>
      </c>
      <c r="G571" s="885">
        <v>0.98805171110680556</v>
      </c>
      <c r="H571" s="885">
        <v>1.0326696864374791</v>
      </c>
      <c r="I571" s="885">
        <v>0.96491075652347846</v>
      </c>
      <c r="K571">
        <v>1.938516269779984</v>
      </c>
      <c r="L571">
        <v>0</v>
      </c>
      <c r="M571">
        <v>1.9283152066560917E-3</v>
      </c>
      <c r="N571">
        <v>0.20384681718596034</v>
      </c>
      <c r="O571">
        <v>2.4835555271097973E-2</v>
      </c>
      <c r="P571">
        <v>2.1220863760956658E-2</v>
      </c>
      <c r="Q571">
        <v>2.9690621618988296E-3</v>
      </c>
      <c r="R571">
        <v>1.9171457901248331E-3</v>
      </c>
      <c r="S571">
        <v>0.19949930352163869</v>
      </c>
      <c r="T571">
        <v>1.05696265921185</v>
      </c>
      <c r="U571">
        <v>3.7401689249990461E-2</v>
      </c>
      <c r="V571">
        <v>0.24445488482538569</v>
      </c>
      <c r="W571">
        <v>0.12057828923082152</v>
      </c>
      <c r="X571">
        <v>2.1540475923133094E-2</v>
      </c>
      <c r="Y571">
        <v>5.2178388537799311E-3</v>
      </c>
    </row>
    <row r="572" spans="1:25" x14ac:dyDescent="0.25">
      <c r="A572" s="881"/>
      <c r="B572" s="1131">
        <v>322</v>
      </c>
      <c r="C572" s="885">
        <v>0.99879787922736962</v>
      </c>
      <c r="D572" s="885">
        <v>1.0086948865199252</v>
      </c>
      <c r="E572" s="885">
        <v>0.9947609335853469</v>
      </c>
      <c r="F572" s="885">
        <v>1.0064195343741171</v>
      </c>
      <c r="G572" s="885">
        <v>0.98955868628672949</v>
      </c>
      <c r="H572" s="885">
        <v>0.96732315035147431</v>
      </c>
      <c r="I572" s="885">
        <v>0.95960315963033671</v>
      </c>
      <c r="K572">
        <v>1.9129622472504921</v>
      </c>
      <c r="L572">
        <v>0</v>
      </c>
      <c r="M572">
        <v>1.9044932671669803E-3</v>
      </c>
      <c r="N572">
        <v>0.18874139469865839</v>
      </c>
      <c r="O572">
        <v>2.5071536511095883E-2</v>
      </c>
      <c r="P572">
        <v>2.0879133123705641E-2</v>
      </c>
      <c r="Q572">
        <v>2.931627755747691E-3</v>
      </c>
      <c r="R572">
        <v>1.8927337044677304E-3</v>
      </c>
      <c r="S572">
        <v>0.1938111819277312</v>
      </c>
      <c r="T572">
        <v>1.0588541088607932</v>
      </c>
      <c r="U572">
        <v>3.7365228117811386E-2</v>
      </c>
      <c r="V572">
        <v>0.24690021558588376</v>
      </c>
      <c r="W572">
        <v>0.11322513813984753</v>
      </c>
      <c r="X572">
        <v>2.0043044887852642E-2</v>
      </c>
      <c r="Y572">
        <v>5.151397204063172E-3</v>
      </c>
    </row>
    <row r="573" spans="1:25" x14ac:dyDescent="0.25">
      <c r="A573" s="881"/>
      <c r="B573" s="1131">
        <v>323</v>
      </c>
      <c r="C573" s="885">
        <v>1.0330779453675414</v>
      </c>
      <c r="D573" s="885">
        <v>0.99555204650615803</v>
      </c>
      <c r="E573" s="885">
        <v>1.0006193597242625</v>
      </c>
      <c r="F573" s="885">
        <v>0.96631413866982951</v>
      </c>
      <c r="G573" s="885">
        <v>0.96396024650668832</v>
      </c>
      <c r="H573" s="885">
        <v>1.0022054051338347</v>
      </c>
      <c r="I573" s="885">
        <v>1.0145836009393554</v>
      </c>
      <c r="K573">
        <v>1.9205921482157831</v>
      </c>
      <c r="L573">
        <v>0</v>
      </c>
      <c r="M573">
        <v>1.896571282443802E-3</v>
      </c>
      <c r="N573">
        <v>0.19145647356002726</v>
      </c>
      <c r="O573">
        <v>2.4397428491942111E-2</v>
      </c>
      <c r="P573">
        <v>2.102706566013322E-2</v>
      </c>
      <c r="Q573">
        <v>2.8670546099232477E-3</v>
      </c>
      <c r="R573">
        <v>1.8852784882536033E-3</v>
      </c>
      <c r="S573">
        <v>0.20278504777903419</v>
      </c>
      <c r="T573">
        <v>1.0583154423836449</v>
      </c>
      <c r="U573">
        <v>3.6125357983166767E-2</v>
      </c>
      <c r="V573">
        <v>0.24382465019337526</v>
      </c>
      <c r="W573">
        <v>0.11439368227160701</v>
      </c>
      <c r="X573">
        <v>2.0280131513979546E-2</v>
      </c>
      <c r="Y573">
        <v>5.1311065631396823E-3</v>
      </c>
    </row>
    <row r="574" spans="1:25" x14ac:dyDescent="0.25">
      <c r="A574" s="881"/>
      <c r="B574" s="1131">
        <v>324</v>
      </c>
      <c r="C574" s="885">
        <v>1.0009199517520484</v>
      </c>
      <c r="D574" s="885">
        <v>1.007532157331078</v>
      </c>
      <c r="E574" s="885">
        <v>1.0272879395611731</v>
      </c>
      <c r="F574" s="885">
        <v>1.0420575917129147</v>
      </c>
      <c r="G574" s="885">
        <v>1.0043686258506499</v>
      </c>
      <c r="H574" s="885">
        <v>1.0041940253163979</v>
      </c>
      <c r="I574" s="885">
        <v>1.0102552788930497</v>
      </c>
      <c r="K574">
        <v>1.9447880955453043</v>
      </c>
      <c r="L574">
        <v>0</v>
      </c>
      <c r="M574">
        <v>1.8431134496522004E-3</v>
      </c>
      <c r="N574">
        <v>0.20213973958867537</v>
      </c>
      <c r="O574">
        <v>2.5032653154526442E-2</v>
      </c>
      <c r="P574">
        <v>2.1532682263961982E-2</v>
      </c>
      <c r="Q574">
        <v>3.0235242812871612E-3</v>
      </c>
      <c r="R574">
        <v>1.8321516171835798E-3</v>
      </c>
      <c r="S574">
        <v>0.20746855060059524</v>
      </c>
      <c r="T574">
        <v>1.0558802577665209</v>
      </c>
      <c r="U574">
        <v>3.7286009271360804E-2</v>
      </c>
      <c r="V574">
        <v>0.24674850681423563</v>
      </c>
      <c r="W574">
        <v>0.11861382971497102</v>
      </c>
      <c r="X574">
        <v>2.2086791188282794E-2</v>
      </c>
      <c r="Y574">
        <v>4.9865127333554192E-3</v>
      </c>
    </row>
    <row r="575" spans="1:25" x14ac:dyDescent="0.25">
      <c r="A575" s="881"/>
      <c r="B575" s="1131">
        <v>325</v>
      </c>
      <c r="C575" s="885">
        <v>0.97651719601954112</v>
      </c>
      <c r="D575" s="885">
        <v>1.0083536505437447</v>
      </c>
      <c r="E575" s="885">
        <v>1.0100376951232091</v>
      </c>
      <c r="F575" s="885">
        <v>1.0155325966170785</v>
      </c>
      <c r="G575" s="885">
        <v>1.0111613533184149</v>
      </c>
      <c r="H575" s="885">
        <v>0.97737369350330083</v>
      </c>
      <c r="I575" s="885">
        <v>1.0076259315844924</v>
      </c>
      <c r="K575">
        <v>1.9472887270465957</v>
      </c>
      <c r="L575">
        <v>0</v>
      </c>
      <c r="M575">
        <v>1.9061699379598438E-3</v>
      </c>
      <c r="N575">
        <v>0.19811369410122737</v>
      </c>
      <c r="O575">
        <v>2.5647870821997779E-2</v>
      </c>
      <c r="P575">
        <v>2.1367157480312111E-2</v>
      </c>
      <c r="Q575">
        <v>3.0452934194530115E-3</v>
      </c>
      <c r="R575">
        <v>1.8945213270820346E-3</v>
      </c>
      <c r="S575">
        <v>0.20923119668022824</v>
      </c>
      <c r="T575">
        <v>1.0574522552697263</v>
      </c>
      <c r="U575">
        <v>3.8217771026502319E-2</v>
      </c>
      <c r="V575">
        <v>0.25014773325052736</v>
      </c>
      <c r="W575">
        <v>0.11761374745367963</v>
      </c>
      <c r="X575">
        <v>2.1307393630287365E-2</v>
      </c>
      <c r="Y575">
        <v>5.156262523529671E-3</v>
      </c>
    </row>
    <row r="576" spans="1:25" x14ac:dyDescent="0.25">
      <c r="A576" s="881"/>
      <c r="B576" s="1131">
        <v>326</v>
      </c>
      <c r="C576" s="885">
        <v>0.98067464034736884</v>
      </c>
      <c r="D576" s="885">
        <v>0.97604085562612031</v>
      </c>
      <c r="E576" s="885">
        <v>0.98601358092846669</v>
      </c>
      <c r="F576" s="885">
        <v>1.0230967598956981</v>
      </c>
      <c r="G576" s="885">
        <v>0.99146929999569544</v>
      </c>
      <c r="H576" s="885">
        <v>1.0054202947721442</v>
      </c>
      <c r="I576" s="885">
        <v>1.0006794163528232</v>
      </c>
      <c r="K576">
        <v>1.9633884078433239</v>
      </c>
      <c r="L576">
        <v>0</v>
      </c>
      <c r="M576">
        <v>2.0872404826704069E-3</v>
      </c>
      <c r="N576">
        <v>0.20134509953183743</v>
      </c>
      <c r="O576">
        <v>2.5954675033675535E-2</v>
      </c>
      <c r="P576">
        <v>2.1112658833900455E-2</v>
      </c>
      <c r="Q576">
        <v>3.0012678126390348E-3</v>
      </c>
      <c r="R576">
        <v>2.074869209293962E-3</v>
      </c>
      <c r="S576">
        <v>0.2129569326792668</v>
      </c>
      <c r="T576">
        <v>1.059660889591115</v>
      </c>
      <c r="U576">
        <v>3.8055751689161109E-2</v>
      </c>
      <c r="V576">
        <v>0.25369534444778441</v>
      </c>
      <c r="W576">
        <v>0.12151606004625948</v>
      </c>
      <c r="X576">
        <v>2.0454989443815283E-2</v>
      </c>
      <c r="Y576">
        <v>5.647110007247145E-3</v>
      </c>
    </row>
    <row r="577" spans="1:25" x14ac:dyDescent="0.25">
      <c r="A577" s="881"/>
      <c r="B577" s="1131">
        <v>327</v>
      </c>
      <c r="C577" s="885">
        <v>0.95550441772154837</v>
      </c>
      <c r="D577" s="885">
        <v>1.0266385121145565</v>
      </c>
      <c r="E577" s="885">
        <v>1.0109965802511054</v>
      </c>
      <c r="F577" s="885">
        <v>1.0216271908455978</v>
      </c>
      <c r="G577" s="885">
        <v>0.99563721585815523</v>
      </c>
      <c r="H577" s="885">
        <v>1.0401702264805719</v>
      </c>
      <c r="I577" s="885">
        <v>0.98912357731630185</v>
      </c>
      <c r="K577">
        <v>1.9810608449042493</v>
      </c>
      <c r="L577">
        <v>0</v>
      </c>
      <c r="M577">
        <v>2.0508002882341056E-3</v>
      </c>
      <c r="N577">
        <v>0.21385967654404581</v>
      </c>
      <c r="O577">
        <v>2.5980319058228646E-2</v>
      </c>
      <c r="P577">
        <v>2.1479438551698253E-2</v>
      </c>
      <c r="Q577">
        <v>3.0915652723925323E-3</v>
      </c>
      <c r="R577">
        <v>2.0390098801731254E-3</v>
      </c>
      <c r="S577">
        <v>0.21468100558289321</v>
      </c>
      <c r="T577">
        <v>1.0573645678659083</v>
      </c>
      <c r="U577">
        <v>3.905822925435469E-2</v>
      </c>
      <c r="V577">
        <v>0.25100405530108322</v>
      </c>
      <c r="W577">
        <v>0.12687896723652098</v>
      </c>
      <c r="X577">
        <v>2.212529791077782E-2</v>
      </c>
      <c r="Y577">
        <v>5.5495127344048949E-3</v>
      </c>
    </row>
    <row r="578" spans="1:25" x14ac:dyDescent="0.25">
      <c r="A578" s="881"/>
      <c r="B578" s="1131">
        <v>328</v>
      </c>
      <c r="C578" s="885">
        <v>0.97483061798138615</v>
      </c>
      <c r="D578" s="885">
        <v>1.0023294310037116</v>
      </c>
      <c r="E578" s="885">
        <v>0.96378646840368143</v>
      </c>
      <c r="F578" s="885">
        <v>0.97993567652959379</v>
      </c>
      <c r="G578" s="885">
        <v>1.0000420251666389</v>
      </c>
      <c r="H578" s="885">
        <v>1.0453117636639091</v>
      </c>
      <c r="I578" s="885">
        <v>0.98404901256410193</v>
      </c>
      <c r="K578">
        <v>1.9661068200761165</v>
      </c>
      <c r="L578">
        <v>0</v>
      </c>
      <c r="M578">
        <v>2.2573433976144663E-3</v>
      </c>
      <c r="N578">
        <v>0.20322285505528415</v>
      </c>
      <c r="O578">
        <v>2.5768507653635243E-2</v>
      </c>
      <c r="P578">
        <v>2.0743812775018883E-2</v>
      </c>
      <c r="Q578">
        <v>2.9184183284570973E-3</v>
      </c>
      <c r="R578">
        <v>2.2444506627893007E-3</v>
      </c>
      <c r="S578">
        <v>0.21218428484204066</v>
      </c>
      <c r="T578">
        <v>1.0617242822692363</v>
      </c>
      <c r="U578">
        <v>3.8283892516832577E-2</v>
      </c>
      <c r="V578">
        <v>0.25115378617236161</v>
      </c>
      <c r="W578">
        <v>0.12456255393706443</v>
      </c>
      <c r="X578">
        <v>1.9448664439859566E-2</v>
      </c>
      <c r="Y578">
        <v>6.1086548211503359E-3</v>
      </c>
    </row>
    <row r="579" spans="1:25" x14ac:dyDescent="0.25">
      <c r="A579" s="881"/>
      <c r="B579" s="1131">
        <v>329</v>
      </c>
      <c r="C579" s="885">
        <v>0.97486220265986645</v>
      </c>
      <c r="D579" s="885">
        <v>1.0250316133541908</v>
      </c>
      <c r="E579" s="885">
        <v>0.97303770654285293</v>
      </c>
      <c r="F579" s="885">
        <v>0.97291868369789192</v>
      </c>
      <c r="G579" s="885">
        <v>1.0051832583897062</v>
      </c>
      <c r="H579" s="885">
        <v>1.018854924702643</v>
      </c>
      <c r="I579" s="885">
        <v>1.0040379811741083</v>
      </c>
      <c r="K579">
        <v>1.9517750108854526</v>
      </c>
      <c r="L579">
        <v>0</v>
      </c>
      <c r="M579">
        <v>2.1341723682754524E-3</v>
      </c>
      <c r="N579">
        <v>0.197726414813125</v>
      </c>
      <c r="O579">
        <v>2.5484111878035991E-2</v>
      </c>
      <c r="P579">
        <v>2.0834019094814721E-2</v>
      </c>
      <c r="Q579">
        <v>2.9181790025478065E-3</v>
      </c>
      <c r="R579">
        <v>2.1216472909736995E-3</v>
      </c>
      <c r="S579">
        <v>0.21154946782073863</v>
      </c>
      <c r="T579">
        <v>1.0608631447057986</v>
      </c>
      <c r="U579">
        <v>3.828265215236587E-2</v>
      </c>
      <c r="V579">
        <v>0.24833570536183167</v>
      </c>
      <c r="W579">
        <v>0.12041177102307944</v>
      </c>
      <c r="X579">
        <v>1.9607645585227103E-2</v>
      </c>
      <c r="Y579">
        <v>5.7744245251889073E-3</v>
      </c>
    </row>
    <row r="580" spans="1:25" x14ac:dyDescent="0.25">
      <c r="A580" s="881"/>
      <c r="B580" s="1131">
        <v>330</v>
      </c>
      <c r="C580" s="885">
        <v>1.0069475302295319</v>
      </c>
      <c r="D580" s="885">
        <v>0.95395844417981124</v>
      </c>
      <c r="E580" s="885">
        <v>0.99691900715739057</v>
      </c>
      <c r="F580" s="885">
        <v>1.0013082967015559</v>
      </c>
      <c r="G580" s="885">
        <v>0.98969190004136265</v>
      </c>
      <c r="H580" s="885">
        <v>0.9923468350950716</v>
      </c>
      <c r="I580" s="885">
        <v>0.98717418084309705</v>
      </c>
      <c r="K580">
        <v>1.9461475423012666</v>
      </c>
      <c r="L580">
        <v>0</v>
      </c>
      <c r="M580">
        <v>1.9832859609789479E-3</v>
      </c>
      <c r="N580">
        <v>0.19791015565919196</v>
      </c>
      <c r="O580">
        <v>2.5566871120353094E-2</v>
      </c>
      <c r="P580">
        <v>2.1144714049645713E-2</v>
      </c>
      <c r="Q580">
        <v>2.9843260961905549E-3</v>
      </c>
      <c r="R580">
        <v>1.9713951392264194E-3</v>
      </c>
      <c r="S580">
        <v>0.20544635102530531</v>
      </c>
      <c r="T580">
        <v>1.0586555243603855</v>
      </c>
      <c r="U580">
        <v>3.7062815569357213E-2</v>
      </c>
      <c r="V580">
        <v>0.25278934899308358</v>
      </c>
      <c r="W580">
        <v>0.1185497426040894</v>
      </c>
      <c r="X580">
        <v>2.068409594667521E-2</v>
      </c>
      <c r="Y580">
        <v>5.3654876987413247E-3</v>
      </c>
    </row>
    <row r="581" spans="1:25" x14ac:dyDescent="0.25">
      <c r="A581" s="881"/>
      <c r="B581" s="1131">
        <v>331</v>
      </c>
      <c r="C581" s="885">
        <v>0.99729097053920568</v>
      </c>
      <c r="D581" s="885">
        <v>1.027486359664356</v>
      </c>
      <c r="E581" s="885">
        <v>1.0072160363152416</v>
      </c>
      <c r="F581" s="885">
        <v>1.0092531450353881</v>
      </c>
      <c r="G581" s="885">
        <v>0.97158728421747542</v>
      </c>
      <c r="H581" s="885">
        <v>1.0017575057387724</v>
      </c>
      <c r="I581" s="885">
        <v>1.0111955872406277</v>
      </c>
      <c r="K581">
        <v>1.9347030267585978</v>
      </c>
      <c r="L581">
        <v>0</v>
      </c>
      <c r="M581">
        <v>1.9066817787352015E-3</v>
      </c>
      <c r="N581">
        <v>0.19646387402952895</v>
      </c>
      <c r="O581">
        <v>2.4881610322014955E-2</v>
      </c>
      <c r="P581">
        <v>2.1202409978906617E-2</v>
      </c>
      <c r="Q581">
        <v>2.9498167514424908E-3</v>
      </c>
      <c r="R581">
        <v>1.8952989540175903E-3</v>
      </c>
      <c r="S581">
        <v>0.20630705723533255</v>
      </c>
      <c r="T581">
        <v>1.0577104963416579</v>
      </c>
      <c r="U581">
        <v>3.7421687053617765E-2</v>
      </c>
      <c r="V581">
        <v>0.24485363266617513</v>
      </c>
      <c r="W581">
        <v>0.11685835159284533</v>
      </c>
      <c r="X581">
        <v>2.0907094644089082E-2</v>
      </c>
      <c r="Y581">
        <v>5.1583789677036029E-3</v>
      </c>
    </row>
    <row r="582" spans="1:25" x14ac:dyDescent="0.25">
      <c r="A582" s="881"/>
      <c r="B582" s="1131">
        <v>332</v>
      </c>
      <c r="C582" s="885">
        <v>1.0222310416626659</v>
      </c>
      <c r="D582" s="885">
        <v>0.99427882229706921</v>
      </c>
      <c r="E582" s="885">
        <v>0.9651451048826063</v>
      </c>
      <c r="F582" s="885">
        <v>1.0310821630116023</v>
      </c>
      <c r="G582" s="885">
        <v>0.96806625946872027</v>
      </c>
      <c r="H582" s="885">
        <v>0.98887381091093518</v>
      </c>
      <c r="I582" s="885">
        <v>0.99809023429900434</v>
      </c>
      <c r="K582">
        <v>1.9130716626561581</v>
      </c>
      <c r="L582">
        <v>0</v>
      </c>
      <c r="M582">
        <v>2.0387769382694365E-3</v>
      </c>
      <c r="N582">
        <v>0.18426559404674009</v>
      </c>
      <c r="O582">
        <v>2.4671944515288577E-2</v>
      </c>
      <c r="P582">
        <v>2.0507637813815337E-2</v>
      </c>
      <c r="Q582">
        <v>2.7965479239303124E-3</v>
      </c>
      <c r="R582">
        <v>2.026474839152892E-3</v>
      </c>
      <c r="S582">
        <v>0.2004028286026352</v>
      </c>
      <c r="T582">
        <v>1.0615976083847884</v>
      </c>
      <c r="U582">
        <v>3.6508684514427507E-2</v>
      </c>
      <c r="V582">
        <v>0.24543446043353123</v>
      </c>
      <c r="W582">
        <v>0.1128353756171992</v>
      </c>
      <c r="X582">
        <v>1.8547886417995769E-2</v>
      </c>
      <c r="Y582">
        <v>5.5153964849229816E-3</v>
      </c>
    </row>
    <row r="583" spans="1:25" x14ac:dyDescent="0.25">
      <c r="A583" s="881"/>
      <c r="B583" s="1131">
        <v>333</v>
      </c>
      <c r="C583" s="885">
        <v>0.98150265458567942</v>
      </c>
      <c r="D583" s="885">
        <v>0.99109476070813718</v>
      </c>
      <c r="E583" s="885">
        <v>1.0152124905880326</v>
      </c>
      <c r="F583" s="885">
        <v>0.99551787836281036</v>
      </c>
      <c r="G583" s="885">
        <v>0.98972462446621667</v>
      </c>
      <c r="H583" s="885">
        <v>0.99298809088043916</v>
      </c>
      <c r="I583" s="885">
        <v>1.0395967138301521</v>
      </c>
      <c r="K583">
        <v>1.9653149216485553</v>
      </c>
      <c r="L583">
        <v>0</v>
      </c>
      <c r="M583">
        <v>1.9222052426091153E-3</v>
      </c>
      <c r="N583">
        <v>0.20304069887582843</v>
      </c>
      <c r="O583">
        <v>2.5736601284147082E-2</v>
      </c>
      <c r="P583">
        <v>2.158302487014091E-2</v>
      </c>
      <c r="Q583">
        <v>3.067959346974459E-3</v>
      </c>
      <c r="R583">
        <v>1.9106571764806934E-3</v>
      </c>
      <c r="S583">
        <v>0.21816201586092868</v>
      </c>
      <c r="T583">
        <v>1.0569794603693246</v>
      </c>
      <c r="U583">
        <v>3.8023647135901964E-2</v>
      </c>
      <c r="V583">
        <v>0.25160073716400927</v>
      </c>
      <c r="W583">
        <v>0.12011642840595323</v>
      </c>
      <c r="X583">
        <v>2.1815717415060578E-2</v>
      </c>
      <c r="Y583">
        <v>5.2001789864114956E-3</v>
      </c>
    </row>
    <row r="584" spans="1:25" x14ac:dyDescent="0.25">
      <c r="A584" s="881"/>
      <c r="B584" s="1131">
        <v>334</v>
      </c>
      <c r="C584" s="885">
        <v>1.0070409637459223</v>
      </c>
      <c r="D584" s="885">
        <v>0.98720852899411393</v>
      </c>
      <c r="E584" s="885">
        <v>0.98122132067861234</v>
      </c>
      <c r="F584" s="885">
        <v>1.0166068151279855</v>
      </c>
      <c r="G584" s="885">
        <v>1.0036848549243027</v>
      </c>
      <c r="H584" s="885">
        <v>0.98793360462293611</v>
      </c>
      <c r="I584" s="885">
        <v>1.0144699507300026</v>
      </c>
      <c r="K584">
        <v>1.9329282621676442</v>
      </c>
      <c r="L584">
        <v>0</v>
      </c>
      <c r="M584">
        <v>2.0060983749447575E-3</v>
      </c>
      <c r="N584">
        <v>0.19062944989042155</v>
      </c>
      <c r="O584">
        <v>2.5132830770199933E-2</v>
      </c>
      <c r="P584">
        <v>2.0882255768708169E-2</v>
      </c>
      <c r="Q584">
        <v>2.8944541948462072E-3</v>
      </c>
      <c r="R584">
        <v>1.9939879548523474E-3</v>
      </c>
      <c r="S584">
        <v>0.20734677998122741</v>
      </c>
      <c r="T584">
        <v>1.0601041469124175</v>
      </c>
      <c r="U584">
        <v>3.7059376871915253E-2</v>
      </c>
      <c r="V584">
        <v>0.2484213921806</v>
      </c>
      <c r="W584">
        <v>0.11543117343916216</v>
      </c>
      <c r="X584">
        <v>1.9611534683082667E-2</v>
      </c>
      <c r="Y584">
        <v>5.4269778951554302E-3</v>
      </c>
    </row>
    <row r="585" spans="1:25" x14ac:dyDescent="0.25">
      <c r="A585" s="881"/>
      <c r="B585" s="1131">
        <v>335</v>
      </c>
      <c r="C585" s="885">
        <v>0.9913646024915882</v>
      </c>
      <c r="D585" s="885">
        <v>0.98525102319360447</v>
      </c>
      <c r="E585" s="885">
        <v>0.96513303399542349</v>
      </c>
      <c r="F585" s="885">
        <v>0.97839706799670401</v>
      </c>
      <c r="G585" s="885">
        <v>1.0216445909677796</v>
      </c>
      <c r="H585" s="885">
        <v>0.96842494704248694</v>
      </c>
      <c r="I585" s="885">
        <v>0.9846287576755679</v>
      </c>
      <c r="K585">
        <v>1.9276489107135071</v>
      </c>
      <c r="L585">
        <v>0</v>
      </c>
      <c r="M585">
        <v>2.0681564581454832E-3</v>
      </c>
      <c r="N585">
        <v>0.18689066651106298</v>
      </c>
      <c r="O585">
        <v>2.5555397477175761E-2</v>
      </c>
      <c r="P585">
        <v>2.0625111787611384E-2</v>
      </c>
      <c r="Q585">
        <v>2.894801294521927E-3</v>
      </c>
      <c r="R585">
        <v>2.0554216600022902E-3</v>
      </c>
      <c r="S585">
        <v>0.20264119014572099</v>
      </c>
      <c r="T585">
        <v>1.0615987335125732</v>
      </c>
      <c r="U585">
        <v>3.7645393538482314E-2</v>
      </c>
      <c r="V585">
        <v>0.25091027771621904</v>
      </c>
      <c r="W585">
        <v>0.1144438122086239</v>
      </c>
      <c r="X585">
        <v>1.8862081130698316E-2</v>
      </c>
      <c r="Y585">
        <v>5.5941801889581146E-3</v>
      </c>
    </row>
    <row r="586" spans="1:25" x14ac:dyDescent="0.25">
      <c r="A586" s="881"/>
      <c r="B586" s="1131">
        <v>336</v>
      </c>
      <c r="C586" s="885">
        <v>1.0157074994844457</v>
      </c>
      <c r="D586" s="885">
        <v>0.97974983341573318</v>
      </c>
      <c r="E586" s="885">
        <v>1.0238340453978785</v>
      </c>
      <c r="F586" s="885">
        <v>1.0030999780529752</v>
      </c>
      <c r="G586" s="885">
        <v>0.9942157071852199</v>
      </c>
      <c r="H586" s="885">
        <v>0.97174788196298234</v>
      </c>
      <c r="I586" s="885">
        <v>0.99965207225069264</v>
      </c>
      <c r="K586">
        <v>1.9278737001570676</v>
      </c>
      <c r="L586">
        <v>0</v>
      </c>
      <c r="M586">
        <v>1.7951522778268812E-3</v>
      </c>
      <c r="N586">
        <v>0.19474284217212082</v>
      </c>
      <c r="O586">
        <v>2.501232157138129E-2</v>
      </c>
      <c r="P586">
        <v>2.1414056634674192E-2</v>
      </c>
      <c r="Q586">
        <v>3.0048649032202372E-3</v>
      </c>
      <c r="R586">
        <v>1.7841406247444723E-3</v>
      </c>
      <c r="S586">
        <v>0.20165422675614855</v>
      </c>
      <c r="T586">
        <v>1.05619407618353</v>
      </c>
      <c r="U586">
        <v>3.674316731919381E-2</v>
      </c>
      <c r="V586">
        <v>0.24815272801281871</v>
      </c>
      <c r="W586">
        <v>0.11453900476467387</v>
      </c>
      <c r="X586">
        <v>2.1571580853630708E-2</v>
      </c>
      <c r="Y586">
        <v>4.8558426387555736E-3</v>
      </c>
    </row>
    <row r="587" spans="1:25" x14ac:dyDescent="0.25">
      <c r="A587" s="881"/>
      <c r="B587" s="1131">
        <v>337</v>
      </c>
      <c r="C587" s="885">
        <v>0.97638796328676147</v>
      </c>
      <c r="D587" s="885">
        <v>0.99525152531729189</v>
      </c>
      <c r="E587" s="885">
        <v>0.98263038004034853</v>
      </c>
      <c r="F587" s="885">
        <v>0.99877256135502401</v>
      </c>
      <c r="G587" s="885">
        <v>1.0084303691167074</v>
      </c>
      <c r="H587" s="885">
        <v>1.0141893850987602</v>
      </c>
      <c r="I587" s="885">
        <v>0.95885677964225058</v>
      </c>
      <c r="K587">
        <v>1.95280217720797</v>
      </c>
      <c r="L587">
        <v>0</v>
      </c>
      <c r="M587">
        <v>2.1092992208840314E-3</v>
      </c>
      <c r="N587">
        <v>0.20134886073395344</v>
      </c>
      <c r="O587">
        <v>2.5817826058756693E-2</v>
      </c>
      <c r="P587">
        <v>2.0919192793031588E-2</v>
      </c>
      <c r="Q587">
        <v>2.9792906266246501E-3</v>
      </c>
      <c r="R587">
        <v>2.0968884427751012E-3</v>
      </c>
      <c r="S587">
        <v>0.20399604534562907</v>
      </c>
      <c r="T587">
        <v>1.0599737242740774</v>
      </c>
      <c r="U587">
        <v>3.8222829453250874E-2</v>
      </c>
      <c r="V587">
        <v>0.25182317110880675</v>
      </c>
      <c r="W587">
        <v>0.12180307215681832</v>
      </c>
      <c r="X587">
        <v>2.0223536332986937E-2</v>
      </c>
      <c r="Y587">
        <v>5.7070391021444393E-3</v>
      </c>
    </row>
    <row r="588" spans="1:25" x14ac:dyDescent="0.25">
      <c r="A588" s="881"/>
      <c r="B588" s="1131">
        <v>338</v>
      </c>
      <c r="C588" s="885">
        <v>1.0099771271553026</v>
      </c>
      <c r="D588" s="885">
        <v>1.0265864472996187</v>
      </c>
      <c r="E588" s="885">
        <v>0.99937810910092406</v>
      </c>
      <c r="F588" s="885">
        <v>1.0294345169676564</v>
      </c>
      <c r="G588" s="885">
        <v>0.99782167245788533</v>
      </c>
      <c r="H588" s="885">
        <v>0.974703185794215</v>
      </c>
      <c r="I588" s="885">
        <v>1.0345920539609421</v>
      </c>
      <c r="K588">
        <v>1.9173647710110555</v>
      </c>
      <c r="L588">
        <v>0</v>
      </c>
      <c r="M588">
        <v>1.863193804924775E-3</v>
      </c>
      <c r="N588">
        <v>0.18732801783054354</v>
      </c>
      <c r="O588">
        <v>2.4579695815722703E-2</v>
      </c>
      <c r="P588">
        <v>2.1052559801684623E-2</v>
      </c>
      <c r="Q588">
        <v>2.8910225056429837E-3</v>
      </c>
      <c r="R588">
        <v>1.8517625470475599E-3</v>
      </c>
      <c r="S588">
        <v>0.20574414366948823</v>
      </c>
      <c r="T588">
        <v>1.0584294604427649</v>
      </c>
      <c r="U588">
        <v>3.6951639396065418E-2</v>
      </c>
      <c r="V588">
        <v>0.2432213592379395</v>
      </c>
      <c r="W588">
        <v>0.11202206528832874</v>
      </c>
      <c r="X588">
        <v>2.0116351061048445E-2</v>
      </c>
      <c r="Y588">
        <v>5.0398872197038825E-3</v>
      </c>
    </row>
    <row r="589" spans="1:25" x14ac:dyDescent="0.25">
      <c r="A589" s="881"/>
      <c r="B589" s="1131">
        <v>339</v>
      </c>
      <c r="C589" s="885">
        <v>1.0263596951914629</v>
      </c>
      <c r="D589" s="885">
        <v>0.98680544092182432</v>
      </c>
      <c r="E589" s="885">
        <v>1.0067059984321372</v>
      </c>
      <c r="F589" s="885">
        <v>0.99392946100804502</v>
      </c>
      <c r="G589" s="885">
        <v>0.99379485810286472</v>
      </c>
      <c r="H589" s="885">
        <v>1.0326864375213323</v>
      </c>
      <c r="I589" s="885">
        <v>1.0127367245796559</v>
      </c>
      <c r="K589">
        <v>1.9427451926798314</v>
      </c>
      <c r="L589">
        <v>0</v>
      </c>
      <c r="M589">
        <v>1.9504831530306915E-3</v>
      </c>
      <c r="N589">
        <v>0.20069801437240431</v>
      </c>
      <c r="O589">
        <v>2.4664760750271186E-2</v>
      </c>
      <c r="P589">
        <v>2.121168777900316E-2</v>
      </c>
      <c r="Q589">
        <v>2.9144212327654293E-3</v>
      </c>
      <c r="R589">
        <v>1.9392190630891472E-3</v>
      </c>
      <c r="S589">
        <v>0.20763286601496225</v>
      </c>
      <c r="T589">
        <v>1.0577572086737943</v>
      </c>
      <c r="U589">
        <v>3.6361824003576994E-2</v>
      </c>
      <c r="V589">
        <v>0.24580203981151794</v>
      </c>
      <c r="W589">
        <v>0.11941832017467277</v>
      </c>
      <c r="X589">
        <v>2.1017398930466578E-2</v>
      </c>
      <c r="Y589">
        <v>5.2779150263363153E-3</v>
      </c>
    </row>
    <row r="590" spans="1:25" x14ac:dyDescent="0.25">
      <c r="A590" s="881"/>
      <c r="B590" s="1131">
        <v>340</v>
      </c>
      <c r="C590" s="885">
        <v>0.98525367133327313</v>
      </c>
      <c r="D590" s="885">
        <v>1.005168664997423</v>
      </c>
      <c r="E590" s="885">
        <v>0.97802184335626252</v>
      </c>
      <c r="F590" s="885">
        <v>0.96600004018648078</v>
      </c>
      <c r="G590" s="885">
        <v>1.0322484652552877</v>
      </c>
      <c r="H590" s="885">
        <v>1.0034263893795996</v>
      </c>
      <c r="I590" s="885">
        <v>0.97216969778911166</v>
      </c>
      <c r="K590">
        <v>1.9391942174216685</v>
      </c>
      <c r="L590">
        <v>0</v>
      </c>
      <c r="M590">
        <v>2.0780276429408257E-3</v>
      </c>
      <c r="N590">
        <v>0.19552265624048878</v>
      </c>
      <c r="O590">
        <v>2.5460246513015372E-2</v>
      </c>
      <c r="P590">
        <v>2.0799029549718857E-2</v>
      </c>
      <c r="Q590">
        <v>2.9263215503134428E-3</v>
      </c>
      <c r="R590">
        <v>2.0656612214443328E-3</v>
      </c>
      <c r="S590">
        <v>0.20296391002268119</v>
      </c>
      <c r="T590">
        <v>1.0604005767332598</v>
      </c>
      <c r="U590">
        <v>3.7878885089982973E-2</v>
      </c>
      <c r="V590">
        <v>0.24926750104524689</v>
      </c>
      <c r="W590">
        <v>0.11865734655308688</v>
      </c>
      <c r="X590">
        <v>1.9708061645634593E-2</v>
      </c>
      <c r="Y590">
        <v>5.6220488997328335E-3</v>
      </c>
    </row>
    <row r="591" spans="1:25" x14ac:dyDescent="0.25">
      <c r="A591" s="881"/>
      <c r="B591" s="1131">
        <v>341</v>
      </c>
      <c r="C591" s="885">
        <v>0.9840396249949438</v>
      </c>
      <c r="D591" s="885">
        <v>1.001239356198462</v>
      </c>
      <c r="E591" s="885">
        <v>0.97537925312037954</v>
      </c>
      <c r="F591" s="885">
        <v>0.95574386059780803</v>
      </c>
      <c r="G591" s="885">
        <v>0.97818353419773219</v>
      </c>
      <c r="H591" s="885">
        <v>0.98099347179547158</v>
      </c>
      <c r="I591" s="885">
        <v>1.0026711341089076</v>
      </c>
      <c r="K591">
        <v>1.9379509653223985</v>
      </c>
      <c r="L591">
        <v>0</v>
      </c>
      <c r="M591">
        <v>2.0493510697710501E-3</v>
      </c>
      <c r="N591">
        <v>0.19121709434963186</v>
      </c>
      <c r="O591">
        <v>2.5541106206574651E-2</v>
      </c>
      <c r="P591">
        <v>2.0832941050875197E-2</v>
      </c>
      <c r="Q591">
        <v>2.9269284383645045E-3</v>
      </c>
      <c r="R591">
        <v>2.0368797969000669E-3</v>
      </c>
      <c r="S591">
        <v>0.20765538387401722</v>
      </c>
      <c r="T591">
        <v>1.0606457105029334</v>
      </c>
      <c r="U591">
        <v>3.7925617681410582E-2</v>
      </c>
      <c r="V591">
        <v>0.24993942590098239</v>
      </c>
      <c r="W591">
        <v>0.1162578957179863</v>
      </c>
      <c r="X591">
        <v>1.9477617522576554E-2</v>
      </c>
      <c r="Y591">
        <v>5.5437153499173922E-3</v>
      </c>
    </row>
    <row r="592" spans="1:25" x14ac:dyDescent="0.25">
      <c r="A592" s="881"/>
      <c r="B592" s="1131">
        <v>342</v>
      </c>
      <c r="C592" s="885">
        <v>1.0023359042958762</v>
      </c>
      <c r="D592" s="885">
        <v>1.0113654060281623</v>
      </c>
      <c r="E592" s="885">
        <v>1.0012312707504454</v>
      </c>
      <c r="F592" s="885">
        <v>0.96088928552657471</v>
      </c>
      <c r="G592" s="885">
        <v>0.99363511063401366</v>
      </c>
      <c r="H592" s="885">
        <v>1.044422996031861</v>
      </c>
      <c r="I592" s="885">
        <v>0.9587773744583683</v>
      </c>
      <c r="K592">
        <v>1.9432429930447754</v>
      </c>
      <c r="L592">
        <v>0</v>
      </c>
      <c r="M592">
        <v>2.0186711951882836E-3</v>
      </c>
      <c r="N592">
        <v>0.20421874823915054</v>
      </c>
      <c r="O592">
        <v>2.4950409097512238E-2</v>
      </c>
      <c r="P592">
        <v>2.1045851618169052E-2</v>
      </c>
      <c r="Q592">
        <v>2.9370609893285332E-3</v>
      </c>
      <c r="R592">
        <v>2.007124659741026E-3</v>
      </c>
      <c r="S592">
        <v>0.20014927499514193</v>
      </c>
      <c r="T592">
        <v>1.0582592559143087</v>
      </c>
      <c r="U592">
        <v>3.723333708886125E-2</v>
      </c>
      <c r="V592">
        <v>0.24608130490537186</v>
      </c>
      <c r="W592">
        <v>0.12196799232277492</v>
      </c>
      <c r="X592">
        <v>2.094857273425263E-2</v>
      </c>
      <c r="Y592">
        <v>5.4627316753488109E-3</v>
      </c>
    </row>
    <row r="593" spans="1:25" x14ac:dyDescent="0.25">
      <c r="A593" s="881"/>
      <c r="B593" s="1131">
        <v>343</v>
      </c>
      <c r="C593" s="885">
        <v>0.97090006002495877</v>
      </c>
      <c r="D593" s="885">
        <v>1.0340795889937358</v>
      </c>
      <c r="E593" s="885">
        <v>1.0167931699829329</v>
      </c>
      <c r="F593" s="885">
        <v>1.0023126748443181</v>
      </c>
      <c r="G593" s="885">
        <v>0.98892414866681932</v>
      </c>
      <c r="H593" s="885">
        <v>0.99823027974811596</v>
      </c>
      <c r="I593" s="885">
        <v>1.0406392051893671</v>
      </c>
      <c r="K593">
        <v>1.9591475360633863</v>
      </c>
      <c r="L593">
        <v>0</v>
      </c>
      <c r="M593">
        <v>1.906558873345063E-3</v>
      </c>
      <c r="N593">
        <v>0.20238246600700271</v>
      </c>
      <c r="O593">
        <v>2.5477484366313113E-2</v>
      </c>
      <c r="P593">
        <v>2.1544530195496809E-2</v>
      </c>
      <c r="Q593">
        <v>3.0508256014723919E-3</v>
      </c>
      <c r="R593">
        <v>1.8951315673773348E-3</v>
      </c>
      <c r="S593">
        <v>0.21707236126900273</v>
      </c>
      <c r="T593">
        <v>1.0568352502095433</v>
      </c>
      <c r="U593">
        <v>3.8438879692681761E-2</v>
      </c>
      <c r="V593">
        <v>0.24781617640113557</v>
      </c>
      <c r="W593">
        <v>0.11959903731306007</v>
      </c>
      <c r="X593">
        <v>2.1784028917195965E-2</v>
      </c>
      <c r="Y593">
        <v>5.1579233964478199E-3</v>
      </c>
    </row>
    <row r="594" spans="1:25" x14ac:dyDescent="0.25">
      <c r="A594" s="881"/>
      <c r="B594" s="1131">
        <v>344</v>
      </c>
      <c r="C594" s="885">
        <v>0.96927730698858849</v>
      </c>
      <c r="D594" s="885">
        <v>1.0360134795252329</v>
      </c>
      <c r="E594" s="885">
        <v>0.97458306468041833</v>
      </c>
      <c r="F594" s="885">
        <v>1.0319313737323699</v>
      </c>
      <c r="G594" s="885">
        <v>0.95031532796809293</v>
      </c>
      <c r="H594" s="885">
        <v>0.98533118385839447</v>
      </c>
      <c r="I594" s="885">
        <v>0.97405735839166552</v>
      </c>
      <c r="K594">
        <v>1.9313439479824397</v>
      </c>
      <c r="L594">
        <v>0</v>
      </c>
      <c r="M594">
        <v>2.0582944217342907E-3</v>
      </c>
      <c r="N594">
        <v>0.19157797412422034</v>
      </c>
      <c r="O594">
        <v>2.5496658924160691E-2</v>
      </c>
      <c r="P594">
        <v>2.0725731822107685E-2</v>
      </c>
      <c r="Q594">
        <v>2.9263656409530326E-3</v>
      </c>
      <c r="R594">
        <v>2.0457945653144646E-3</v>
      </c>
      <c r="S594">
        <v>0.20206114945687448</v>
      </c>
      <c r="T594">
        <v>1.0607196201202049</v>
      </c>
      <c r="U594">
        <v>3.8503233627604459E-2</v>
      </c>
      <c r="V594">
        <v>0.2478203285728372</v>
      </c>
      <c r="W594">
        <v>0.11654190179455896</v>
      </c>
      <c r="X594">
        <v>1.94155053445478E-2</v>
      </c>
      <c r="Y594">
        <v>5.5679784107887636E-3</v>
      </c>
    </row>
    <row r="595" spans="1:25" x14ac:dyDescent="0.25">
      <c r="A595" s="881"/>
      <c r="B595" s="1131">
        <v>345</v>
      </c>
      <c r="C595" s="885">
        <v>0.9958293103990421</v>
      </c>
      <c r="D595" s="885">
        <v>1.0084197302244995</v>
      </c>
      <c r="E595" s="885">
        <v>1.0094994938735125</v>
      </c>
      <c r="F595" s="885">
        <v>0.98253431411501235</v>
      </c>
      <c r="G595" s="885">
        <v>1.0268731873522241</v>
      </c>
      <c r="H595" s="885">
        <v>1.0106424176722737</v>
      </c>
      <c r="I595" s="885">
        <v>1.0283854480282988</v>
      </c>
      <c r="K595">
        <v>1.9512696918602164</v>
      </c>
      <c r="L595">
        <v>0</v>
      </c>
      <c r="M595">
        <v>1.9349618166846351E-3</v>
      </c>
      <c r="N595">
        <v>0.20081053906941559</v>
      </c>
      <c r="O595">
        <v>2.5149666902845019E-2</v>
      </c>
      <c r="P595">
        <v>2.1360613694738944E-2</v>
      </c>
      <c r="Q595">
        <v>2.9845465513021257E-3</v>
      </c>
      <c r="R595">
        <v>1.9235264522540283E-3</v>
      </c>
      <c r="S595">
        <v>0.21285682952644638</v>
      </c>
      <c r="T595">
        <v>1.0575014880154998</v>
      </c>
      <c r="U595">
        <v>3.7476613924892557E-2</v>
      </c>
      <c r="V595">
        <v>0.24735679624379378</v>
      </c>
      <c r="W595">
        <v>0.11925838973385747</v>
      </c>
      <c r="X595">
        <v>2.129043864914263E-2</v>
      </c>
      <c r="Y595">
        <v>5.2352049127108958E-3</v>
      </c>
    </row>
    <row r="596" spans="1:25" x14ac:dyDescent="0.25">
      <c r="A596" s="881"/>
      <c r="B596" s="1131">
        <v>346</v>
      </c>
      <c r="C596" s="885">
        <v>1.0254743273572877</v>
      </c>
      <c r="D596" s="885">
        <v>1.0054066833119086</v>
      </c>
      <c r="E596" s="885">
        <v>1.0033327560753811</v>
      </c>
      <c r="F596" s="885">
        <v>1.0130225493468095</v>
      </c>
      <c r="G596" s="885">
        <v>0.97152349374136981</v>
      </c>
      <c r="H596" s="885">
        <v>0.97812493112960042</v>
      </c>
      <c r="I596" s="885">
        <v>1.0111845255573957</v>
      </c>
      <c r="K596">
        <v>1.9118172080734892</v>
      </c>
      <c r="L596">
        <v>0</v>
      </c>
      <c r="M596">
        <v>1.8450879883412446E-3</v>
      </c>
      <c r="N596">
        <v>0.18780957728359232</v>
      </c>
      <c r="O596">
        <v>2.4458792502568001E-2</v>
      </c>
      <c r="P596">
        <v>2.1033284750273482E-2</v>
      </c>
      <c r="Q596">
        <v>2.8840865819692728E-3</v>
      </c>
      <c r="R596">
        <v>1.833823587285059E-3</v>
      </c>
      <c r="S596">
        <v>0.20028904949043208</v>
      </c>
      <c r="T596">
        <v>1.0580664058893607</v>
      </c>
      <c r="U596">
        <v>3.6393217855676327E-2</v>
      </c>
      <c r="V596">
        <v>0.24364648407833284</v>
      </c>
      <c r="W596">
        <v>0.11200683167939746</v>
      </c>
      <c r="X596">
        <v>2.0249679078133867E-2</v>
      </c>
      <c r="Y596">
        <v>4.9910632848068504E-3</v>
      </c>
    </row>
    <row r="597" spans="1:25" x14ac:dyDescent="0.25">
      <c r="A597" s="881"/>
      <c r="B597" s="1131">
        <v>347</v>
      </c>
      <c r="C597" s="885">
        <v>0.9806774256259646</v>
      </c>
      <c r="D597" s="885">
        <v>1.0120013386808144</v>
      </c>
      <c r="E597" s="885">
        <v>1.0090236552913026</v>
      </c>
      <c r="F597" s="885">
        <v>0.98513511622857108</v>
      </c>
      <c r="G597" s="885">
        <v>0.96922820042253877</v>
      </c>
      <c r="H597" s="885">
        <v>1.0293902262018673</v>
      </c>
      <c r="I597" s="885">
        <v>0.99681846906496996</v>
      </c>
      <c r="K597">
        <v>1.9630532839833073</v>
      </c>
      <c r="L597">
        <v>0</v>
      </c>
      <c r="M597">
        <v>1.9998112420156772E-3</v>
      </c>
      <c r="N597">
        <v>0.20725595851069101</v>
      </c>
      <c r="O597">
        <v>2.5493523693828072E-2</v>
      </c>
      <c r="P597">
        <v>2.1361106470901149E-2</v>
      </c>
      <c r="Q597">
        <v>3.0246573517340972E-3</v>
      </c>
      <c r="R597">
        <v>1.9882050348530248E-3</v>
      </c>
      <c r="S597">
        <v>0.21108763526029828</v>
      </c>
      <c r="T597">
        <v>1.0575450254603906</v>
      </c>
      <c r="U597">
        <v>3.80556436048229E-2</v>
      </c>
      <c r="V597">
        <v>0.24908673865704212</v>
      </c>
      <c r="W597">
        <v>0.12312605226150512</v>
      </c>
      <c r="X597">
        <v>2.1617310225998134E-2</v>
      </c>
      <c r="Y597">
        <v>5.41123869325634E-3</v>
      </c>
    </row>
    <row r="598" spans="1:25" x14ac:dyDescent="0.25">
      <c r="A598" s="881"/>
      <c r="B598" s="1131">
        <v>348</v>
      </c>
      <c r="C598" s="885">
        <v>1.0182730285759094</v>
      </c>
      <c r="D598" s="885">
        <v>1.0439050673550279</v>
      </c>
      <c r="E598" s="885">
        <v>0.97415336505788441</v>
      </c>
      <c r="F598" s="885">
        <v>1.0099391839380876</v>
      </c>
      <c r="G598" s="885">
        <v>1.0201407355959162</v>
      </c>
      <c r="H598" s="885">
        <v>0.99551595447066554</v>
      </c>
      <c r="I598" s="885">
        <v>0.99819131687028051</v>
      </c>
      <c r="K598">
        <v>1.9016658407535318</v>
      </c>
      <c r="L598">
        <v>0</v>
      </c>
      <c r="M598">
        <v>1.9739109637106535E-3</v>
      </c>
      <c r="N598">
        <v>0.18348887569183048</v>
      </c>
      <c r="O598">
        <v>2.417934722896108E-2</v>
      </c>
      <c r="P598">
        <v>2.052941939601207E-2</v>
      </c>
      <c r="Q598">
        <v>2.775398944109764E-3</v>
      </c>
      <c r="R598">
        <v>1.9620400665600764E-3</v>
      </c>
      <c r="S598">
        <v>0.19741224692061282</v>
      </c>
      <c r="T598">
        <v>1.0607595190373702</v>
      </c>
      <c r="U598">
        <v>3.6650593262899898E-2</v>
      </c>
      <c r="V598">
        <v>0.2401230733988563</v>
      </c>
      <c r="W598">
        <v>0.11165450964743902</v>
      </c>
      <c r="X598">
        <v>1.8764701847747957E-2</v>
      </c>
      <c r="Y598">
        <v>5.3400262748424148E-3</v>
      </c>
    </row>
    <row r="599" spans="1:25" x14ac:dyDescent="0.25">
      <c r="A599" s="881"/>
      <c r="B599" s="1131">
        <v>349</v>
      </c>
      <c r="C599" s="885">
        <v>0.99428132463095042</v>
      </c>
      <c r="D599" s="885">
        <v>0.99117709841842105</v>
      </c>
      <c r="E599" s="885">
        <v>1.0062159882134765</v>
      </c>
      <c r="F599" s="885">
        <v>0.98648200129033126</v>
      </c>
      <c r="G599" s="885">
        <v>0.99735834738095108</v>
      </c>
      <c r="H599" s="885">
        <v>1.0200663578479419</v>
      </c>
      <c r="I599" s="885">
        <v>0.98436051493066312</v>
      </c>
      <c r="K599">
        <v>1.9535956411302569</v>
      </c>
      <c r="L599">
        <v>0</v>
      </c>
      <c r="M599">
        <v>1.986507306399266E-3</v>
      </c>
      <c r="N599">
        <v>0.20407851582765635</v>
      </c>
      <c r="O599">
        <v>2.5404784197008205E-2</v>
      </c>
      <c r="P599">
        <v>2.1260845167074192E-2</v>
      </c>
      <c r="Q599">
        <v>3.001319669463895E-3</v>
      </c>
      <c r="R599">
        <v>1.974889669557436E-3</v>
      </c>
      <c r="S599">
        <v>0.20663278597596674</v>
      </c>
      <c r="T599">
        <v>1.057802096309117</v>
      </c>
      <c r="U599">
        <v>3.7534960857048334E-2</v>
      </c>
      <c r="V599">
        <v>0.24973171815297301</v>
      </c>
      <c r="W599">
        <v>0.12147030635318284</v>
      </c>
      <c r="X599">
        <v>2.1314927599276209E-2</v>
      </c>
      <c r="Y599">
        <v>5.374998658330736E-3</v>
      </c>
    </row>
    <row r="600" spans="1:25" x14ac:dyDescent="0.25">
      <c r="A600" s="881"/>
      <c r="B600" s="1131">
        <v>350</v>
      </c>
      <c r="C600" s="885">
        <v>1.0219875075866369</v>
      </c>
      <c r="D600" s="885">
        <v>1.018732790690319</v>
      </c>
      <c r="E600" s="885">
        <v>1.0376472142324582</v>
      </c>
      <c r="F600" s="885">
        <v>1.0173003764920447</v>
      </c>
      <c r="G600" s="885">
        <v>0.97150576327836669</v>
      </c>
      <c r="H600" s="885">
        <v>1.0175426241181622</v>
      </c>
      <c r="I600" s="885">
        <v>0.97926900566694008</v>
      </c>
      <c r="K600">
        <v>1.9262188917721423</v>
      </c>
      <c r="L600">
        <v>0</v>
      </c>
      <c r="M600">
        <v>1.7797102378883307E-3</v>
      </c>
      <c r="N600">
        <v>0.20157854071062786</v>
      </c>
      <c r="O600">
        <v>2.4383063855004865E-2</v>
      </c>
      <c r="P600">
        <v>2.1468478928861331E-2</v>
      </c>
      <c r="Q600">
        <v>2.9776232901345223E-3</v>
      </c>
      <c r="R600">
        <v>1.7692563889589524E-3</v>
      </c>
      <c r="S600">
        <v>0.1972467303969255</v>
      </c>
      <c r="T600">
        <v>1.0549418223940494</v>
      </c>
      <c r="U600">
        <v>3.6517384335789604E-2</v>
      </c>
      <c r="V600">
        <v>0.24252855929565989</v>
      </c>
      <c r="W600">
        <v>0.11746763492998628</v>
      </c>
      <c r="X600">
        <v>2.2304174828496733E-2</v>
      </c>
      <c r="Y600">
        <v>4.815332655534397E-3</v>
      </c>
    </row>
    <row r="601" spans="1:25" x14ac:dyDescent="0.25">
      <c r="A601" s="881"/>
      <c r="B601" s="1131">
        <v>351</v>
      </c>
      <c r="C601" s="885">
        <v>1.0048361888368047</v>
      </c>
      <c r="D601" s="885">
        <v>1.0172714800994864</v>
      </c>
      <c r="E601" s="885">
        <v>1.0262643368967952</v>
      </c>
      <c r="F601" s="885">
        <v>0.98663641681093872</v>
      </c>
      <c r="G601" s="885">
        <v>0.98695975806242753</v>
      </c>
      <c r="H601" s="885">
        <v>1.0225280625107331</v>
      </c>
      <c r="I601" s="885">
        <v>0.99205804924287178</v>
      </c>
      <c r="K601">
        <v>1.9419177027395502</v>
      </c>
      <c r="L601">
        <v>0</v>
      </c>
      <c r="M601">
        <v>1.8646225626885494E-3</v>
      </c>
      <c r="N601">
        <v>0.20387086815390787</v>
      </c>
      <c r="O601">
        <v>2.4816836662238089E-2</v>
      </c>
      <c r="P601">
        <v>2.1441702574766536E-2</v>
      </c>
      <c r="Q601">
        <v>2.996417871671236E-3</v>
      </c>
      <c r="R601">
        <v>1.8537244230169448E-3</v>
      </c>
      <c r="S601">
        <v>0.20386108155264321</v>
      </c>
      <c r="T601">
        <v>1.0559732129211037</v>
      </c>
      <c r="U601">
        <v>3.7140691204721389E-2</v>
      </c>
      <c r="V601">
        <v>0.24502378458287463</v>
      </c>
      <c r="W601">
        <v>0.11971191035240837</v>
      </c>
      <c r="X601">
        <v>2.2046868203528112E-2</v>
      </c>
      <c r="Y601">
        <v>5.0452267993603096E-3</v>
      </c>
    </row>
    <row r="602" spans="1:25" x14ac:dyDescent="0.25">
      <c r="A602" s="881"/>
      <c r="B602" s="1131">
        <v>352</v>
      </c>
      <c r="C602" s="885">
        <v>0.9643352510123645</v>
      </c>
      <c r="D602" s="885">
        <v>1.0031194847310541</v>
      </c>
      <c r="E602" s="885">
        <v>1.0318537861904491</v>
      </c>
      <c r="F602" s="885">
        <v>0.9816402138633028</v>
      </c>
      <c r="G602" s="885">
        <v>0.98569877276342699</v>
      </c>
      <c r="H602" s="885">
        <v>0.9590483827646995</v>
      </c>
      <c r="I602" s="885">
        <v>0.99547220972766248</v>
      </c>
      <c r="K602">
        <v>1.9526571728342865</v>
      </c>
      <c r="L602">
        <v>0</v>
      </c>
      <c r="M602">
        <v>1.8134004131780291E-3</v>
      </c>
      <c r="N602">
        <v>0.20166356678153652</v>
      </c>
      <c r="O602">
        <v>2.6038806361068527E-2</v>
      </c>
      <c r="P602">
        <v>2.1706489075700823E-2</v>
      </c>
      <c r="Q602">
        <v>3.1583193483479453E-3</v>
      </c>
      <c r="R602">
        <v>1.8021110320937434E-3</v>
      </c>
      <c r="S602">
        <v>0.20790712319493077</v>
      </c>
      <c r="T602">
        <v>1.055466124715706</v>
      </c>
      <c r="U602">
        <v>3.8700556224339842E-2</v>
      </c>
      <c r="V602">
        <v>0.2526257807038893</v>
      </c>
      <c r="W602">
        <v>0.11797280019102305</v>
      </c>
      <c r="X602">
        <v>2.2524143455209714E-2</v>
      </c>
      <c r="Y602">
        <v>4.9047521636170974E-3</v>
      </c>
    </row>
    <row r="603" spans="1:25" x14ac:dyDescent="0.25">
      <c r="A603" s="881"/>
      <c r="B603" s="1131">
        <v>353</v>
      </c>
      <c r="C603" s="885">
        <v>1.026153017537891</v>
      </c>
      <c r="D603" s="885">
        <v>1.0246663945707568</v>
      </c>
      <c r="E603" s="885">
        <v>1.0011532093254518</v>
      </c>
      <c r="F603" s="885">
        <v>0.97244138231601818</v>
      </c>
      <c r="G603" s="885">
        <v>1.0233810883058623</v>
      </c>
      <c r="H603" s="885">
        <v>0.98390169644728476</v>
      </c>
      <c r="I603" s="885">
        <v>0.99993131323807039</v>
      </c>
      <c r="K603">
        <v>1.903799724032974</v>
      </c>
      <c r="L603">
        <v>0</v>
      </c>
      <c r="M603">
        <v>1.8459243990777586E-3</v>
      </c>
      <c r="N603">
        <v>0.18663039696680506</v>
      </c>
      <c r="O603">
        <v>2.4214580959953321E-2</v>
      </c>
      <c r="P603">
        <v>2.0921353046467372E-2</v>
      </c>
      <c r="Q603">
        <v>2.8527957069720599E-3</v>
      </c>
      <c r="R603">
        <v>1.8347064138703982E-3</v>
      </c>
      <c r="S603">
        <v>0.19678045571544783</v>
      </c>
      <c r="T603">
        <v>1.0582664228044252</v>
      </c>
      <c r="U603">
        <v>3.6369147644726298E-2</v>
      </c>
      <c r="V603">
        <v>0.24128246825661867</v>
      </c>
      <c r="W603">
        <v>0.11146944085292577</v>
      </c>
      <c r="X603">
        <v>2.003041401608718E-2</v>
      </c>
      <c r="Y603">
        <v>4.9934660477484374E-3</v>
      </c>
    </row>
    <row r="604" spans="1:25" x14ac:dyDescent="0.25">
      <c r="A604" s="881"/>
      <c r="B604" s="1131">
        <v>354</v>
      </c>
      <c r="C604" s="885">
        <v>1.0036784726172496</v>
      </c>
      <c r="D604" s="885">
        <v>1.0123501186174335</v>
      </c>
      <c r="E604" s="885">
        <v>1.0006506664617121</v>
      </c>
      <c r="F604" s="885">
        <v>1.0010160591616897</v>
      </c>
      <c r="G604" s="885">
        <v>0.98849509017990811</v>
      </c>
      <c r="H604" s="885">
        <v>0.98256463122897164</v>
      </c>
      <c r="I604" s="885">
        <v>1.0414075136307379</v>
      </c>
      <c r="K604">
        <v>1.9324719742367304</v>
      </c>
      <c r="L604">
        <v>0</v>
      </c>
      <c r="M604">
        <v>1.8979788593260077E-3</v>
      </c>
      <c r="N604">
        <v>0.19159292887748705</v>
      </c>
      <c r="O604">
        <v>2.4905053793664162E-2</v>
      </c>
      <c r="P604">
        <v>2.1174686070905977E-2</v>
      </c>
      <c r="Q604">
        <v>2.930210103015815E-3</v>
      </c>
      <c r="R604">
        <v>1.8864384314346593E-3</v>
      </c>
      <c r="S604">
        <v>0.21055485397075632</v>
      </c>
      <c r="T604">
        <v>1.0583125674040428</v>
      </c>
      <c r="U604">
        <v>3.7183531996654536E-2</v>
      </c>
      <c r="V604">
        <v>0.24577468295037477</v>
      </c>
      <c r="W604">
        <v>0.11447276211087337</v>
      </c>
      <c r="X604">
        <v>2.0447973840744111E-2</v>
      </c>
      <c r="Y604">
        <v>5.1342635461033501E-3</v>
      </c>
    </row>
    <row r="605" spans="1:25" x14ac:dyDescent="0.25">
      <c r="A605" s="881"/>
      <c r="B605" s="1131">
        <v>355</v>
      </c>
      <c r="C605" s="885">
        <v>0.99970943004864588</v>
      </c>
      <c r="D605" s="885">
        <v>0.98876385818365786</v>
      </c>
      <c r="E605" s="885">
        <v>1.0454470781044143</v>
      </c>
      <c r="F605" s="885">
        <v>1.0126603719591771</v>
      </c>
      <c r="G605" s="885">
        <v>1.0022422143433987</v>
      </c>
      <c r="H605" s="885">
        <v>0.97642858499289731</v>
      </c>
      <c r="I605" s="885">
        <v>0.99095432188355592</v>
      </c>
      <c r="K605">
        <v>1.9407472158014971</v>
      </c>
      <c r="L605">
        <v>0</v>
      </c>
      <c r="M605">
        <v>1.7427734547880395E-3</v>
      </c>
      <c r="N605">
        <v>0.20218072704294374</v>
      </c>
      <c r="O605">
        <v>2.5297393163949501E-2</v>
      </c>
      <c r="P605">
        <v>2.1763016254065147E-2</v>
      </c>
      <c r="Q605">
        <v>3.1065812346316082E-3</v>
      </c>
      <c r="R605">
        <v>1.7321275440663074E-3</v>
      </c>
      <c r="S605">
        <v>0.20271763381882432</v>
      </c>
      <c r="T605">
        <v>1.0542380164985685</v>
      </c>
      <c r="U605">
        <v>3.7331157913655828E-2</v>
      </c>
      <c r="V605">
        <v>0.24926177495474944</v>
      </c>
      <c r="W605">
        <v>0.11720921290669138</v>
      </c>
      <c r="X605">
        <v>2.2938067744882381E-2</v>
      </c>
      <c r="Y605">
        <v>4.7142801792570445E-3</v>
      </c>
    </row>
    <row r="606" spans="1:25" x14ac:dyDescent="0.25">
      <c r="A606" s="881"/>
      <c r="B606" s="1131">
        <v>356</v>
      </c>
      <c r="C606" s="885">
        <v>0.99536096654905692</v>
      </c>
      <c r="D606" s="885">
        <v>1.0230097921893602</v>
      </c>
      <c r="E606" s="885">
        <v>1.0097531860510294</v>
      </c>
      <c r="F606" s="885">
        <v>1.0100119054673671</v>
      </c>
      <c r="G606" s="885">
        <v>0.98653602337086155</v>
      </c>
      <c r="H606" s="885">
        <v>1.0006681916820084</v>
      </c>
      <c r="I606" s="885">
        <v>1.025233322803232</v>
      </c>
      <c r="K606">
        <v>1.9408627632343811</v>
      </c>
      <c r="L606">
        <v>0</v>
      </c>
      <c r="M606">
        <v>1.9022085460437023E-3</v>
      </c>
      <c r="N606">
        <v>0.19755428088086574</v>
      </c>
      <c r="O606">
        <v>2.498360940316775E-2</v>
      </c>
      <c r="P606">
        <v>2.1300257289184728E-2</v>
      </c>
      <c r="Q606">
        <v>2.9685432553947558E-3</v>
      </c>
      <c r="R606">
        <v>1.8908434658389188E-3</v>
      </c>
      <c r="S606">
        <v>0.20988338250757246</v>
      </c>
      <c r="T606">
        <v>1.0574782797444049</v>
      </c>
      <c r="U606">
        <v>3.7494247670076343E-2</v>
      </c>
      <c r="V606">
        <v>0.24565360875308553</v>
      </c>
      <c r="W606">
        <v>0.11730431849980728</v>
      </c>
      <c r="X606">
        <v>2.1107347713391671E-2</v>
      </c>
      <c r="Y606">
        <v>5.1462525976325437E-3</v>
      </c>
    </row>
    <row r="607" spans="1:25" x14ac:dyDescent="0.25">
      <c r="A607" s="881"/>
      <c r="B607" s="1131">
        <v>357</v>
      </c>
      <c r="C607" s="885">
        <v>1.021248848803882</v>
      </c>
      <c r="D607" s="885">
        <v>0.99572262563752667</v>
      </c>
      <c r="E607" s="885">
        <v>1.0060147527066756</v>
      </c>
      <c r="F607" s="885">
        <v>0.97256429149673473</v>
      </c>
      <c r="G607" s="885">
        <v>1.0055281899889366</v>
      </c>
      <c r="H607" s="885">
        <v>1.0110115802954101</v>
      </c>
      <c r="I607" s="885">
        <v>0.98969054837081194</v>
      </c>
      <c r="K607">
        <v>1.9287158300767058</v>
      </c>
      <c r="L607">
        <v>0</v>
      </c>
      <c r="M607">
        <v>1.91335750663708E-3</v>
      </c>
      <c r="N607">
        <v>0.19642997862364145</v>
      </c>
      <c r="O607">
        <v>2.4677929044486138E-2</v>
      </c>
      <c r="P607">
        <v>2.1106931641815749E-2</v>
      </c>
      <c r="Q607">
        <v>2.9157939323931304E-3</v>
      </c>
      <c r="R607">
        <v>1.9020638613294772E-3</v>
      </c>
      <c r="S607">
        <v>0.20095061836590061</v>
      </c>
      <c r="T607">
        <v>1.0578205333027544</v>
      </c>
      <c r="U607">
        <v>3.6543796984082333E-2</v>
      </c>
      <c r="V607">
        <v>0.24539108595883322</v>
      </c>
      <c r="W607">
        <v>0.11693382444348498</v>
      </c>
      <c r="X607">
        <v>2.0779840609266048E-2</v>
      </c>
      <c r="Y607">
        <v>5.1767908153554625E-3</v>
      </c>
    </row>
    <row r="608" spans="1:25" x14ac:dyDescent="0.25">
      <c r="A608" s="881"/>
      <c r="B608" s="1131">
        <v>358</v>
      </c>
      <c r="C608" s="885">
        <v>1.0057004517496828</v>
      </c>
      <c r="D608" s="885">
        <v>0.99371350341122466</v>
      </c>
      <c r="E608" s="885">
        <v>0.96877483893155836</v>
      </c>
      <c r="F608" s="885">
        <v>1.0030623642127912</v>
      </c>
      <c r="G608" s="885">
        <v>1.0251798743150067</v>
      </c>
      <c r="H608" s="885">
        <v>1.0373953425854197</v>
      </c>
      <c r="I608" s="885">
        <v>0.97259854571161486</v>
      </c>
      <c r="K608">
        <v>1.9409931279011643</v>
      </c>
      <c r="L608">
        <v>0</v>
      </c>
      <c r="M608">
        <v>2.1581092044594533E-3</v>
      </c>
      <c r="N608">
        <v>0.19732751980463578</v>
      </c>
      <c r="O608">
        <v>2.5084541255518678E-2</v>
      </c>
      <c r="P608">
        <v>2.0638564632472937E-2</v>
      </c>
      <c r="Q608">
        <v>2.8537879278573998E-3</v>
      </c>
      <c r="R608">
        <v>2.145696616278257E-3</v>
      </c>
      <c r="S608">
        <v>0.20330975055122183</v>
      </c>
      <c r="T608">
        <v>1.0612595361794881</v>
      </c>
      <c r="U608">
        <v>3.7108773826230637E-2</v>
      </c>
      <c r="V608">
        <v>0.24778698377700542</v>
      </c>
      <c r="W608">
        <v>0.12052711898140762</v>
      </c>
      <c r="X608">
        <v>1.926908469269422E-2</v>
      </c>
      <c r="Y608">
        <v>5.8398788608099569E-3</v>
      </c>
    </row>
    <row r="609" spans="1:25" x14ac:dyDescent="0.25">
      <c r="A609" s="881"/>
      <c r="B609" s="1131">
        <v>359</v>
      </c>
      <c r="C609" s="885">
        <v>1.0207115876177046</v>
      </c>
      <c r="D609" s="885">
        <v>1.0115979038416893</v>
      </c>
      <c r="E609" s="885">
        <v>1.0005647537403626</v>
      </c>
      <c r="F609" s="885">
        <v>0.98757990970698672</v>
      </c>
      <c r="G609" s="885">
        <v>1.0076780383509711</v>
      </c>
      <c r="H609" s="885">
        <v>1.0154487545959288</v>
      </c>
      <c r="I609" s="885">
        <v>0.96711864998757302</v>
      </c>
      <c r="K609">
        <v>1.9190059895380789</v>
      </c>
      <c r="L609">
        <v>0</v>
      </c>
      <c r="M609">
        <v>1.929824419409308E-3</v>
      </c>
      <c r="N609">
        <v>0.19479418585010852</v>
      </c>
      <c r="O609">
        <v>2.4498448308676889E-2</v>
      </c>
      <c r="P609">
        <v>2.0928557767417082E-2</v>
      </c>
      <c r="Q609">
        <v>2.8819734567528629E-3</v>
      </c>
      <c r="R609">
        <v>1.9184709341180488E-3</v>
      </c>
      <c r="S609">
        <v>0.19547259911341039</v>
      </c>
      <c r="T609">
        <v>1.0583204570853912</v>
      </c>
      <c r="U609">
        <v>3.656303215683171E-2</v>
      </c>
      <c r="V609">
        <v>0.24354237187571662</v>
      </c>
      <c r="W609">
        <v>0.11639228511929336</v>
      </c>
      <c r="X609">
        <v>2.0401986830874731E-2</v>
      </c>
      <c r="Y609">
        <v>5.2214454588958648E-3</v>
      </c>
    </row>
    <row r="610" spans="1:25" x14ac:dyDescent="0.25">
      <c r="A610" s="881"/>
      <c r="B610" s="1131">
        <v>360</v>
      </c>
      <c r="C610" s="885">
        <v>0.97629052914249337</v>
      </c>
      <c r="D610" s="885">
        <v>1.0037094973565088</v>
      </c>
      <c r="E610" s="885">
        <v>0.99397123370170082</v>
      </c>
      <c r="F610" s="885">
        <v>1.0241860160660361</v>
      </c>
      <c r="G610" s="885">
        <v>0.97179967757257923</v>
      </c>
      <c r="H610" s="885">
        <v>0.96913101373426014</v>
      </c>
      <c r="I610" s="885">
        <v>0.97889432722745451</v>
      </c>
      <c r="K610">
        <v>1.9363760311555631</v>
      </c>
      <c r="L610">
        <v>0</v>
      </c>
      <c r="M610">
        <v>1.9600801221372702E-3</v>
      </c>
      <c r="N610">
        <v>0.19377603212366187</v>
      </c>
      <c r="O610">
        <v>2.5712463785984102E-2</v>
      </c>
      <c r="P610">
        <v>2.1055501397789417E-2</v>
      </c>
      <c r="Q610">
        <v>3.003143988553243E-3</v>
      </c>
      <c r="R610">
        <v>1.9480040432372911E-3</v>
      </c>
      <c r="S610">
        <v>0.20290805230127795</v>
      </c>
      <c r="T610">
        <v>1.0589268218169658</v>
      </c>
      <c r="U610">
        <v>3.8226644105312096E-2</v>
      </c>
      <c r="V610">
        <v>0.25076033676275533</v>
      </c>
      <c r="W610">
        <v>0.11630847264239982</v>
      </c>
      <c r="X610">
        <v>2.0408813463430157E-2</v>
      </c>
      <c r="Y610">
        <v>5.3018248463316386E-3</v>
      </c>
    </row>
    <row r="611" spans="1:25" x14ac:dyDescent="0.25">
      <c r="A611" s="881"/>
      <c r="B611" s="1131">
        <v>361</v>
      </c>
      <c r="C611" s="885">
        <v>1.011731420899167</v>
      </c>
      <c r="D611" s="885">
        <v>1.0150700248751687</v>
      </c>
      <c r="E611" s="885">
        <v>1.004068834569247</v>
      </c>
      <c r="F611" s="885">
        <v>1.0161240873495057</v>
      </c>
      <c r="G611" s="885">
        <v>1.0015156778370917</v>
      </c>
      <c r="H611" s="885">
        <v>1.0101517796097064</v>
      </c>
      <c r="I611" s="885">
        <v>1.0052148943322623</v>
      </c>
      <c r="K611">
        <v>1.9305120386187935</v>
      </c>
      <c r="L611">
        <v>0</v>
      </c>
      <c r="M611">
        <v>1.9193034329621711E-3</v>
      </c>
      <c r="N611">
        <v>0.19584903276403465</v>
      </c>
      <c r="O611">
        <v>2.467408988237061E-2</v>
      </c>
      <c r="P611">
        <v>2.1112710626362965E-2</v>
      </c>
      <c r="Q611">
        <v>2.9135562001821008E-3</v>
      </c>
      <c r="R611">
        <v>1.907949954538044E-3</v>
      </c>
      <c r="S611">
        <v>0.20412551309795432</v>
      </c>
      <c r="T611">
        <v>1.0579988978209303</v>
      </c>
      <c r="U611">
        <v>3.6887567026186473E-2</v>
      </c>
      <c r="V611">
        <v>0.24434372646928937</v>
      </c>
      <c r="W611">
        <v>0.11674278190144562</v>
      </c>
      <c r="X611">
        <v>2.0682705487740413E-2</v>
      </c>
      <c r="Y611">
        <v>5.1928108207190786E-3</v>
      </c>
    </row>
    <row r="612" spans="1:25" x14ac:dyDescent="0.25">
      <c r="A612" s="881"/>
      <c r="B612" s="1131">
        <v>362</v>
      </c>
      <c r="C612" s="885">
        <v>0.98357578829437875</v>
      </c>
      <c r="D612" s="885">
        <v>1.0049325260962583</v>
      </c>
      <c r="E612" s="885">
        <v>1.0029836659540836</v>
      </c>
      <c r="F612" s="885">
        <v>0.9919320737899795</v>
      </c>
      <c r="G612" s="885">
        <v>1.0125220856013457</v>
      </c>
      <c r="H612" s="885">
        <v>0.98969776420031619</v>
      </c>
      <c r="I612" s="885">
        <v>0.97471527283287129</v>
      </c>
      <c r="K612">
        <v>1.9402361509109616</v>
      </c>
      <c r="L612">
        <v>0</v>
      </c>
      <c r="M612">
        <v>1.9483320986208991E-3</v>
      </c>
      <c r="N612">
        <v>0.19811773733540461</v>
      </c>
      <c r="O612">
        <v>2.5506643348024327E-2</v>
      </c>
      <c r="P612">
        <v>2.116023111508521E-2</v>
      </c>
      <c r="Q612">
        <v>3.0064931234600519E-3</v>
      </c>
      <c r="R612">
        <v>1.936576856349362E-3</v>
      </c>
      <c r="S612">
        <v>0.20249100743898918</v>
      </c>
      <c r="T612">
        <v>1.0580984294232834</v>
      </c>
      <c r="U612">
        <v>3.7943502722483806E-2</v>
      </c>
      <c r="V612">
        <v>0.24954256017302828</v>
      </c>
      <c r="W612">
        <v>0.11818262843860824</v>
      </c>
      <c r="X612">
        <v>2.0927949224269663E-2</v>
      </c>
      <c r="Y612">
        <v>5.2707238105938374E-3</v>
      </c>
    </row>
    <row r="613" spans="1:25" x14ac:dyDescent="0.25">
      <c r="A613" s="881"/>
      <c r="B613" s="1131">
        <v>363</v>
      </c>
      <c r="C613" s="885">
        <v>1.0226107523474655</v>
      </c>
      <c r="D613" s="885">
        <v>0.97595446372720251</v>
      </c>
      <c r="E613" s="885">
        <v>1.0445649255815173</v>
      </c>
      <c r="F613" s="885">
        <v>0.99153510146595902</v>
      </c>
      <c r="G613" s="885">
        <v>0.99704358190944087</v>
      </c>
      <c r="H613" s="885">
        <v>0.98301204293397959</v>
      </c>
      <c r="I613" s="885">
        <v>1.0307651651797043</v>
      </c>
      <c r="K613">
        <v>1.9398707025956141</v>
      </c>
      <c r="L613">
        <v>0</v>
      </c>
      <c r="M613">
        <v>1.7295881185601227E-3</v>
      </c>
      <c r="N613">
        <v>0.20011233083916977</v>
      </c>
      <c r="O613">
        <v>2.4891397389306427E-2</v>
      </c>
      <c r="P613">
        <v>2.1791634762755332E-2</v>
      </c>
      <c r="Q613">
        <v>3.0512842634780228E-3</v>
      </c>
      <c r="R613">
        <v>1.7191030632868025E-3</v>
      </c>
      <c r="S613">
        <v>0.20805892731074602</v>
      </c>
      <c r="T613">
        <v>1.054317496200279</v>
      </c>
      <c r="U613">
        <v>3.6495128293190592E-2</v>
      </c>
      <c r="V613">
        <v>0.24768307605677584</v>
      </c>
      <c r="W613">
        <v>0.11607800324707772</v>
      </c>
      <c r="X613">
        <v>2.2723077452013959E-2</v>
      </c>
      <c r="Y613">
        <v>4.6788318360941692E-3</v>
      </c>
    </row>
    <row r="614" spans="1:25" x14ac:dyDescent="0.25">
      <c r="A614" s="881"/>
      <c r="B614" s="1131">
        <v>364</v>
      </c>
      <c r="C614" s="885">
        <v>1.0039209298839264</v>
      </c>
      <c r="D614" s="885">
        <v>0.97764696925325456</v>
      </c>
      <c r="E614" s="885">
        <v>1.0060620096896729</v>
      </c>
      <c r="F614" s="885">
        <v>0.97950855881155097</v>
      </c>
      <c r="G614" s="885">
        <v>1.0302668367748324</v>
      </c>
      <c r="H614" s="885">
        <v>0.9955614843068501</v>
      </c>
      <c r="I614" s="885">
        <v>1.020589914135932</v>
      </c>
      <c r="K614">
        <v>1.9487458152459938</v>
      </c>
      <c r="L614">
        <v>0</v>
      </c>
      <c r="M614">
        <v>1.9339231433522499E-3</v>
      </c>
      <c r="N614">
        <v>0.19855370707205316</v>
      </c>
      <c r="O614">
        <v>2.5332988696100414E-2</v>
      </c>
      <c r="P614">
        <v>2.1318089300646291E-2</v>
      </c>
      <c r="Q614">
        <v>2.9894905418637267E-3</v>
      </c>
      <c r="R614">
        <v>1.9223457529696886E-3</v>
      </c>
      <c r="S614">
        <v>0.21097853294409613</v>
      </c>
      <c r="T614">
        <v>1.0578162035238639</v>
      </c>
      <c r="U614">
        <v>3.7174551789882361E-2</v>
      </c>
      <c r="V614">
        <v>0.25008500060799083</v>
      </c>
      <c r="W614">
        <v>0.1181942639807359</v>
      </c>
      <c r="X614">
        <v>2.1082572740666525E-2</v>
      </c>
      <c r="Y614">
        <v>5.2319914384763378E-3</v>
      </c>
    </row>
    <row r="615" spans="1:25" x14ac:dyDescent="0.25">
      <c r="A615" s="881"/>
      <c r="B615" s="1131">
        <v>365</v>
      </c>
      <c r="C615" s="885">
        <v>1.0169012046066452</v>
      </c>
      <c r="D615" s="885">
        <v>1.0311439838723</v>
      </c>
      <c r="E615" s="885">
        <v>0.97668892013740416</v>
      </c>
      <c r="F615" s="885">
        <v>0.99825187271062754</v>
      </c>
      <c r="G615" s="885">
        <v>0.97270733609997517</v>
      </c>
      <c r="H615" s="885">
        <v>1.0057187612759313</v>
      </c>
      <c r="I615" s="885">
        <v>0.99762343570210299</v>
      </c>
      <c r="K615">
        <v>1.9118729991525147</v>
      </c>
      <c r="L615">
        <v>0</v>
      </c>
      <c r="M615">
        <v>1.9982960638359791E-3</v>
      </c>
      <c r="N615">
        <v>0.18724187590107091</v>
      </c>
      <c r="O615">
        <v>2.4359072828975079E-2</v>
      </c>
      <c r="P615">
        <v>2.0618964236516022E-2</v>
      </c>
      <c r="Q615">
        <v>2.8008981346139151E-3</v>
      </c>
      <c r="R615">
        <v>1.9864104038192537E-3</v>
      </c>
      <c r="S615">
        <v>0.19967629903594949</v>
      </c>
      <c r="T615">
        <v>1.060524188448762</v>
      </c>
      <c r="U615">
        <v>3.670003578700947E-2</v>
      </c>
      <c r="V615">
        <v>0.24175713032580007</v>
      </c>
      <c r="W615">
        <v>0.11373731038738863</v>
      </c>
      <c r="X615">
        <v>1.9062755427261695E-2</v>
      </c>
      <c r="Y615">
        <v>5.4063542991823763E-3</v>
      </c>
    </row>
    <row r="616" spans="1:25" x14ac:dyDescent="0.25">
      <c r="A616" s="881"/>
      <c r="B616" s="1131">
        <v>366</v>
      </c>
      <c r="C616" s="885">
        <v>0.96707574316545775</v>
      </c>
      <c r="D616" s="885">
        <v>1.0253586413772928</v>
      </c>
      <c r="E616" s="885">
        <v>0.96872230583327534</v>
      </c>
      <c r="F616" s="885">
        <v>1.0410762591178553</v>
      </c>
      <c r="G616" s="885">
        <v>1.0144638968224002</v>
      </c>
      <c r="H616" s="885">
        <v>1.0211230582444035</v>
      </c>
      <c r="I616" s="885">
        <v>0.97974795165550821</v>
      </c>
      <c r="K616">
        <v>1.952617346750827</v>
      </c>
      <c r="L616">
        <v>0</v>
      </c>
      <c r="M616">
        <v>2.1753963945538583E-3</v>
      </c>
      <c r="N616">
        <v>0.19885473407155235</v>
      </c>
      <c r="O616">
        <v>2.568525643687836E-2</v>
      </c>
      <c r="P616">
        <v>2.0745894519636064E-2</v>
      </c>
      <c r="Q616">
        <v>2.9283386052436815E-3</v>
      </c>
      <c r="R616">
        <v>2.1626574605551675E-3</v>
      </c>
      <c r="S616">
        <v>0.20829298818444747</v>
      </c>
      <c r="T616">
        <v>1.0612644254622106</v>
      </c>
      <c r="U616">
        <v>3.8590886871755312E-2</v>
      </c>
      <c r="V616">
        <v>0.24943149416511176</v>
      </c>
      <c r="W616">
        <v>0.12146440008586104</v>
      </c>
      <c r="X616">
        <v>1.9485626594337779E-2</v>
      </c>
      <c r="Y616">
        <v>5.8860406877908932E-3</v>
      </c>
    </row>
    <row r="617" spans="1:25" x14ac:dyDescent="0.25">
      <c r="A617" s="881"/>
      <c r="B617" s="1131">
        <v>367</v>
      </c>
      <c r="C617" s="885">
        <v>0.98164157801354512</v>
      </c>
      <c r="D617" s="885">
        <v>0.98198738747129988</v>
      </c>
      <c r="E617" s="885">
        <v>1.0332196271509024</v>
      </c>
      <c r="F617" s="885">
        <v>1.0265507641141864</v>
      </c>
      <c r="G617" s="885">
        <v>0.97105937217694216</v>
      </c>
      <c r="H617" s="885">
        <v>0.98400603142692722</v>
      </c>
      <c r="I617" s="885">
        <v>1.0173904297384726</v>
      </c>
      <c r="K617">
        <v>1.9640342912986155</v>
      </c>
      <c r="L617">
        <v>0</v>
      </c>
      <c r="M617">
        <v>1.8418263680350269E-3</v>
      </c>
      <c r="N617">
        <v>0.2057293926460855</v>
      </c>
      <c r="O617">
        <v>2.5851039481391072E-2</v>
      </c>
      <c r="P617">
        <v>2.179589807274972E-2</v>
      </c>
      <c r="Q617">
        <v>3.1351036285165081E-3</v>
      </c>
      <c r="R617">
        <v>1.8306673754234651E-3</v>
      </c>
      <c r="S617">
        <v>0.21342933627997454</v>
      </c>
      <c r="T617">
        <v>1.0553423983421979</v>
      </c>
      <c r="U617">
        <v>3.8018265970802108E-2</v>
      </c>
      <c r="V617">
        <v>0.25276494704473529</v>
      </c>
      <c r="W617">
        <v>0.12024138987543406</v>
      </c>
      <c r="X617">
        <v>2.2755205832777438E-2</v>
      </c>
      <c r="Y617">
        <v>4.9824731165645534E-3</v>
      </c>
    </row>
    <row r="618" spans="1:25" x14ac:dyDescent="0.25">
      <c r="A618" s="881"/>
      <c r="B618" s="1131">
        <v>368</v>
      </c>
      <c r="C618" s="885">
        <v>0.99518234326936816</v>
      </c>
      <c r="D618" s="885">
        <v>0.99247628794785259</v>
      </c>
      <c r="E618" s="885">
        <v>0.97675244215461099</v>
      </c>
      <c r="F618" s="885">
        <v>1.0138999984552619</v>
      </c>
      <c r="G618" s="885">
        <v>1.0049082241078526</v>
      </c>
      <c r="H618" s="885">
        <v>1.0049246527609588</v>
      </c>
      <c r="I618" s="885">
        <v>1.0274000390329276</v>
      </c>
      <c r="K618">
        <v>1.9488561092916068</v>
      </c>
      <c r="L618">
        <v>0</v>
      </c>
      <c r="M618">
        <v>2.078889878181786E-3</v>
      </c>
      <c r="N618">
        <v>0.19483429350082523</v>
      </c>
      <c r="O618">
        <v>2.5365312621143138E-2</v>
      </c>
      <c r="P618">
        <v>2.0922467931676951E-2</v>
      </c>
      <c r="Q618">
        <v>2.9090660897459907E-3</v>
      </c>
      <c r="R618">
        <v>2.0665476491399937E-3</v>
      </c>
      <c r="S618">
        <v>0.21375454853530723</v>
      </c>
      <c r="T618">
        <v>1.0605182960251711</v>
      </c>
      <c r="U618">
        <v>3.7500977437272882E-2</v>
      </c>
      <c r="V618">
        <v>0.24944018013663991</v>
      </c>
      <c r="W618">
        <v>0.11834398382551096</v>
      </c>
      <c r="X618">
        <v>1.9654863953642528E-2</v>
      </c>
      <c r="Y618">
        <v>5.6244614637096105E-3</v>
      </c>
    </row>
    <row r="619" spans="1:25" x14ac:dyDescent="0.25">
      <c r="A619" s="881"/>
      <c r="B619" s="1131">
        <v>369</v>
      </c>
      <c r="C619" s="885">
        <v>0.99360411797189396</v>
      </c>
      <c r="D619" s="885">
        <v>0.96962504191804488</v>
      </c>
      <c r="E619" s="885">
        <v>0.97472393686227066</v>
      </c>
      <c r="F619" s="885">
        <v>0.98412115189837146</v>
      </c>
      <c r="G619" s="885">
        <v>0.98415574579775578</v>
      </c>
      <c r="H619" s="885">
        <v>0.95656560028464954</v>
      </c>
      <c r="I619" s="885">
        <v>1.0056815200839302</v>
      </c>
      <c r="K619">
        <v>1.9334658644062681</v>
      </c>
      <c r="L619">
        <v>0</v>
      </c>
      <c r="M619">
        <v>2.0135702524837398E-3</v>
      </c>
      <c r="N619">
        <v>0.18746848183249012</v>
      </c>
      <c r="O619">
        <v>2.5701017549338866E-2</v>
      </c>
      <c r="P619">
        <v>2.0843049946361752E-2</v>
      </c>
      <c r="Q619">
        <v>2.9366687801860632E-3</v>
      </c>
      <c r="R619">
        <v>2.0010318933273634E-3</v>
      </c>
      <c r="S619">
        <v>0.20679841710574387</v>
      </c>
      <c r="T619">
        <v>1.0607065412660353</v>
      </c>
      <c r="U619">
        <v>3.7560543405449676E-2</v>
      </c>
      <c r="V619">
        <v>0.2526336765530709</v>
      </c>
      <c r="W619">
        <v>0.11403080095550483</v>
      </c>
      <c r="X619">
        <v>1.9353056197592856E-2</v>
      </c>
      <c r="Y619">
        <v>5.44614917365073E-3</v>
      </c>
    </row>
    <row r="620" spans="1:25" x14ac:dyDescent="0.25">
      <c r="A620" s="881"/>
      <c r="B620" s="1131">
        <v>370</v>
      </c>
      <c r="C620" s="885">
        <v>0.9787449449878507</v>
      </c>
      <c r="D620" s="885">
        <v>0.98227027870855899</v>
      </c>
      <c r="E620" s="885">
        <v>0.98723420229162273</v>
      </c>
      <c r="F620" s="885">
        <v>1.0076826924676501</v>
      </c>
      <c r="G620" s="885">
        <v>0.95114358193990833</v>
      </c>
      <c r="H620" s="885">
        <v>1.0167572197004167</v>
      </c>
      <c r="I620" s="885">
        <v>0.98706421777055786</v>
      </c>
      <c r="K620">
        <v>1.9645859177697687</v>
      </c>
      <c r="L620">
        <v>0</v>
      </c>
      <c r="M620">
        <v>2.1028726666498152E-3</v>
      </c>
      <c r="N620">
        <v>0.20363862068766272</v>
      </c>
      <c r="O620">
        <v>2.5923840980323593E-2</v>
      </c>
      <c r="P620">
        <v>2.1098321566068286E-2</v>
      </c>
      <c r="Q620">
        <v>3.0027537878562077E-3</v>
      </c>
      <c r="R620">
        <v>2.0905422283983705E-3</v>
      </c>
      <c r="S620">
        <v>0.21102509680612203</v>
      </c>
      <c r="T620">
        <v>1.0595481314129382</v>
      </c>
      <c r="U620">
        <v>3.8130782480189661E-2</v>
      </c>
      <c r="V620">
        <v>0.25316361122558256</v>
      </c>
      <c r="W620">
        <v>0.12279668144631403</v>
      </c>
      <c r="X620">
        <v>2.0580641016320844E-2</v>
      </c>
      <c r="Y620">
        <v>5.6897667986399838E-3</v>
      </c>
    </row>
    <row r="621" spans="1:25" x14ac:dyDescent="0.25">
      <c r="A621" s="881"/>
      <c r="B621" s="1131">
        <v>371</v>
      </c>
      <c r="C621" s="885">
        <v>1.0198252100980214</v>
      </c>
      <c r="D621" s="885">
        <v>0.99159297897498488</v>
      </c>
      <c r="E621" s="885">
        <v>1.0232993655279627</v>
      </c>
      <c r="F621" s="885">
        <v>1.0239825448363291</v>
      </c>
      <c r="G621" s="885">
        <v>1.0110844230944505</v>
      </c>
      <c r="H621" s="885">
        <v>1.0037236895053689</v>
      </c>
      <c r="I621" s="885">
        <v>0.99596093092579407</v>
      </c>
      <c r="K621">
        <v>1.9330827199610474</v>
      </c>
      <c r="L621">
        <v>0</v>
      </c>
      <c r="M621">
        <v>1.8378479498639163E-3</v>
      </c>
      <c r="N621">
        <v>0.19908192361854374</v>
      </c>
      <c r="O621">
        <v>2.4763313806920054E-2</v>
      </c>
      <c r="P621">
        <v>2.1382904821700625E-2</v>
      </c>
      <c r="Q621">
        <v>2.9758798571181649E-3</v>
      </c>
      <c r="R621">
        <v>1.8269243915648662E-3</v>
      </c>
      <c r="S621">
        <v>0.2021700447828684</v>
      </c>
      <c r="T621">
        <v>1.0562426985417666</v>
      </c>
      <c r="U621">
        <v>3.6594810788536825E-2</v>
      </c>
      <c r="V621">
        <v>0.24609554559707111</v>
      </c>
      <c r="W621">
        <v>0.11713320630769866</v>
      </c>
      <c r="X621">
        <v>2.1681029448744688E-2</v>
      </c>
      <c r="Y621">
        <v>4.9722859483757424E-3</v>
      </c>
    </row>
    <row r="622" spans="1:25" x14ac:dyDescent="0.25">
      <c r="A622" s="881"/>
      <c r="B622" s="1131">
        <v>372</v>
      </c>
      <c r="C622" s="885">
        <v>0.99782048107325827</v>
      </c>
      <c r="D622" s="885">
        <v>0.98918755813667203</v>
      </c>
      <c r="E622" s="885">
        <v>1.0045899878137889</v>
      </c>
      <c r="F622" s="885">
        <v>0.98816751202973785</v>
      </c>
      <c r="G622" s="885">
        <v>1.0305930970094581</v>
      </c>
      <c r="H622" s="885">
        <v>1.0212582123947791</v>
      </c>
      <c r="I622" s="885">
        <v>1.0012050507130161</v>
      </c>
      <c r="K622">
        <v>1.9554638406170164</v>
      </c>
      <c r="L622">
        <v>0</v>
      </c>
      <c r="M622">
        <v>1.9905573955938619E-3</v>
      </c>
      <c r="N622">
        <v>0.20346470857178733</v>
      </c>
      <c r="O622">
        <v>2.5339900479504497E-2</v>
      </c>
      <c r="P622">
        <v>2.1274443173526357E-2</v>
      </c>
      <c r="Q622">
        <v>2.9883595701330032E-3</v>
      </c>
      <c r="R622">
        <v>1.9789312845413728E-3</v>
      </c>
      <c r="S622">
        <v>0.20973863935132672</v>
      </c>
      <c r="T622">
        <v>1.057951113993328</v>
      </c>
      <c r="U622">
        <v>3.7401828594232758E-2</v>
      </c>
      <c r="V622">
        <v>0.2494766732727122</v>
      </c>
      <c r="W622">
        <v>0.1212392658540377</v>
      </c>
      <c r="X622">
        <v>2.1214535265479915E-2</v>
      </c>
      <c r="Y622">
        <v>5.3859986019989927E-3</v>
      </c>
    </row>
    <row r="623" spans="1:25" x14ac:dyDescent="0.25">
      <c r="A623" s="881"/>
      <c r="B623" s="1131">
        <v>373</v>
      </c>
      <c r="C623" s="885">
        <v>0.98069510647576164</v>
      </c>
      <c r="D623" s="885">
        <v>1.0045699847016121</v>
      </c>
      <c r="E623" s="885">
        <v>1.0257795591901067</v>
      </c>
      <c r="F623" s="885">
        <v>0.98158352834460327</v>
      </c>
      <c r="G623" s="885">
        <v>1.0274005225603251</v>
      </c>
      <c r="H623" s="885">
        <v>0.99052576293175298</v>
      </c>
      <c r="I623" s="885">
        <v>1.0090279961653188</v>
      </c>
      <c r="K623">
        <v>1.9549767198453407</v>
      </c>
      <c r="L623">
        <v>0</v>
      </c>
      <c r="M623">
        <v>1.8641573583463805E-3</v>
      </c>
      <c r="N623">
        <v>0.2034758397471122</v>
      </c>
      <c r="O623">
        <v>2.5586132698435723E-2</v>
      </c>
      <c r="P623">
        <v>2.1607152441667363E-2</v>
      </c>
      <c r="Q623">
        <v>3.0851296017547127E-3</v>
      </c>
      <c r="R623">
        <v>1.8529196658168116E-3</v>
      </c>
      <c r="S623">
        <v>0.21035580367788248</v>
      </c>
      <c r="T623">
        <v>1.0560172507431997</v>
      </c>
      <c r="U623">
        <v>3.8054957503593161E-2</v>
      </c>
      <c r="V623">
        <v>0.25001032806967854</v>
      </c>
      <c r="W623">
        <v>0.11951887910082332</v>
      </c>
      <c r="X623">
        <v>2.2233447438172484E-2</v>
      </c>
      <c r="Y623">
        <v>5.0430365155496835E-3</v>
      </c>
    </row>
    <row r="624" spans="1:25" x14ac:dyDescent="0.25">
      <c r="A624" s="881"/>
      <c r="B624" s="1131">
        <v>374</v>
      </c>
      <c r="C624" s="885">
        <v>0.9973450968391373</v>
      </c>
      <c r="D624" s="885">
        <v>1.006866309906866</v>
      </c>
      <c r="E624" s="885">
        <v>0.98579738979110643</v>
      </c>
      <c r="F624" s="885">
        <v>1.0352588828265421</v>
      </c>
      <c r="G624" s="885">
        <v>1.0077421085064202</v>
      </c>
      <c r="H624" s="885">
        <v>1.0134360218080753</v>
      </c>
      <c r="I624" s="885">
        <v>1.0153924146559732</v>
      </c>
      <c r="K624">
        <v>1.9443451845524475</v>
      </c>
      <c r="L624">
        <v>0</v>
      </c>
      <c r="M624">
        <v>2.0380332204816593E-3</v>
      </c>
      <c r="N624">
        <v>0.19647275834024103</v>
      </c>
      <c r="O624">
        <v>2.5130593548416871E-2</v>
      </c>
      <c r="P624">
        <v>2.0978825108123399E-2</v>
      </c>
      <c r="Q624">
        <v>2.9116673207661421E-3</v>
      </c>
      <c r="R624">
        <v>2.0260231981518314E-3</v>
      </c>
      <c r="S624">
        <v>0.21028341025742883</v>
      </c>
      <c r="T624">
        <v>1.0596808668607884</v>
      </c>
      <c r="U624">
        <v>3.741965616434597E-2</v>
      </c>
      <c r="V624">
        <v>0.24732929474929896</v>
      </c>
      <c r="W624">
        <v>0.11859321390264219</v>
      </c>
      <c r="X624">
        <v>2.0042741055725101E-2</v>
      </c>
      <c r="Y624">
        <v>5.5141672670015124E-3</v>
      </c>
    </row>
    <row r="625" spans="1:25" x14ac:dyDescent="0.25">
      <c r="A625" s="881"/>
      <c r="B625" s="1131">
        <v>375</v>
      </c>
      <c r="C625" s="885">
        <v>1.0331554670196663</v>
      </c>
      <c r="D625" s="885">
        <v>1.0280912716379709</v>
      </c>
      <c r="E625" s="885">
        <v>0.98427511778419452</v>
      </c>
      <c r="F625" s="885">
        <v>0.96446581132700537</v>
      </c>
      <c r="G625" s="885">
        <v>0.98004463231643668</v>
      </c>
      <c r="H625" s="885">
        <v>1.001073826673792</v>
      </c>
      <c r="I625" s="885">
        <v>1.0154886291700609</v>
      </c>
      <c r="K625">
        <v>1.9047110225075086</v>
      </c>
      <c r="L625">
        <v>0</v>
      </c>
      <c r="M625">
        <v>1.9296550584575684E-3</v>
      </c>
      <c r="N625">
        <v>0.18512972183596935</v>
      </c>
      <c r="O625">
        <v>2.4010911517000941E-2</v>
      </c>
      <c r="P625">
        <v>2.0699481291821312E-2</v>
      </c>
      <c r="Q625">
        <v>2.781662058700687E-3</v>
      </c>
      <c r="R625">
        <v>1.9181267520204162E-3</v>
      </c>
      <c r="S625">
        <v>0.19986998403235409</v>
      </c>
      <c r="T625">
        <v>1.0598215846867676</v>
      </c>
      <c r="U625">
        <v>3.6122647357782887E-2</v>
      </c>
      <c r="V625">
        <v>0.23997825442444334</v>
      </c>
      <c r="W625">
        <v>0.11186410894615359</v>
      </c>
      <c r="X625">
        <v>1.922368595426532E-2</v>
      </c>
      <c r="Y625">
        <v>5.2205087086857086E-3</v>
      </c>
    </row>
    <row r="626" spans="1:25" x14ac:dyDescent="0.25">
      <c r="A626" s="881"/>
      <c r="B626" s="1131">
        <v>376</v>
      </c>
      <c r="C626" s="885">
        <v>1.0245898590165083</v>
      </c>
      <c r="D626" s="885">
        <v>1.0039784881677993</v>
      </c>
      <c r="E626" s="885">
        <v>0.97970348145237618</v>
      </c>
      <c r="F626" s="885">
        <v>0.97194483497256978</v>
      </c>
      <c r="G626" s="885">
        <v>0.95950157405839187</v>
      </c>
      <c r="H626" s="885">
        <v>1.0260008336151965</v>
      </c>
      <c r="I626" s="885">
        <v>0.99392644296619237</v>
      </c>
      <c r="K626">
        <v>1.9249712567200119</v>
      </c>
      <c r="L626">
        <v>0</v>
      </c>
      <c r="M626">
        <v>2.0371965092106444E-3</v>
      </c>
      <c r="N626">
        <v>0.19271334538313326</v>
      </c>
      <c r="O626">
        <v>2.4497126376923792E-2</v>
      </c>
      <c r="P626">
        <v>2.0717541320974683E-2</v>
      </c>
      <c r="Q626">
        <v>2.8202107208693712E-3</v>
      </c>
      <c r="R626">
        <v>2.0253407909660349E-3</v>
      </c>
      <c r="S626">
        <v>0.20185985893060726</v>
      </c>
      <c r="T626">
        <v>1.0602447243942177</v>
      </c>
      <c r="U626">
        <v>3.6424633986461855E-2</v>
      </c>
      <c r="V626">
        <v>0.24393826846874198</v>
      </c>
      <c r="W626">
        <v>0.11681595480549883</v>
      </c>
      <c r="X626">
        <v>1.9439138071229614E-2</v>
      </c>
      <c r="Y626">
        <v>5.512309979597241E-3</v>
      </c>
    </row>
    <row r="627" spans="1:25" x14ac:dyDescent="0.25">
      <c r="A627" s="881"/>
      <c r="B627" s="1131">
        <v>377</v>
      </c>
      <c r="C627" s="885">
        <v>0.99313241041531541</v>
      </c>
      <c r="D627" s="885">
        <v>0.99766109195025898</v>
      </c>
      <c r="E627" s="885">
        <v>0.98551658325219749</v>
      </c>
      <c r="F627" s="885">
        <v>0.96585545917557425</v>
      </c>
      <c r="G627" s="885">
        <v>0.96695268658442146</v>
      </c>
      <c r="H627" s="885">
        <v>1.0274774231446644</v>
      </c>
      <c r="I627" s="885">
        <v>0.95764749260234849</v>
      </c>
      <c r="K627">
        <v>1.944957919871364</v>
      </c>
      <c r="L627">
        <v>0</v>
      </c>
      <c r="M627">
        <v>2.0857098818762953E-3</v>
      </c>
      <c r="N627">
        <v>0.20091019021084833</v>
      </c>
      <c r="O627">
        <v>2.5352152860259245E-2</v>
      </c>
      <c r="P627">
        <v>2.0880262106527839E-2</v>
      </c>
      <c r="Q627">
        <v>2.9346242467252919E-3</v>
      </c>
      <c r="R627">
        <v>2.0735945761970764E-3</v>
      </c>
      <c r="S627">
        <v>0.2013794167833155</v>
      </c>
      <c r="T627">
        <v>1.0597068176647348</v>
      </c>
      <c r="U627">
        <v>3.7578383516161766E-2</v>
      </c>
      <c r="V627">
        <v>0.24907776623769809</v>
      </c>
      <c r="W627">
        <v>0.12129523710425116</v>
      </c>
      <c r="X627">
        <v>2.021154357037944E-2</v>
      </c>
      <c r="Y627">
        <v>5.6436408761401111E-3</v>
      </c>
    </row>
    <row r="628" spans="1:25" x14ac:dyDescent="0.25">
      <c r="A628" s="881"/>
      <c r="B628" s="1131">
        <v>378</v>
      </c>
      <c r="C628" s="885">
        <v>0.97443259234973956</v>
      </c>
      <c r="D628" s="885">
        <v>1.0075560099719354</v>
      </c>
      <c r="E628" s="885">
        <v>0.97042820325523971</v>
      </c>
      <c r="F628" s="885">
        <v>0.97418957220092084</v>
      </c>
      <c r="G628" s="885">
        <v>1.0027066573464603</v>
      </c>
      <c r="H628" s="885">
        <v>0.97432312570322765</v>
      </c>
      <c r="I628" s="885">
        <v>0.97980178285100139</v>
      </c>
      <c r="K628">
        <v>1.9340872286415802</v>
      </c>
      <c r="L628">
        <v>0</v>
      </c>
      <c r="M628">
        <v>2.0704889149340518E-3</v>
      </c>
      <c r="N628">
        <v>0.19022206174343997</v>
      </c>
      <c r="O628">
        <v>2.5712798275490854E-2</v>
      </c>
      <c r="P628">
        <v>2.0720084771137223E-2</v>
      </c>
      <c r="Q628">
        <v>2.9330377289278368E-3</v>
      </c>
      <c r="R628">
        <v>2.0577972284823243E-3</v>
      </c>
      <c r="S628">
        <v>0.2036534930878586</v>
      </c>
      <c r="T628">
        <v>1.0611057112465212</v>
      </c>
      <c r="U628">
        <v>3.8299530305039291E-2</v>
      </c>
      <c r="V628">
        <v>0.25055152262248021</v>
      </c>
      <c r="W628">
        <v>0.11605292763281386</v>
      </c>
      <c r="X628">
        <v>1.9248107211068156E-2</v>
      </c>
      <c r="Y628">
        <v>5.6006457032548316E-3</v>
      </c>
    </row>
    <row r="629" spans="1:25" x14ac:dyDescent="0.25">
      <c r="A629" s="881"/>
      <c r="B629" s="1131">
        <v>379</v>
      </c>
      <c r="C629" s="885">
        <v>1.0178067062926042</v>
      </c>
      <c r="D629" s="885">
        <v>0.99028728989311188</v>
      </c>
      <c r="E629" s="885">
        <v>1.0325775873580472</v>
      </c>
      <c r="F629" s="885">
        <v>1.0162516319985686</v>
      </c>
      <c r="G629" s="885">
        <v>0.99775914926470477</v>
      </c>
      <c r="H629" s="885">
        <v>1.0032263387346723</v>
      </c>
      <c r="I629" s="885">
        <v>1.0173162576182968</v>
      </c>
      <c r="K629">
        <v>1.941207764374093</v>
      </c>
      <c r="L629">
        <v>0</v>
      </c>
      <c r="M629">
        <v>1.805994018916903E-3</v>
      </c>
      <c r="N629">
        <v>0.20134821355658208</v>
      </c>
      <c r="O629">
        <v>2.4828632854006764E-2</v>
      </c>
      <c r="P629">
        <v>2.1590549146522572E-2</v>
      </c>
      <c r="Q629">
        <v>3.0109797315468994E-3</v>
      </c>
      <c r="R629">
        <v>1.7952554527568792E-3</v>
      </c>
      <c r="S629">
        <v>0.20698933128255315</v>
      </c>
      <c r="T629">
        <v>1.0554005492013518</v>
      </c>
      <c r="U629">
        <v>3.6667385241405469E-2</v>
      </c>
      <c r="V629">
        <v>0.24653267145791605</v>
      </c>
      <c r="W629">
        <v>0.11773128959333669</v>
      </c>
      <c r="X629">
        <v>2.2232807338426096E-2</v>
      </c>
      <c r="Y629">
        <v>4.8860935366032742E-3</v>
      </c>
    </row>
    <row r="630" spans="1:25" x14ac:dyDescent="0.25">
      <c r="A630" s="881"/>
      <c r="B630" s="1131">
        <v>380</v>
      </c>
      <c r="C630" s="885">
        <v>0.98836594251814902</v>
      </c>
      <c r="D630" s="885">
        <v>1.0148029418554814</v>
      </c>
      <c r="E630" s="885">
        <v>0.99372857982008311</v>
      </c>
      <c r="F630" s="885">
        <v>1.0143108154506302</v>
      </c>
      <c r="G630" s="885">
        <v>0.99775680610850037</v>
      </c>
      <c r="H630" s="885">
        <v>0.99211644195146143</v>
      </c>
      <c r="I630" s="885">
        <v>0.99875022788158829</v>
      </c>
      <c r="K630">
        <v>1.9369168636083214</v>
      </c>
      <c r="L630">
        <v>0</v>
      </c>
      <c r="M630">
        <v>1.97232757796446E-3</v>
      </c>
      <c r="N630">
        <v>0.19486670792562069</v>
      </c>
      <c r="O630">
        <v>2.5260681506926692E-2</v>
      </c>
      <c r="P630">
        <v>2.1042493918943663E-2</v>
      </c>
      <c r="Q630">
        <v>2.951906990953347E-3</v>
      </c>
      <c r="R630">
        <v>1.9604485620416294E-3</v>
      </c>
      <c r="S630">
        <v>0.20580138710260132</v>
      </c>
      <c r="T630">
        <v>1.0589491694579647</v>
      </c>
      <c r="U630">
        <v>3.7759608051480022E-2</v>
      </c>
      <c r="V630">
        <v>0.24763637233789099</v>
      </c>
      <c r="W630">
        <v>0.11698262441949761</v>
      </c>
      <c r="X630">
        <v>2.0342096188180586E-2</v>
      </c>
      <c r="Y630">
        <v>5.3356947241825258E-3</v>
      </c>
    </row>
    <row r="631" spans="1:25" x14ac:dyDescent="0.25">
      <c r="A631" s="881"/>
      <c r="B631" s="1131">
        <v>381</v>
      </c>
      <c r="C631" s="885">
        <v>1.000293506694617</v>
      </c>
      <c r="D631" s="885">
        <v>1.0076605122691824</v>
      </c>
      <c r="E631" s="885">
        <v>0.9551805481803598</v>
      </c>
      <c r="F631" s="885">
        <v>0.97347256319035502</v>
      </c>
      <c r="G631" s="885">
        <v>1.0005710581022369</v>
      </c>
      <c r="H631" s="885">
        <v>1.0227267732528404</v>
      </c>
      <c r="I631" s="885">
        <v>0.97608304703090032</v>
      </c>
      <c r="K631">
        <v>1.9313267008696642</v>
      </c>
      <c r="L631">
        <v>0</v>
      </c>
      <c r="M631">
        <v>2.1857213419197398E-3</v>
      </c>
      <c r="N631">
        <v>0.19153620937940843</v>
      </c>
      <c r="O631">
        <v>2.5046752396414275E-2</v>
      </c>
      <c r="P631">
        <v>2.0417398419437321E-2</v>
      </c>
      <c r="Q631">
        <v>2.8127259205589544E-3</v>
      </c>
      <c r="R631">
        <v>2.1729573149322965E-3</v>
      </c>
      <c r="S631">
        <v>0.20238789411858604</v>
      </c>
      <c r="T631">
        <v>1.0625283188668957</v>
      </c>
      <c r="U631">
        <v>3.730936005396919E-2</v>
      </c>
      <c r="V631">
        <v>0.24682025346384914</v>
      </c>
      <c r="W631">
        <v>0.11811280964671009</v>
      </c>
      <c r="X631">
        <v>1.845366913476151E-2</v>
      </c>
      <c r="Y631">
        <v>5.9140734960593582E-3</v>
      </c>
    </row>
    <row r="632" spans="1:25" x14ac:dyDescent="0.25">
      <c r="A632" s="881"/>
      <c r="B632" s="1131">
        <v>382</v>
      </c>
      <c r="C632" s="885">
        <v>1.0017741860916844</v>
      </c>
      <c r="D632" s="885">
        <v>1.0014658353617063</v>
      </c>
      <c r="E632" s="885">
        <v>1.0038116984133487</v>
      </c>
      <c r="F632" s="885">
        <v>1.0252424270070533</v>
      </c>
      <c r="G632" s="885">
        <v>0.97953179103456312</v>
      </c>
      <c r="H632" s="885">
        <v>0.99713090651453995</v>
      </c>
      <c r="I632" s="885">
        <v>1.0014498130719256</v>
      </c>
      <c r="K632">
        <v>1.93684707689465</v>
      </c>
      <c r="L632">
        <v>0</v>
      </c>
      <c r="M632">
        <v>1.9272354285566364E-3</v>
      </c>
      <c r="N632">
        <v>0.19648704730008337</v>
      </c>
      <c r="O632">
        <v>2.508613998670492E-2</v>
      </c>
      <c r="P632">
        <v>2.1172102339842989E-2</v>
      </c>
      <c r="Q632">
        <v>2.9586736735615778E-3</v>
      </c>
      <c r="R632">
        <v>1.9156969132162341E-3</v>
      </c>
      <c r="S632">
        <v>0.20534102660880785</v>
      </c>
      <c r="T632">
        <v>1.058022478184194</v>
      </c>
      <c r="U632">
        <v>3.7254214691354877E-2</v>
      </c>
      <c r="V632">
        <v>0.2473723307461716</v>
      </c>
      <c r="W632">
        <v>0.11714364537272171</v>
      </c>
      <c r="X632">
        <v>2.080706101808814E-2</v>
      </c>
      <c r="Y632">
        <v>5.2138954884568683E-3</v>
      </c>
    </row>
    <row r="633" spans="1:25" x14ac:dyDescent="0.25">
      <c r="A633" s="881"/>
      <c r="B633" s="1131">
        <v>383</v>
      </c>
      <c r="C633" s="885">
        <v>1.0321688808585656</v>
      </c>
      <c r="D633" s="885">
        <v>0.95966445110884324</v>
      </c>
      <c r="E633" s="885">
        <v>0.99947858809698598</v>
      </c>
      <c r="F633" s="885">
        <v>1.0003262953477066</v>
      </c>
      <c r="G633" s="885">
        <v>0.99087918738022795</v>
      </c>
      <c r="H633" s="885">
        <v>1.0112823983557506</v>
      </c>
      <c r="I633" s="885">
        <v>1.0085406952882261</v>
      </c>
      <c r="K633">
        <v>1.9382383112921771</v>
      </c>
      <c r="L633">
        <v>0</v>
      </c>
      <c r="M633">
        <v>1.955335446885492E-3</v>
      </c>
      <c r="N633">
        <v>0.19670291168193613</v>
      </c>
      <c r="O633">
        <v>2.4868167776301141E-2</v>
      </c>
      <c r="P633">
        <v>2.1119782045368535E-2</v>
      </c>
      <c r="Q633">
        <v>2.9114881983673562E-3</v>
      </c>
      <c r="R633">
        <v>1.9438268648754701E-3</v>
      </c>
      <c r="S633">
        <v>0.20611199951289733</v>
      </c>
      <c r="T633">
        <v>1.0584202284706101</v>
      </c>
      <c r="U633">
        <v>3.6157174754070841E-2</v>
      </c>
      <c r="V633">
        <v>0.24846879165377095</v>
      </c>
      <c r="W633">
        <v>0.11762015722911047</v>
      </c>
      <c r="X633">
        <v>2.057866260791525E-2</v>
      </c>
      <c r="Y633">
        <v>5.290455943837237E-3</v>
      </c>
    </row>
    <row r="634" spans="1:25" x14ac:dyDescent="0.25">
      <c r="A634" s="881"/>
      <c r="B634" s="1131">
        <v>384</v>
      </c>
      <c r="C634" s="885">
        <v>0.95663548984540514</v>
      </c>
      <c r="D634" s="885">
        <v>1.0209381190319906</v>
      </c>
      <c r="E634" s="885">
        <v>0.98458585422295697</v>
      </c>
      <c r="F634" s="885">
        <v>0.98889344332412588</v>
      </c>
      <c r="G634" s="885">
        <v>0.99472647730459729</v>
      </c>
      <c r="H634" s="885">
        <v>0.98524610408285851</v>
      </c>
      <c r="I634" s="885">
        <v>0.96025195251476991</v>
      </c>
      <c r="K634">
        <v>1.9460738684827465</v>
      </c>
      <c r="L634">
        <v>0</v>
      </c>
      <c r="M634">
        <v>2.0567839155752219E-3</v>
      </c>
      <c r="N634">
        <v>0.1974989548237496</v>
      </c>
      <c r="O634">
        <v>2.6020987237153164E-2</v>
      </c>
      <c r="P634">
        <v>2.0943526605994921E-2</v>
      </c>
      <c r="Q634">
        <v>3.0140272645144371E-3</v>
      </c>
      <c r="R634">
        <v>2.0443046798294348E-3</v>
      </c>
      <c r="S634">
        <v>0.20317747922598614</v>
      </c>
      <c r="T634">
        <v>1.0597928531054903</v>
      </c>
      <c r="U634">
        <v>3.901204899574439E-2</v>
      </c>
      <c r="V634">
        <v>0.2515386941576479</v>
      </c>
      <c r="W634">
        <v>0.11931253415622498</v>
      </c>
      <c r="X634">
        <v>2.021131871234743E-2</v>
      </c>
      <c r="Y634">
        <v>5.5639234336391325E-3</v>
      </c>
    </row>
    <row r="635" spans="1:25" x14ac:dyDescent="0.25">
      <c r="A635" s="881"/>
      <c r="B635" s="1131">
        <v>385</v>
      </c>
      <c r="C635" s="885">
        <v>0.99662873755714065</v>
      </c>
      <c r="D635" s="885">
        <v>0.98049042203930159</v>
      </c>
      <c r="E635" s="885">
        <v>0.99851326714096955</v>
      </c>
      <c r="F635" s="885">
        <v>1.0332795575273557</v>
      </c>
      <c r="G635" s="885">
        <v>0.95502145075617306</v>
      </c>
      <c r="H635" s="885">
        <v>1.0092019322085162</v>
      </c>
      <c r="I635" s="885">
        <v>1.0130934119645651</v>
      </c>
      <c r="K635">
        <v>1.9559884044721141</v>
      </c>
      <c r="L635">
        <v>0</v>
      </c>
      <c r="M635">
        <v>2.0035313529716452E-3</v>
      </c>
      <c r="N635">
        <v>0.200942633950876</v>
      </c>
      <c r="O635">
        <v>2.54815809662941E-2</v>
      </c>
      <c r="P635">
        <v>2.1236208154853664E-2</v>
      </c>
      <c r="Q635">
        <v>2.984933618511407E-3</v>
      </c>
      <c r="R635">
        <v>1.9916969640043003E-3</v>
      </c>
      <c r="S635">
        <v>0.21209626865878611</v>
      </c>
      <c r="T635">
        <v>1.0585089380527886</v>
      </c>
      <c r="U635">
        <v>3.7446552757843976E-2</v>
      </c>
      <c r="V635">
        <v>0.25076328426680389</v>
      </c>
      <c r="W635">
        <v>0.12023478072932689</v>
      </c>
      <c r="X635">
        <v>2.088431513170258E-2</v>
      </c>
      <c r="Y635">
        <v>5.4207425732919765E-3</v>
      </c>
    </row>
    <row r="636" spans="1:25" x14ac:dyDescent="0.25">
      <c r="A636" s="881"/>
      <c r="B636" s="1131">
        <v>386</v>
      </c>
      <c r="C636" s="885">
        <v>0.99588622920586523</v>
      </c>
      <c r="D636" s="885">
        <v>1.0396713164608531</v>
      </c>
      <c r="E636" s="885">
        <v>0.98732796855493798</v>
      </c>
      <c r="F636" s="885">
        <v>1.0143125516713403</v>
      </c>
      <c r="G636" s="885">
        <v>1.0140811404666263</v>
      </c>
      <c r="H636" s="885">
        <v>0.95932465747213025</v>
      </c>
      <c r="I636" s="885">
        <v>1.0341070864332511</v>
      </c>
      <c r="K636">
        <v>1.9138037487757731</v>
      </c>
      <c r="L636">
        <v>0</v>
      </c>
      <c r="M636">
        <v>1.895633637295661E-3</v>
      </c>
      <c r="N636">
        <v>0.18355420843293191</v>
      </c>
      <c r="O636">
        <v>2.4772383855088745E-2</v>
      </c>
      <c r="P636">
        <v>2.0890783726516478E-2</v>
      </c>
      <c r="Q636">
        <v>2.8809844728957352E-3</v>
      </c>
      <c r="R636">
        <v>1.883806683608795E-3</v>
      </c>
      <c r="S636">
        <v>0.20576992616768197</v>
      </c>
      <c r="T636">
        <v>1.0595394718961604</v>
      </c>
      <c r="U636">
        <v>3.7474471989312162E-2</v>
      </c>
      <c r="V636">
        <v>0.24362162613319011</v>
      </c>
      <c r="W636">
        <v>0.11067836042757878</v>
      </c>
      <c r="X636">
        <v>1.9506257832024722E-2</v>
      </c>
      <c r="Y636">
        <v>5.1271007960767834E-3</v>
      </c>
    </row>
    <row r="637" spans="1:25" x14ac:dyDescent="0.25">
      <c r="A637" s="881"/>
      <c r="B637" s="1131">
        <v>387</v>
      </c>
      <c r="C637" s="885">
        <v>1.0103964481479755</v>
      </c>
      <c r="D637" s="885">
        <v>0.99269025927630961</v>
      </c>
      <c r="E637" s="885">
        <v>0.95480721917040456</v>
      </c>
      <c r="F637" s="885">
        <v>1.0042331733635794</v>
      </c>
      <c r="G637" s="885">
        <v>0.96498336933396012</v>
      </c>
      <c r="H637" s="885">
        <v>1.0162410802936097</v>
      </c>
      <c r="I637" s="885">
        <v>1.0332280412908428</v>
      </c>
      <c r="K637">
        <v>1.9390206485438826</v>
      </c>
      <c r="L637">
        <v>0</v>
      </c>
      <c r="M637">
        <v>2.1678112442377519E-3</v>
      </c>
      <c r="N637">
        <v>0.18973953576451705</v>
      </c>
      <c r="O637">
        <v>2.4980704445305098E-2</v>
      </c>
      <c r="P637">
        <v>2.0551258883383727E-2</v>
      </c>
      <c r="Q637">
        <v>2.8013052752616317E-3</v>
      </c>
      <c r="R637">
        <v>2.1550842208010439E-3</v>
      </c>
      <c r="S637">
        <v>0.21288458313707836</v>
      </c>
      <c r="T637">
        <v>1.0625632629844111</v>
      </c>
      <c r="U637">
        <v>3.6936304229219945E-2</v>
      </c>
      <c r="V637">
        <v>0.24726221303313725</v>
      </c>
      <c r="W637">
        <v>0.11703572483932406</v>
      </c>
      <c r="X637">
        <v>1.8413054149982049E-2</v>
      </c>
      <c r="Y637">
        <v>5.865428825697982E-3</v>
      </c>
    </row>
    <row r="638" spans="1:25" x14ac:dyDescent="0.25">
      <c r="A638" s="881"/>
      <c r="B638" s="1131">
        <v>388</v>
      </c>
      <c r="C638" s="885">
        <v>1.0111251245290158</v>
      </c>
      <c r="D638" s="885">
        <v>0.9731878082363149</v>
      </c>
      <c r="E638" s="885">
        <v>1.0205937145186861</v>
      </c>
      <c r="F638" s="885">
        <v>0.99963419856883562</v>
      </c>
      <c r="G638" s="885">
        <v>0.98170605988473214</v>
      </c>
      <c r="H638" s="885">
        <v>1.0065960957006319</v>
      </c>
      <c r="I638" s="885">
        <v>0.97482292682763305</v>
      </c>
      <c r="K638">
        <v>1.9433699498624981</v>
      </c>
      <c r="L638">
        <v>0</v>
      </c>
      <c r="M638">
        <v>1.8870722068078894E-3</v>
      </c>
      <c r="N638">
        <v>0.20270842003296363</v>
      </c>
      <c r="O638">
        <v>2.5209671375599815E-2</v>
      </c>
      <c r="P638">
        <v>2.1389511984233295E-2</v>
      </c>
      <c r="Q638">
        <v>3.0174162855760014E-3</v>
      </c>
      <c r="R638">
        <v>1.8759027065454615E-3</v>
      </c>
      <c r="S638">
        <v>0.20159470320207887</v>
      </c>
      <c r="T638">
        <v>1.056488914657608</v>
      </c>
      <c r="U638">
        <v>3.6909685750614381E-2</v>
      </c>
      <c r="V638">
        <v>0.24963926485973822</v>
      </c>
      <c r="W638">
        <v>0.11948456829707113</v>
      </c>
      <c r="X638">
        <v>2.1833374141223803E-2</v>
      </c>
      <c r="Y638">
        <v>5.1055887760557295E-3</v>
      </c>
    </row>
    <row r="639" spans="1:25" x14ac:dyDescent="0.25">
      <c r="A639" s="881"/>
      <c r="B639" s="1131">
        <v>389</v>
      </c>
      <c r="C639" s="885">
        <v>0.98823188160569897</v>
      </c>
      <c r="D639" s="885">
        <v>1.0150312235787506</v>
      </c>
      <c r="E639" s="885">
        <v>1.0130194963753854</v>
      </c>
      <c r="F639" s="885">
        <v>1.0193126181529635</v>
      </c>
      <c r="G639" s="885">
        <v>0.96455071615511012</v>
      </c>
      <c r="H639" s="885">
        <v>0.97001539369203127</v>
      </c>
      <c r="I639" s="885">
        <v>1.0071155881261395</v>
      </c>
      <c r="K639">
        <v>1.932878902213536</v>
      </c>
      <c r="L639">
        <v>0</v>
      </c>
      <c r="M639">
        <v>1.8516257821738667E-3</v>
      </c>
      <c r="N639">
        <v>0.19422718087220267</v>
      </c>
      <c r="O639">
        <v>2.5261301381487859E-2</v>
      </c>
      <c r="P639">
        <v>2.1314911616087274E-2</v>
      </c>
      <c r="Q639">
        <v>3.0097178013836854E-3</v>
      </c>
      <c r="R639">
        <v>1.8402194666164733E-3</v>
      </c>
      <c r="S639">
        <v>0.20526930338111105</v>
      </c>
      <c r="T639">
        <v>1.0571796954959254</v>
      </c>
      <c r="U639">
        <v>3.7764730419623874E-2</v>
      </c>
      <c r="V639">
        <v>0.24762488608567187</v>
      </c>
      <c r="W639">
        <v>0.11507331194608528</v>
      </c>
      <c r="X639">
        <v>2.1156798769569635E-2</v>
      </c>
      <c r="Y639">
        <v>5.0084707599459041E-3</v>
      </c>
    </row>
    <row r="640" spans="1:25" x14ac:dyDescent="0.25">
      <c r="A640" s="881"/>
      <c r="B640" s="1131">
        <v>390</v>
      </c>
      <c r="C640" s="885">
        <v>0.96685594283147436</v>
      </c>
      <c r="D640" s="885">
        <v>1.0351767124082856</v>
      </c>
      <c r="E640" s="885">
        <v>0.99735775423447237</v>
      </c>
      <c r="F640" s="885">
        <v>1.0277973921932351</v>
      </c>
      <c r="G640" s="885">
        <v>0.99054118890609189</v>
      </c>
      <c r="H640" s="885">
        <v>0.96354740416733664</v>
      </c>
      <c r="I640" s="885">
        <v>0.9847375503899376</v>
      </c>
      <c r="K640">
        <v>1.9308118949833428</v>
      </c>
      <c r="L640">
        <v>0</v>
      </c>
      <c r="M640">
        <v>1.9243030421065852E-3</v>
      </c>
      <c r="N640">
        <v>0.19224518752642533</v>
      </c>
      <c r="O640">
        <v>2.5570687885281929E-2</v>
      </c>
      <c r="P640">
        <v>2.1072583827859918E-2</v>
      </c>
      <c r="Q640">
        <v>3.0031950060115087E-3</v>
      </c>
      <c r="R640">
        <v>1.9123533644108798E-3</v>
      </c>
      <c r="S640">
        <v>0.20265650159886056</v>
      </c>
      <c r="T640">
        <v>1.0586151733199762</v>
      </c>
      <c r="U640">
        <v>3.8599659936539139E-2</v>
      </c>
      <c r="V640">
        <v>0.24827750214971997</v>
      </c>
      <c r="W640">
        <v>0.11512174714311858</v>
      </c>
      <c r="X640">
        <v>2.045681081643819E-2</v>
      </c>
      <c r="Y640">
        <v>5.2047954508092622E-3</v>
      </c>
    </row>
    <row r="641" spans="1:25" x14ac:dyDescent="0.25">
      <c r="A641" s="881"/>
      <c r="B641" s="1131">
        <v>391</v>
      </c>
      <c r="C641" s="885">
        <v>0.98838131665613227</v>
      </c>
      <c r="D641" s="885">
        <v>0.9938455122642057</v>
      </c>
      <c r="E641" s="885">
        <v>1.0074903961096231</v>
      </c>
      <c r="F641" s="885">
        <v>0.99549167765669355</v>
      </c>
      <c r="G641" s="885">
        <v>0.98961621406374289</v>
      </c>
      <c r="H641" s="885">
        <v>1.0036674736354385</v>
      </c>
      <c r="I641" s="885">
        <v>0.99509932225752518</v>
      </c>
      <c r="K641">
        <v>1.9524204691894502</v>
      </c>
      <c r="L641">
        <v>0</v>
      </c>
      <c r="M641">
        <v>1.9583552315494443E-3</v>
      </c>
      <c r="N641">
        <v>0.20196559357325294</v>
      </c>
      <c r="O641">
        <v>2.5522411139754082E-2</v>
      </c>
      <c r="P641">
        <v>2.1310931072631937E-2</v>
      </c>
      <c r="Q641">
        <v>3.0196342334728819E-3</v>
      </c>
      <c r="R641">
        <v>1.9467129297072617E-3</v>
      </c>
      <c r="S641">
        <v>0.20819832473146638</v>
      </c>
      <c r="T641">
        <v>1.0576853730215896</v>
      </c>
      <c r="U641">
        <v>3.7759020705872948E-2</v>
      </c>
      <c r="V641">
        <v>0.25024323927478415</v>
      </c>
      <c r="W641">
        <v>0.12010838581266321</v>
      </c>
      <c r="X641">
        <v>2.1320887064886041E-2</v>
      </c>
      <c r="Y641">
        <v>5.298310860918358E-3</v>
      </c>
    </row>
    <row r="642" spans="1:25" x14ac:dyDescent="0.25">
      <c r="A642" s="881"/>
      <c r="B642" s="1131">
        <v>392</v>
      </c>
      <c r="C642" s="885">
        <v>1.0072282436119051</v>
      </c>
      <c r="D642" s="885">
        <v>0.99516995396562913</v>
      </c>
      <c r="E642" s="885">
        <v>0.99114004210418671</v>
      </c>
      <c r="F642" s="885">
        <v>1.0100614588163417</v>
      </c>
      <c r="G642" s="885">
        <v>0.9955501074913462</v>
      </c>
      <c r="H642" s="885">
        <v>1.0329723873981609</v>
      </c>
      <c r="I642" s="885">
        <v>0.99981850178388065</v>
      </c>
      <c r="K642">
        <v>1.9477824700525277</v>
      </c>
      <c r="L642">
        <v>0</v>
      </c>
      <c r="M642">
        <v>2.045752196752122E-3</v>
      </c>
      <c r="N642">
        <v>0.20054861817985062</v>
      </c>
      <c r="O642">
        <v>2.5028327189822838E-2</v>
      </c>
      <c r="P642">
        <v>2.1023115502806635E-2</v>
      </c>
      <c r="Q642">
        <v>2.9131610363377809E-3</v>
      </c>
      <c r="R642">
        <v>2.0339342583674557E-3</v>
      </c>
      <c r="S642">
        <v>0.20809678462401984</v>
      </c>
      <c r="T642">
        <v>1.0591877079786776</v>
      </c>
      <c r="U642">
        <v>3.7052486204206189E-2</v>
      </c>
      <c r="V642">
        <v>0.24739617593212593</v>
      </c>
      <c r="W642">
        <v>0.12060815666741957</v>
      </c>
      <c r="X642">
        <v>2.0404056110614247E-2</v>
      </c>
      <c r="Y642">
        <v>5.5356985650281409E-3</v>
      </c>
    </row>
    <row r="643" spans="1:25" x14ac:dyDescent="0.25">
      <c r="A643" s="881"/>
      <c r="B643" s="1131">
        <v>393</v>
      </c>
      <c r="C643" s="885">
        <v>1.0285980253078837</v>
      </c>
      <c r="D643" s="885">
        <v>0.9771612329013224</v>
      </c>
      <c r="E643" s="885">
        <v>0.97876877081335123</v>
      </c>
      <c r="F643" s="885">
        <v>1.0043626627377178</v>
      </c>
      <c r="G643" s="885">
        <v>1.0128873350719831</v>
      </c>
      <c r="H643" s="885">
        <v>0.97448727322935458</v>
      </c>
      <c r="I643" s="885">
        <v>0.97320153431259004</v>
      </c>
      <c r="K643">
        <v>1.9067969981534696</v>
      </c>
      <c r="L643">
        <v>0</v>
      </c>
      <c r="M643">
        <v>1.95722542911176E-3</v>
      </c>
      <c r="N643">
        <v>0.1845548569541226</v>
      </c>
      <c r="O643">
        <v>2.4731327240287818E-2</v>
      </c>
      <c r="P643">
        <v>2.0638549385440668E-2</v>
      </c>
      <c r="Q643">
        <v>2.8390820625443084E-3</v>
      </c>
      <c r="R643">
        <v>1.945255567618571E-3</v>
      </c>
      <c r="S643">
        <v>0.19435961784967687</v>
      </c>
      <c r="T643">
        <v>1.0603313387971565</v>
      </c>
      <c r="U643">
        <v>3.6282697110706592E-2</v>
      </c>
      <c r="V643">
        <v>0.24670882396509086</v>
      </c>
      <c r="W643">
        <v>0.11194319042480251</v>
      </c>
      <c r="X643">
        <v>1.9125139823402672E-2</v>
      </c>
      <c r="Y643">
        <v>5.2943444017322268E-3</v>
      </c>
    </row>
    <row r="644" spans="1:25" x14ac:dyDescent="0.25">
      <c r="A644" s="881"/>
      <c r="B644" s="1131">
        <v>394</v>
      </c>
      <c r="C644" s="885">
        <v>0.99526256961226311</v>
      </c>
      <c r="D644" s="885">
        <v>1.0200066217511703</v>
      </c>
      <c r="E644" s="885">
        <v>0.98798067199833139</v>
      </c>
      <c r="F644" s="885">
        <v>0.98027974702324139</v>
      </c>
      <c r="G644" s="885">
        <v>0.96473963638287463</v>
      </c>
      <c r="H644" s="885">
        <v>1.0295647501760845</v>
      </c>
      <c r="I644" s="885">
        <v>0.99117218349634528</v>
      </c>
      <c r="K644">
        <v>1.9429521363774838</v>
      </c>
      <c r="L644">
        <v>0</v>
      </c>
      <c r="M644">
        <v>2.0521245122221091E-3</v>
      </c>
      <c r="N644">
        <v>0.19919830540976172</v>
      </c>
      <c r="O644">
        <v>2.502235997453417E-2</v>
      </c>
      <c r="P644">
        <v>2.0937403422466284E-2</v>
      </c>
      <c r="Q644">
        <v>2.9081552417556354E-3</v>
      </c>
      <c r="R644">
        <v>2.0402102579442547E-3</v>
      </c>
      <c r="S644">
        <v>0.20608769424158205</v>
      </c>
      <c r="T644">
        <v>1.0594792027891031</v>
      </c>
      <c r="U644">
        <v>3.7497954550281327E-2</v>
      </c>
      <c r="V644">
        <v>0.24602642961944821</v>
      </c>
      <c r="W644">
        <v>0.1200572439548673</v>
      </c>
      <c r="X644">
        <v>2.0196521660970308E-2</v>
      </c>
      <c r="Y644">
        <v>5.5527797669934834E-3</v>
      </c>
    </row>
    <row r="645" spans="1:25" x14ac:dyDescent="0.25">
      <c r="A645" s="881"/>
      <c r="B645" s="1131">
        <v>395</v>
      </c>
      <c r="C645" s="885">
        <v>0.99427612783092312</v>
      </c>
      <c r="D645" s="885">
        <v>0.9737296572983587</v>
      </c>
      <c r="E645" s="885">
        <v>1.0124163958999894</v>
      </c>
      <c r="F645" s="885">
        <v>1.0073431890862257</v>
      </c>
      <c r="G645" s="885">
        <v>1.0298085440270026</v>
      </c>
      <c r="H645" s="885">
        <v>0.98580413892887664</v>
      </c>
      <c r="I645" s="885">
        <v>0.99749430752570645</v>
      </c>
      <c r="K645">
        <v>1.9498770645480388</v>
      </c>
      <c r="L645">
        <v>0</v>
      </c>
      <c r="M645">
        <v>1.9116114559349215E-3</v>
      </c>
      <c r="N645">
        <v>0.20016726299620108</v>
      </c>
      <c r="O645">
        <v>2.5629785361380334E-2</v>
      </c>
      <c r="P645">
        <v>2.1395109588210465E-2</v>
      </c>
      <c r="Q645">
        <v>3.0429351196231131E-3</v>
      </c>
      <c r="R645">
        <v>1.9000576144966859E-3</v>
      </c>
      <c r="S645">
        <v>0.20758604844415984</v>
      </c>
      <c r="T645">
        <v>1.0572347955552535</v>
      </c>
      <c r="U645">
        <v>3.7535157041669584E-2</v>
      </c>
      <c r="V645">
        <v>0.25199351011629684</v>
      </c>
      <c r="W645">
        <v>0.11864113531120225</v>
      </c>
      <c r="X645">
        <v>2.1491548382645154E-2</v>
      </c>
      <c r="Y645">
        <v>5.1713304728356968E-3</v>
      </c>
    </row>
    <row r="646" spans="1:25" x14ac:dyDescent="0.25">
      <c r="A646" s="881"/>
      <c r="B646" s="1131">
        <v>396</v>
      </c>
      <c r="C646" s="885">
        <v>0.986675709156696</v>
      </c>
      <c r="D646" s="885">
        <v>1.0138793583443679</v>
      </c>
      <c r="E646" s="885">
        <v>1.0014523072188064</v>
      </c>
      <c r="F646" s="885">
        <v>0.96226649450817947</v>
      </c>
      <c r="G646" s="885">
        <v>1.0158700783245147</v>
      </c>
      <c r="H646" s="885">
        <v>0.99728002505266844</v>
      </c>
      <c r="I646" s="885">
        <v>1.0243384287744493</v>
      </c>
      <c r="K646">
        <v>1.9477643336532817</v>
      </c>
      <c r="L646">
        <v>0</v>
      </c>
      <c r="M646">
        <v>1.9548372575906537E-3</v>
      </c>
      <c r="N646">
        <v>0.19784299857145485</v>
      </c>
      <c r="O646">
        <v>2.5315339252819823E-2</v>
      </c>
      <c r="P646">
        <v>2.1245936713283325E-2</v>
      </c>
      <c r="Q646">
        <v>2.9811938327348026E-3</v>
      </c>
      <c r="R646">
        <v>1.9431252776152478E-3</v>
      </c>
      <c r="S646">
        <v>0.21206264984444451</v>
      </c>
      <c r="T646">
        <v>1.0582389636439999</v>
      </c>
      <c r="U646">
        <v>3.782429247479327E-2</v>
      </c>
      <c r="V646">
        <v>0.24798809196427291</v>
      </c>
      <c r="W646">
        <v>0.11814227478836654</v>
      </c>
      <c r="X646">
        <v>2.0845758092492221E-2</v>
      </c>
      <c r="Y646">
        <v>5.2885464545930905E-3</v>
      </c>
    </row>
    <row r="647" spans="1:25" x14ac:dyDescent="0.25">
      <c r="A647" s="881"/>
      <c r="B647" s="1131">
        <v>397</v>
      </c>
      <c r="C647" s="885">
        <v>0.97153170298975122</v>
      </c>
      <c r="D647" s="885">
        <v>0.99501317114365917</v>
      </c>
      <c r="E647" s="885">
        <v>1.0189414402353945</v>
      </c>
      <c r="F647" s="885">
        <v>1.0064983722037457</v>
      </c>
      <c r="G647" s="885">
        <v>1.001250381361207</v>
      </c>
      <c r="H647" s="885">
        <v>0.97473542922967882</v>
      </c>
      <c r="I647" s="885">
        <v>1.0200136706948628</v>
      </c>
      <c r="K647">
        <v>1.9599505196875606</v>
      </c>
      <c r="L647">
        <v>0</v>
      </c>
      <c r="M647">
        <v>1.887596814920713E-3</v>
      </c>
      <c r="N647">
        <v>0.20168548810000583</v>
      </c>
      <c r="O647">
        <v>2.5949956565463585E-2</v>
      </c>
      <c r="P647">
        <v>2.1597699871081781E-2</v>
      </c>
      <c r="Q647">
        <v>3.1057567658909621E-3</v>
      </c>
      <c r="R647">
        <v>1.8760411446876334E-3</v>
      </c>
      <c r="S647">
        <v>0.21391351005422382</v>
      </c>
      <c r="T647">
        <v>1.0566394135334725</v>
      </c>
      <c r="U647">
        <v>3.8413888590633646E-2</v>
      </c>
      <c r="V647">
        <v>0.25257929972510645</v>
      </c>
      <c r="W647">
        <v>0.11901424936739065</v>
      </c>
      <c r="X647">
        <v>2.1956847225481267E-2</v>
      </c>
      <c r="Y647">
        <v>5.1059655590426E-3</v>
      </c>
    </row>
    <row r="648" spans="1:25" x14ac:dyDescent="0.25">
      <c r="A648" s="881"/>
      <c r="B648" s="1131">
        <v>398</v>
      </c>
      <c r="C648" s="885">
        <v>1.0013940195191668</v>
      </c>
      <c r="D648" s="885">
        <v>0.97047915340331936</v>
      </c>
      <c r="E648" s="885">
        <v>0.98864516351642096</v>
      </c>
      <c r="F648" s="885">
        <v>0.99620883186830211</v>
      </c>
      <c r="G648" s="885">
        <v>0.99919490096627817</v>
      </c>
      <c r="H648" s="885">
        <v>0.99684135403492846</v>
      </c>
      <c r="I648" s="885">
        <v>1.0183827110193067</v>
      </c>
      <c r="K648">
        <v>1.9502272224816484</v>
      </c>
      <c r="L648">
        <v>0</v>
      </c>
      <c r="M648">
        <v>2.0211605222991997E-3</v>
      </c>
      <c r="N648">
        <v>0.1965654182043646</v>
      </c>
      <c r="O648">
        <v>2.5489929256936408E-2</v>
      </c>
      <c r="P648">
        <v>2.1095218050154671E-2</v>
      </c>
      <c r="Q648">
        <v>2.9541980757039604E-3</v>
      </c>
      <c r="R648">
        <v>2.0090826539448719E-3</v>
      </c>
      <c r="S648">
        <v>0.21190400224134068</v>
      </c>
      <c r="T648">
        <v>1.0594178622031165</v>
      </c>
      <c r="U648">
        <v>3.7268357782720411E-2</v>
      </c>
      <c r="V648">
        <v>0.25138747106673193</v>
      </c>
      <c r="W648">
        <v>0.11841610236496367</v>
      </c>
      <c r="X648">
        <v>2.0272680413851538E-2</v>
      </c>
      <c r="Y648">
        <v>5.4680606901190646E-3</v>
      </c>
    </row>
    <row r="649" spans="1:25" x14ac:dyDescent="0.25">
      <c r="A649" s="881"/>
      <c r="B649" s="1131">
        <v>399</v>
      </c>
      <c r="C649" s="885">
        <v>0.98112660691869646</v>
      </c>
      <c r="D649" s="885">
        <v>1.0211361693364269</v>
      </c>
      <c r="E649" s="885">
        <v>1.0041096233156592</v>
      </c>
      <c r="F649" s="885">
        <v>1.0291516160390908</v>
      </c>
      <c r="G649" s="885">
        <v>0.96875712186634122</v>
      </c>
      <c r="H649" s="885">
        <v>1.0165839866098803</v>
      </c>
      <c r="I649" s="885">
        <v>0.9850806721367753</v>
      </c>
      <c r="K649">
        <v>1.9498441275189815</v>
      </c>
      <c r="L649">
        <v>0</v>
      </c>
      <c r="M649">
        <v>1.9857588011401579E-3</v>
      </c>
      <c r="N649">
        <v>0.20266309971962315</v>
      </c>
      <c r="O649">
        <v>2.536901623659045E-2</v>
      </c>
      <c r="P649">
        <v>2.1208369177931972E-2</v>
      </c>
      <c r="Q649">
        <v>2.9969715414772673E-3</v>
      </c>
      <c r="R649">
        <v>1.9740817531861236E-3</v>
      </c>
      <c r="S649">
        <v>0.20636143700597712</v>
      </c>
      <c r="T649">
        <v>1.0579951575746596</v>
      </c>
      <c r="U649">
        <v>3.8038220896000584E-2</v>
      </c>
      <c r="V649">
        <v>0.24790174920120497</v>
      </c>
      <c r="W649">
        <v>0.1208011869522497</v>
      </c>
      <c r="X649">
        <v>2.114779648492043E-2</v>
      </c>
      <c r="Y649">
        <v>5.3727997762975854E-3</v>
      </c>
    </row>
    <row r="650" spans="1:25" x14ac:dyDescent="0.25">
      <c r="A650" s="881"/>
      <c r="B650" s="1131">
        <v>400</v>
      </c>
      <c r="C650" s="885">
        <v>1.0204444839821891</v>
      </c>
      <c r="D650" s="885">
        <v>0.95269423970881428</v>
      </c>
      <c r="E650" s="885">
        <v>1.0333706437778076</v>
      </c>
      <c r="F650" s="885">
        <v>0.95818050003199939</v>
      </c>
      <c r="G650" s="885">
        <v>1.0008612451742234</v>
      </c>
      <c r="H650" s="885">
        <v>1.0275769060919473</v>
      </c>
      <c r="I650" s="885">
        <v>0.99685397571845802</v>
      </c>
      <c r="K650">
        <v>1.9617267194108636</v>
      </c>
      <c r="L650">
        <v>0</v>
      </c>
      <c r="M650">
        <v>1.8776943715513757E-3</v>
      </c>
      <c r="N650">
        <v>0.20989095807484734</v>
      </c>
      <c r="O650">
        <v>2.5245385696965442E-2</v>
      </c>
      <c r="P650">
        <v>2.1683370514349851E-2</v>
      </c>
      <c r="Q650">
        <v>3.0555563061802605E-3</v>
      </c>
      <c r="R650">
        <v>1.8668236132939524E-3</v>
      </c>
      <c r="S650">
        <v>0.20841000173416083</v>
      </c>
      <c r="T650">
        <v>1.055328722802517</v>
      </c>
      <c r="U650">
        <v>3.6572602612616315E-2</v>
      </c>
      <c r="V650">
        <v>0.25102757938268805</v>
      </c>
      <c r="W650">
        <v>0.12266128886579412</v>
      </c>
      <c r="X650">
        <v>2.2781245701852935E-2</v>
      </c>
      <c r="Y650">
        <v>5.0808784771474071E-3</v>
      </c>
    </row>
    <row r="651" spans="1:25" x14ac:dyDescent="0.25">
      <c r="A651" s="881"/>
      <c r="B651" s="1131">
        <v>401</v>
      </c>
      <c r="C651" s="885">
        <v>1.0331506129645762</v>
      </c>
      <c r="D651" s="885">
        <v>1.0180898033153687</v>
      </c>
      <c r="E651" s="885">
        <v>0.96772437775543041</v>
      </c>
      <c r="F651" s="885">
        <v>0.97334738976328439</v>
      </c>
      <c r="G651" s="885">
        <v>1.000466750405925</v>
      </c>
      <c r="H651" s="885">
        <v>1.0168375732886721</v>
      </c>
      <c r="I651" s="885">
        <v>1.0322884698996344</v>
      </c>
      <c r="K651">
        <v>1.9152016834966119</v>
      </c>
      <c r="L651">
        <v>0</v>
      </c>
      <c r="M651">
        <v>2.0391090540672302E-3</v>
      </c>
      <c r="N651">
        <v>0.18581335957707809</v>
      </c>
      <c r="O651">
        <v>2.4127126962156541E-2</v>
      </c>
      <c r="P651">
        <v>2.0552832650609497E-2</v>
      </c>
      <c r="Q651">
        <v>2.74654194520267E-3</v>
      </c>
      <c r="R651">
        <v>2.0271237363641069E-3</v>
      </c>
      <c r="S651">
        <v>0.20566825602002703</v>
      </c>
      <c r="T651">
        <v>1.061357323413431</v>
      </c>
      <c r="U651">
        <v>3.6122817072941654E-2</v>
      </c>
      <c r="V651">
        <v>0.24112965577200843</v>
      </c>
      <c r="W651">
        <v>0.11357774447120657</v>
      </c>
      <c r="X651">
        <v>1.8600848360427993E-2</v>
      </c>
      <c r="Y651">
        <v>5.5171625692230011E-3</v>
      </c>
    </row>
    <row r="652" spans="1:25" x14ac:dyDescent="0.25">
      <c r="A652" s="881"/>
      <c r="B652" s="1131">
        <v>402</v>
      </c>
      <c r="C652" s="885">
        <v>1.0032617444639502</v>
      </c>
      <c r="D652" s="885">
        <v>1.0040500397209531</v>
      </c>
      <c r="E652" s="885">
        <v>1.0179756362691954</v>
      </c>
      <c r="F652" s="885">
        <v>1.025215282721234</v>
      </c>
      <c r="G652" s="885">
        <v>0.98875008992949087</v>
      </c>
      <c r="H652" s="885">
        <v>1.0269401375985805</v>
      </c>
      <c r="I652" s="885">
        <v>0.98819757344104209</v>
      </c>
      <c r="K652">
        <v>1.9477515882483005</v>
      </c>
      <c r="L652">
        <v>0</v>
      </c>
      <c r="M652">
        <v>1.9211180611566092E-3</v>
      </c>
      <c r="N652">
        <v>0.20471548403017387</v>
      </c>
      <c r="O652">
        <v>2.5017023223571046E-2</v>
      </c>
      <c r="P652">
        <v>2.1364946043815232E-2</v>
      </c>
      <c r="Q652">
        <v>2.9931113552610672E-3</v>
      </c>
      <c r="R652">
        <v>1.9099480469015133E-3</v>
      </c>
      <c r="S652">
        <v>0.20504965706813524</v>
      </c>
      <c r="T652">
        <v>1.0567274340686239</v>
      </c>
      <c r="U652">
        <v>3.7198977043480679E-2</v>
      </c>
      <c r="V652">
        <v>0.2468477706641215</v>
      </c>
      <c r="W652">
        <v>0.12088108187868193</v>
      </c>
      <c r="X652">
        <v>2.1769023917229742E-2</v>
      </c>
      <c r="Y652">
        <v>5.1982489694614702E-3</v>
      </c>
    </row>
    <row r="653" spans="1:25" x14ac:dyDescent="0.25">
      <c r="A653" s="881"/>
      <c r="B653" s="1131">
        <v>403</v>
      </c>
      <c r="C653" s="885">
        <v>0.97129119036575973</v>
      </c>
      <c r="D653" s="885">
        <v>0.99913808669634574</v>
      </c>
      <c r="E653" s="885">
        <v>1.0366950964826258</v>
      </c>
      <c r="F653" s="885">
        <v>0.99222962290140848</v>
      </c>
      <c r="G653" s="885">
        <v>1.0190434378133306</v>
      </c>
      <c r="H653" s="885">
        <v>1.0249487464945783</v>
      </c>
      <c r="I653" s="885">
        <v>0.98792365858783671</v>
      </c>
      <c r="K653">
        <v>1.9781421644235022</v>
      </c>
      <c r="L653">
        <v>0</v>
      </c>
      <c r="M653">
        <v>1.9082585216501225E-3</v>
      </c>
      <c r="N653">
        <v>0.21551189844023191</v>
      </c>
      <c r="O653">
        <v>2.5903261977171046E-2</v>
      </c>
      <c r="P653">
        <v>2.1822696464896842E-2</v>
      </c>
      <c r="Q653">
        <v>3.1560436521763124E-3</v>
      </c>
      <c r="R653">
        <v>1.8971454944099158E-3</v>
      </c>
      <c r="S653">
        <v>0.21201281054466981</v>
      </c>
      <c r="T653">
        <v>1.0550278982683017</v>
      </c>
      <c r="U653">
        <v>3.842340069702805E-2</v>
      </c>
      <c r="V653">
        <v>0.25208803989032458</v>
      </c>
      <c r="W653">
        <v>0.12566690004973685</v>
      </c>
      <c r="X653">
        <v>2.3376922824262947E-2</v>
      </c>
      <c r="Y653">
        <v>5.1634046419396376E-3</v>
      </c>
    </row>
    <row r="654" spans="1:25" x14ac:dyDescent="0.25">
      <c r="A654" s="881"/>
      <c r="B654" s="1131">
        <v>404</v>
      </c>
      <c r="C654" s="885">
        <v>0.99999094815850442</v>
      </c>
      <c r="D654" s="885">
        <v>0.98934900880907373</v>
      </c>
      <c r="E654" s="885">
        <v>1.0001196588461914</v>
      </c>
      <c r="F654" s="885">
        <v>1.0319887667290919</v>
      </c>
      <c r="G654" s="885">
        <v>1.0200475118047154</v>
      </c>
      <c r="H654" s="885">
        <v>0.99366693762056191</v>
      </c>
      <c r="I654" s="885">
        <v>1.0082180971463359</v>
      </c>
      <c r="K654">
        <v>1.9422575411144209</v>
      </c>
      <c r="L654">
        <v>0</v>
      </c>
      <c r="M654">
        <v>1.9507034245339323E-3</v>
      </c>
      <c r="N654">
        <v>0.19660554875024674</v>
      </c>
      <c r="O654">
        <v>2.5282854985732763E-2</v>
      </c>
      <c r="P654">
        <v>2.1178710219445403E-2</v>
      </c>
      <c r="Q654">
        <v>2.9683155775912123E-3</v>
      </c>
      <c r="R654">
        <v>1.938993592493011E-3</v>
      </c>
      <c r="S654">
        <v>0.20790336775572879</v>
      </c>
      <c r="T654">
        <v>1.0583613363912778</v>
      </c>
      <c r="U654">
        <v>3.7320648421510977E-2</v>
      </c>
      <c r="V654">
        <v>0.24914957948049335</v>
      </c>
      <c r="W654">
        <v>0.11751037414935743</v>
      </c>
      <c r="X654">
        <v>2.0711213845373173E-2</v>
      </c>
      <c r="Y654">
        <v>5.2773013696999953E-3</v>
      </c>
    </row>
    <row r="655" spans="1:25" x14ac:dyDescent="0.25">
      <c r="A655" s="881"/>
      <c r="B655" s="1131">
        <v>405</v>
      </c>
      <c r="C655" s="885">
        <v>1.0113123968652993</v>
      </c>
      <c r="D655" s="885">
        <v>0.9919052603906513</v>
      </c>
      <c r="E655" s="885">
        <v>0.99329367090952969</v>
      </c>
      <c r="F655" s="885">
        <v>0.9992415150494689</v>
      </c>
      <c r="G655" s="885">
        <v>0.99941296541861679</v>
      </c>
      <c r="H655" s="885">
        <v>1.0040620507262537</v>
      </c>
      <c r="I655" s="885">
        <v>0.99054586749405549</v>
      </c>
      <c r="K655">
        <v>1.9321867845534075</v>
      </c>
      <c r="L655">
        <v>0</v>
      </c>
      <c r="M655">
        <v>1.9747246189004671E-3</v>
      </c>
      <c r="N655">
        <v>0.19485549002988242</v>
      </c>
      <c r="O655">
        <v>2.4967864906715813E-2</v>
      </c>
      <c r="P655">
        <v>2.0977874495045148E-2</v>
      </c>
      <c r="Q655">
        <v>2.9117797785963928E-3</v>
      </c>
      <c r="R655">
        <v>1.9629912094729384E-3</v>
      </c>
      <c r="S655">
        <v>0.20276769976191103</v>
      </c>
      <c r="T655">
        <v>1.0589892288999811</v>
      </c>
      <c r="U655">
        <v>3.690285090600718E-2</v>
      </c>
      <c r="V655">
        <v>0.24723403705072622</v>
      </c>
      <c r="W655">
        <v>0.11701086350216512</v>
      </c>
      <c r="X655">
        <v>2.0238213659496716E-2</v>
      </c>
      <c r="Y655">
        <v>5.3426149723070472E-3</v>
      </c>
    </row>
    <row r="656" spans="1:25" x14ac:dyDescent="0.25">
      <c r="A656" s="881"/>
      <c r="B656" s="1131">
        <v>406</v>
      </c>
      <c r="C656" s="885">
        <v>1.015043912190261</v>
      </c>
      <c r="D656" s="885">
        <v>1.0139625936857586</v>
      </c>
      <c r="E656" s="885">
        <v>1.0032965441831643</v>
      </c>
      <c r="F656" s="885">
        <v>1.0316273509285632</v>
      </c>
      <c r="G656" s="885">
        <v>0.98667618575230076</v>
      </c>
      <c r="H656" s="885">
        <v>1.0179938752315105</v>
      </c>
      <c r="I656" s="885">
        <v>0.96833315073651782</v>
      </c>
      <c r="K656">
        <v>1.9240515658877606</v>
      </c>
      <c r="L656">
        <v>0</v>
      </c>
      <c r="M656">
        <v>1.9320720188084196E-3</v>
      </c>
      <c r="N656">
        <v>0.19668806860198268</v>
      </c>
      <c r="O656">
        <v>2.4606834227462137E-2</v>
      </c>
      <c r="P656">
        <v>2.099590572741199E-2</v>
      </c>
      <c r="Q656">
        <v>2.9031448783055341E-3</v>
      </c>
      <c r="R656">
        <v>1.9207319044221118E-3</v>
      </c>
      <c r="S656">
        <v>0.19684436070076686</v>
      </c>
      <c r="T656">
        <v>1.058069727540712</v>
      </c>
      <c r="U656">
        <v>3.6767188249409923E-2</v>
      </c>
      <c r="V656">
        <v>0.24402320469596162</v>
      </c>
      <c r="W656">
        <v>0.11730473130933891</v>
      </c>
      <c r="X656">
        <v>2.0632140996059766E-2</v>
      </c>
      <c r="Y656">
        <v>5.2275990747348627E-3</v>
      </c>
    </row>
    <row r="657" spans="1:25" x14ac:dyDescent="0.25">
      <c r="A657" s="881"/>
      <c r="B657" s="1131">
        <v>407</v>
      </c>
      <c r="C657" s="885">
        <v>0.98829648753309973</v>
      </c>
      <c r="D657" s="885">
        <v>0.99981098270310609</v>
      </c>
      <c r="E657" s="885">
        <v>0.99205439501013271</v>
      </c>
      <c r="F657" s="885">
        <v>0.96879173549756703</v>
      </c>
      <c r="G657" s="885">
        <v>0.98398521109831316</v>
      </c>
      <c r="H657" s="885">
        <v>1.0196728806094573</v>
      </c>
      <c r="I657" s="885">
        <v>0.9789545845110702</v>
      </c>
      <c r="K657">
        <v>1.9503622459958427</v>
      </c>
      <c r="L657">
        <v>0</v>
      </c>
      <c r="M657">
        <v>2.0494198898595973E-3</v>
      </c>
      <c r="N657">
        <v>0.20146520126113732</v>
      </c>
      <c r="O657">
        <v>2.5449069935784274E-2</v>
      </c>
      <c r="P657">
        <v>2.1044552033447378E-2</v>
      </c>
      <c r="Q657">
        <v>2.9658324909856183E-3</v>
      </c>
      <c r="R657">
        <v>2.0374224754422091E-3</v>
      </c>
      <c r="S657">
        <v>0.20588030355955064</v>
      </c>
      <c r="T657">
        <v>1.0591034189052861</v>
      </c>
      <c r="U657">
        <v>3.7762261701519015E-2</v>
      </c>
      <c r="V657">
        <v>0.24950139466375784</v>
      </c>
      <c r="W657">
        <v>0.12108315711648049</v>
      </c>
      <c r="X657">
        <v>2.0573859400293732E-2</v>
      </c>
      <c r="Y657">
        <v>5.5451923420151714E-3</v>
      </c>
    </row>
    <row r="658" spans="1:25" x14ac:dyDescent="0.25">
      <c r="A658" s="881"/>
      <c r="B658" s="1131">
        <v>408</v>
      </c>
      <c r="C658" s="885">
        <v>1.0325330334484297</v>
      </c>
      <c r="D658" s="885">
        <v>0.99714028842604452</v>
      </c>
      <c r="E658" s="885">
        <v>0.99767125150173896</v>
      </c>
      <c r="F658" s="885">
        <v>1.0008820586471998</v>
      </c>
      <c r="G658" s="885">
        <v>0.98054345756474548</v>
      </c>
      <c r="H658" s="885">
        <v>1.0157969929695843</v>
      </c>
      <c r="I658" s="885">
        <v>0.99753834903997074</v>
      </c>
      <c r="K658">
        <v>1.9220033918675636</v>
      </c>
      <c r="L658">
        <v>0</v>
      </c>
      <c r="M658">
        <v>1.9337569589955453E-3</v>
      </c>
      <c r="N658">
        <v>0.19344332235192133</v>
      </c>
      <c r="O658">
        <v>2.4391040963145007E-2</v>
      </c>
      <c r="P658">
        <v>2.0954252806923337E-2</v>
      </c>
      <c r="Q658">
        <v>2.8581367064157131E-3</v>
      </c>
      <c r="R658">
        <v>1.9223955550795649E-3</v>
      </c>
      <c r="S658">
        <v>0.20066814194284627</v>
      </c>
      <c r="T658">
        <v>1.0585863459445564</v>
      </c>
      <c r="U658">
        <v>3.6144422882312455E-2</v>
      </c>
      <c r="V658">
        <v>0.24370185531177121</v>
      </c>
      <c r="W658">
        <v>0.11581433458331152</v>
      </c>
      <c r="X658">
        <v>2.0220772794871816E-2</v>
      </c>
      <c r="Y658">
        <v>5.2321269834021593E-3</v>
      </c>
    </row>
    <row r="659" spans="1:25" x14ac:dyDescent="0.25">
      <c r="A659" s="881"/>
      <c r="B659" s="1131">
        <v>409</v>
      </c>
      <c r="C659" s="885">
        <v>1.025953079764077</v>
      </c>
      <c r="D659" s="885">
        <v>1.006828930541088</v>
      </c>
      <c r="E659" s="885">
        <v>0.99656123403733976</v>
      </c>
      <c r="F659" s="885">
        <v>1.0192245322381059</v>
      </c>
      <c r="G659" s="885">
        <v>1.0058796187933037</v>
      </c>
      <c r="H659" s="885">
        <v>1.0135005509729393</v>
      </c>
      <c r="I659" s="885">
        <v>0.99738727593978127</v>
      </c>
      <c r="K659">
        <v>1.9216992430678028</v>
      </c>
      <c r="L659">
        <v>0</v>
      </c>
      <c r="M659">
        <v>1.9370186646406808E-3</v>
      </c>
      <c r="N659">
        <v>0.19309810516815384</v>
      </c>
      <c r="O659">
        <v>2.4430293071482537E-2</v>
      </c>
      <c r="P659">
        <v>2.0939253244832375E-2</v>
      </c>
      <c r="Q659">
        <v>2.8614653101877571E-3</v>
      </c>
      <c r="R659">
        <v>1.925604671811027E-3</v>
      </c>
      <c r="S659">
        <v>0.2008047400383155</v>
      </c>
      <c r="T659">
        <v>1.0586884338705524</v>
      </c>
      <c r="U659">
        <v>3.6376235265553135E-2</v>
      </c>
      <c r="V659">
        <v>0.2434074746710744</v>
      </c>
      <c r="W659">
        <v>0.11569567018357561</v>
      </c>
      <c r="X659">
        <v>2.0168125095644574E-2</v>
      </c>
      <c r="Y659">
        <v>5.2408611412601523E-3</v>
      </c>
    </row>
    <row r="660" spans="1:25" x14ac:dyDescent="0.25">
      <c r="A660" s="881"/>
      <c r="B660" s="1131">
        <v>410</v>
      </c>
      <c r="C660" s="885">
        <v>0.99577209691456225</v>
      </c>
      <c r="D660" s="885">
        <v>1.0125532747034127</v>
      </c>
      <c r="E660" s="885">
        <v>0.9983950894565512</v>
      </c>
      <c r="F660" s="885">
        <v>0.95352676906463396</v>
      </c>
      <c r="G660" s="885">
        <v>1.0120842627167159</v>
      </c>
      <c r="H660" s="885">
        <v>0.99724006569521662</v>
      </c>
      <c r="I660" s="885">
        <v>0.99843405213385839</v>
      </c>
      <c r="K660">
        <v>1.9352864177169151</v>
      </c>
      <c r="L660">
        <v>0</v>
      </c>
      <c r="M660">
        <v>1.950672579628199E-3</v>
      </c>
      <c r="N660">
        <v>0.19555271081617054</v>
      </c>
      <c r="O660">
        <v>2.5100309626167921E-2</v>
      </c>
      <c r="P660">
        <v>2.1084001958999309E-2</v>
      </c>
      <c r="Q660">
        <v>2.9465341557236208E-3</v>
      </c>
      <c r="R660">
        <v>1.9389861369170645E-3</v>
      </c>
      <c r="S660">
        <v>0.20493043105254843</v>
      </c>
      <c r="T660">
        <v>1.0585198006574577</v>
      </c>
      <c r="U660">
        <v>3.7478767196384939E-2</v>
      </c>
      <c r="V660">
        <v>0.24685793017399327</v>
      </c>
      <c r="W660">
        <v>0.11701917219463516</v>
      </c>
      <c r="X660">
        <v>2.0531165249461542E-2</v>
      </c>
      <c r="Y660">
        <v>5.277281078079999E-3</v>
      </c>
    </row>
    <row r="661" spans="1:25" x14ac:dyDescent="0.25">
      <c r="A661" s="881"/>
      <c r="B661" s="1131">
        <v>411</v>
      </c>
      <c r="C661" s="885">
        <v>0.97731280493390349</v>
      </c>
      <c r="D661" s="885">
        <v>1.0361668797480901</v>
      </c>
      <c r="E661" s="885">
        <v>1.0272499003392017</v>
      </c>
      <c r="F661" s="885">
        <v>1.0003394940569792</v>
      </c>
      <c r="G661" s="885">
        <v>1.0322678643039569</v>
      </c>
      <c r="H661" s="885">
        <v>0.99310300061096279</v>
      </c>
      <c r="I661" s="885">
        <v>1.0024544086918261</v>
      </c>
      <c r="K661">
        <v>1.9450971529555845</v>
      </c>
      <c r="L661">
        <v>0</v>
      </c>
      <c r="M661">
        <v>1.8413140361965303E-3</v>
      </c>
      <c r="N661">
        <v>0.20190269934246677</v>
      </c>
      <c r="O661">
        <v>2.5285180457247248E-2</v>
      </c>
      <c r="P661">
        <v>2.1536934977137465E-2</v>
      </c>
      <c r="Q661">
        <v>3.0598259172915838E-3</v>
      </c>
      <c r="R661">
        <v>1.8302192813278307E-3</v>
      </c>
      <c r="S661">
        <v>0.20702090758134872</v>
      </c>
      <c r="T661">
        <v>1.0558837114414288</v>
      </c>
      <c r="U661">
        <v>3.8186658777525029E-2</v>
      </c>
      <c r="V661">
        <v>0.24664030970578463</v>
      </c>
      <c r="W661">
        <v>0.11847776233173712</v>
      </c>
      <c r="X661">
        <v>2.2133003626334934E-2</v>
      </c>
      <c r="Y661">
        <v>4.9812535521504137E-3</v>
      </c>
    </row>
    <row r="662" spans="1:25" x14ac:dyDescent="0.25">
      <c r="A662" s="881"/>
      <c r="B662" s="1131">
        <v>412</v>
      </c>
      <c r="C662" s="885">
        <v>0.97770914892623428</v>
      </c>
      <c r="D662" s="885">
        <v>1.0071146772701705</v>
      </c>
      <c r="E662" s="885">
        <v>1.0392658631061358</v>
      </c>
      <c r="F662" s="885">
        <v>0.99621831744467115</v>
      </c>
      <c r="G662" s="885">
        <v>1.045957710576995</v>
      </c>
      <c r="H662" s="885">
        <v>0.96934323928933408</v>
      </c>
      <c r="I662" s="885">
        <v>0.96194273428339916</v>
      </c>
      <c r="K662">
        <v>1.9396338510369886</v>
      </c>
      <c r="L662">
        <v>0</v>
      </c>
      <c r="M662">
        <v>1.7761534760018605E-3</v>
      </c>
      <c r="N662">
        <v>0.20213001558782367</v>
      </c>
      <c r="O662">
        <v>2.5632180548096125E-2</v>
      </c>
      <c r="P662">
        <v>2.1643550204093455E-2</v>
      </c>
      <c r="Q662">
        <v>3.1326619821428151E-3</v>
      </c>
      <c r="R662">
        <v>1.7652104055000128E-3</v>
      </c>
      <c r="S662">
        <v>0.19881730301051459</v>
      </c>
      <c r="T662">
        <v>1.0547955705505045</v>
      </c>
      <c r="U662">
        <v>3.8171178659731082E-2</v>
      </c>
      <c r="V662">
        <v>0.25012891474816207</v>
      </c>
      <c r="W662">
        <v>0.11766205058021388</v>
      </c>
      <c r="X662">
        <v>2.2727047413890408E-2</v>
      </c>
      <c r="Y662">
        <v>4.8043208223172507E-3</v>
      </c>
    </row>
    <row r="663" spans="1:25" x14ac:dyDescent="0.25">
      <c r="A663" s="881"/>
      <c r="B663" s="1131">
        <v>413</v>
      </c>
      <c r="C663" s="885">
        <v>0.97602960506809122</v>
      </c>
      <c r="D663" s="885">
        <v>1.0448763650870163</v>
      </c>
      <c r="E663" s="885">
        <v>1.0112970355701889</v>
      </c>
      <c r="F663" s="885">
        <v>0.97463155190686523</v>
      </c>
      <c r="G663" s="885">
        <v>1.0069083365775264</v>
      </c>
      <c r="H663" s="885">
        <v>0.95878688964089609</v>
      </c>
      <c r="I663" s="885">
        <v>0.99922148345008244</v>
      </c>
      <c r="K663">
        <v>1.9237979298917924</v>
      </c>
      <c r="L663">
        <v>0</v>
      </c>
      <c r="M663">
        <v>1.8334603463986186E-3</v>
      </c>
      <c r="N663">
        <v>0.19127851405482194</v>
      </c>
      <c r="O663">
        <v>2.521431000076358E-2</v>
      </c>
      <c r="P663">
        <v>2.1231337708548504E-2</v>
      </c>
      <c r="Q663">
        <v>3.0049434579698889E-3</v>
      </c>
      <c r="R663">
        <v>1.8220109893605162E-3</v>
      </c>
      <c r="S663">
        <v>0.20235774342512303</v>
      </c>
      <c r="T663">
        <v>1.0573370994393334</v>
      </c>
      <c r="U663">
        <v>3.8236863315548014E-2</v>
      </c>
      <c r="V663">
        <v>0.24580255920305788</v>
      </c>
      <c r="W663">
        <v>0.11345883655439677</v>
      </c>
      <c r="X663">
        <v>2.0928258801987489E-2</v>
      </c>
      <c r="Y663">
        <v>4.9589132872781046E-3</v>
      </c>
    </row>
    <row r="664" spans="1:25" x14ac:dyDescent="0.25">
      <c r="A664" s="881"/>
      <c r="B664" s="1131">
        <v>414</v>
      </c>
      <c r="C664" s="885">
        <v>0.98081255810947643</v>
      </c>
      <c r="D664" s="885">
        <v>1.0228348613166862</v>
      </c>
      <c r="E664" s="885">
        <v>0.99671097568423594</v>
      </c>
      <c r="F664" s="885">
        <v>0.97614711753215178</v>
      </c>
      <c r="G664" s="885">
        <v>1.0381715872224366</v>
      </c>
      <c r="H664" s="885">
        <v>1.0312991781980561</v>
      </c>
      <c r="I664" s="885">
        <v>1.0161355403565355</v>
      </c>
      <c r="K664">
        <v>1.9609185872455055</v>
      </c>
      <c r="L664">
        <v>0</v>
      </c>
      <c r="M664">
        <v>2.0451171079266866E-3</v>
      </c>
      <c r="N664">
        <v>0.20398885387153837</v>
      </c>
      <c r="O664">
        <v>2.5356331276748401E-2</v>
      </c>
      <c r="P664">
        <v>2.1206891695763019E-2</v>
      </c>
      <c r="Q664">
        <v>2.9736246502103038E-3</v>
      </c>
      <c r="R664">
        <v>2.0332612527332408E-3</v>
      </c>
      <c r="S664">
        <v>0.21429887659506164</v>
      </c>
      <c r="T664">
        <v>1.0586746593835801</v>
      </c>
      <c r="U664">
        <v>3.8050400448432331E-2</v>
      </c>
      <c r="V664">
        <v>0.24773893770287486</v>
      </c>
      <c r="W664">
        <v>0.12220836381662388</v>
      </c>
      <c r="X664">
        <v>2.0899636794317344E-2</v>
      </c>
      <c r="Y664">
        <v>5.5338668655480552E-3</v>
      </c>
    </row>
    <row r="665" spans="1:25" x14ac:dyDescent="0.25">
      <c r="A665" s="881"/>
      <c r="B665" s="1131">
        <v>415</v>
      </c>
      <c r="C665" s="885">
        <v>0.99818439574792928</v>
      </c>
      <c r="D665" s="885">
        <v>1.0169847231538018</v>
      </c>
      <c r="E665" s="885">
        <v>0.98938456716863477</v>
      </c>
      <c r="F665" s="885">
        <v>1.0259023436732617</v>
      </c>
      <c r="G665" s="885">
        <v>1.0030141148671485</v>
      </c>
      <c r="H665" s="885">
        <v>1.0324436057266193</v>
      </c>
      <c r="I665" s="885">
        <v>1.0007524197396813</v>
      </c>
      <c r="K665">
        <v>1.9454760295617541</v>
      </c>
      <c r="L665">
        <v>0</v>
      </c>
      <c r="M665">
        <v>2.0487889839230231E-3</v>
      </c>
      <c r="N665">
        <v>0.19974926849093566</v>
      </c>
      <c r="O665">
        <v>2.4985691779626954E-2</v>
      </c>
      <c r="P665">
        <v>2.0982244523891507E-2</v>
      </c>
      <c r="Q665">
        <v>2.9074235911695336E-3</v>
      </c>
      <c r="R665">
        <v>2.036929681599511E-3</v>
      </c>
      <c r="S665">
        <v>0.20804257492234041</v>
      </c>
      <c r="T665">
        <v>1.0593496264929554</v>
      </c>
      <c r="U665">
        <v>3.7388192762674001E-2</v>
      </c>
      <c r="V665">
        <v>0.24598499419819456</v>
      </c>
      <c r="W665">
        <v>0.12027280175735548</v>
      </c>
      <c r="X665">
        <v>2.028121922530916E-2</v>
      </c>
      <c r="Y665">
        <v>5.5438511196247934E-3</v>
      </c>
    </row>
    <row r="666" spans="1:25" x14ac:dyDescent="0.25">
      <c r="A666" s="881"/>
      <c r="B666" s="1131">
        <v>416</v>
      </c>
      <c r="C666" s="885">
        <v>1.0034632222893483</v>
      </c>
      <c r="D666" s="885">
        <v>0.96614323065944574</v>
      </c>
      <c r="E666" s="885">
        <v>1.0179975070777718</v>
      </c>
      <c r="F666" s="885">
        <v>0.97099857132081857</v>
      </c>
      <c r="G666" s="885">
        <v>0.9911772590223713</v>
      </c>
      <c r="H666" s="885">
        <v>0.99592485297540112</v>
      </c>
      <c r="I666" s="885">
        <v>0.98484165784666744</v>
      </c>
      <c r="K666">
        <v>1.9490180706991911</v>
      </c>
      <c r="L666">
        <v>0</v>
      </c>
      <c r="M666">
        <v>1.8985056229516204E-3</v>
      </c>
      <c r="N666">
        <v>0.20228605937894498</v>
      </c>
      <c r="O666">
        <v>2.549406418457251E-2</v>
      </c>
      <c r="P666">
        <v>2.142873743289745E-2</v>
      </c>
      <c r="Q666">
        <v>3.0420253921463196E-3</v>
      </c>
      <c r="R666">
        <v>1.8871538374454499E-3</v>
      </c>
      <c r="S666">
        <v>0.20483241330723581</v>
      </c>
      <c r="T666">
        <v>1.0567254404239677</v>
      </c>
      <c r="U666">
        <v>3.7191508140948681E-2</v>
      </c>
      <c r="V666">
        <v>0.2516619776664058</v>
      </c>
      <c r="W666">
        <v>0.11944478186755621</v>
      </c>
      <c r="X666">
        <v>2.1786204044588954E-2</v>
      </c>
      <c r="Y666">
        <v>5.1362106454311942E-3</v>
      </c>
    </row>
    <row r="667" spans="1:25" x14ac:dyDescent="0.25">
      <c r="A667" s="881"/>
      <c r="B667" s="1131">
        <v>417</v>
      </c>
      <c r="C667" s="885">
        <v>0.99163234049481452</v>
      </c>
      <c r="D667" s="885">
        <v>0.97349027249247266</v>
      </c>
      <c r="E667" s="885">
        <v>1.0007897575547808</v>
      </c>
      <c r="F667" s="885">
        <v>0.97406415283621983</v>
      </c>
      <c r="G667" s="885">
        <v>1.0034661035524111</v>
      </c>
      <c r="H667" s="885">
        <v>1.0021231631620313</v>
      </c>
      <c r="I667" s="885">
        <v>0.99642901914671711</v>
      </c>
      <c r="K667">
        <v>1.956605949724932</v>
      </c>
      <c r="L667">
        <v>0</v>
      </c>
      <c r="M667">
        <v>1.9970267970187876E-3</v>
      </c>
      <c r="N667">
        <v>0.20170601428158932</v>
      </c>
      <c r="O667">
        <v>2.5701256229257653E-2</v>
      </c>
      <c r="P667">
        <v>2.1260733251005508E-2</v>
      </c>
      <c r="Q667">
        <v>3.016042743306426E-3</v>
      </c>
      <c r="R667">
        <v>1.9851534620271235E-3</v>
      </c>
      <c r="S667">
        <v>0.20962246307623975</v>
      </c>
      <c r="T667">
        <v>1.0582997947667778</v>
      </c>
      <c r="U667">
        <v>3.763522938581694E-2</v>
      </c>
      <c r="V667">
        <v>0.25240836635137726</v>
      </c>
      <c r="W667">
        <v>0.12050365549015929</v>
      </c>
      <c r="X667">
        <v>2.1061334166418141E-2</v>
      </c>
      <c r="Y667">
        <v>5.4029333179749488E-3</v>
      </c>
    </row>
    <row r="668" spans="1:25" x14ac:dyDescent="0.25">
      <c r="A668" s="881"/>
      <c r="B668" s="1131">
        <v>418</v>
      </c>
      <c r="C668" s="885">
        <v>1.0184331778845861</v>
      </c>
      <c r="D668" s="885">
        <v>1.0199055453450196</v>
      </c>
      <c r="E668" s="885">
        <v>0.97961379284583261</v>
      </c>
      <c r="F668" s="885">
        <v>0.98733583919591461</v>
      </c>
      <c r="G668" s="885">
        <v>1.0045570894809579</v>
      </c>
      <c r="H668" s="885">
        <v>0.99732967826728891</v>
      </c>
      <c r="I668" s="885">
        <v>1.0155741373310616</v>
      </c>
      <c r="K668">
        <v>1.9157363771073701</v>
      </c>
      <c r="L668">
        <v>0</v>
      </c>
      <c r="M668">
        <v>1.9771884014658692E-3</v>
      </c>
      <c r="N668">
        <v>0.18695178982370403</v>
      </c>
      <c r="O668">
        <v>2.44542667480394E-2</v>
      </c>
      <c r="P668">
        <v>2.0722004751571373E-2</v>
      </c>
      <c r="Q668">
        <v>2.8180941704636139E-3</v>
      </c>
      <c r="R668">
        <v>1.9653382697794541E-3</v>
      </c>
      <c r="S668">
        <v>0.20314511170367722</v>
      </c>
      <c r="T668">
        <v>1.0602530338659548</v>
      </c>
      <c r="U668">
        <v>3.6644829932225717E-2</v>
      </c>
      <c r="V668">
        <v>0.24286169570001356</v>
      </c>
      <c r="W668">
        <v>0.11333055986341327</v>
      </c>
      <c r="X668">
        <v>1.9217837783240065E-2</v>
      </c>
      <c r="Y668">
        <v>5.3490028967531624E-3</v>
      </c>
    </row>
    <row r="669" spans="1:25" x14ac:dyDescent="0.25">
      <c r="A669" s="881"/>
      <c r="B669" s="1131">
        <v>419</v>
      </c>
      <c r="C669" s="885">
        <v>0.9752568198770305</v>
      </c>
      <c r="D669" s="885">
        <v>0.98096519220730949</v>
      </c>
      <c r="E669" s="885">
        <v>1.0107414206660241</v>
      </c>
      <c r="F669" s="885">
        <v>1.0075442368738878</v>
      </c>
      <c r="G669" s="885">
        <v>0.99902905552066779</v>
      </c>
      <c r="H669" s="885">
        <v>1.0104765004881244</v>
      </c>
      <c r="I669" s="885">
        <v>1.0435568126309371</v>
      </c>
      <c r="K669">
        <v>1.9824977792718725</v>
      </c>
      <c r="L669">
        <v>0</v>
      </c>
      <c r="M669">
        <v>1.9973890456781427E-3</v>
      </c>
      <c r="N669">
        <v>0.20809327568758729</v>
      </c>
      <c r="O669">
        <v>2.603373206305365E-2</v>
      </c>
      <c r="P669">
        <v>2.162331197630242E-2</v>
      </c>
      <c r="Q669">
        <v>3.0873368346700301E-3</v>
      </c>
      <c r="R669">
        <v>1.9856054207926617E-3</v>
      </c>
      <c r="S669">
        <v>0.22335117426511897</v>
      </c>
      <c r="T669">
        <v>1.0573878980027394</v>
      </c>
      <c r="U669">
        <v>3.826716188011129E-2</v>
      </c>
      <c r="V669">
        <v>0.25385420545797638</v>
      </c>
      <c r="W669">
        <v>0.12347926261356719</v>
      </c>
      <c r="X669">
        <v>2.1928040714885008E-2</v>
      </c>
      <c r="Y669">
        <v>5.4041634007465774E-3</v>
      </c>
    </row>
    <row r="670" spans="1:25" x14ac:dyDescent="0.25">
      <c r="A670" s="881"/>
      <c r="B670" s="1131">
        <v>420</v>
      </c>
      <c r="C670" s="885">
        <v>0.98658690703073926</v>
      </c>
      <c r="D670" s="885">
        <v>1.004948308704197</v>
      </c>
      <c r="E670" s="885">
        <v>0.98830398763148242</v>
      </c>
      <c r="F670" s="885">
        <v>0.99689057250776025</v>
      </c>
      <c r="G670" s="885">
        <v>1.0048016963658326</v>
      </c>
      <c r="H670" s="885">
        <v>0.9920211534361284</v>
      </c>
      <c r="I670" s="885">
        <v>0.98391580386455146</v>
      </c>
      <c r="K670">
        <v>1.9379135477730369</v>
      </c>
      <c r="L670">
        <v>0</v>
      </c>
      <c r="M670">
        <v>2.0080165806501799E-3</v>
      </c>
      <c r="N670">
        <v>0.19507120136575867</v>
      </c>
      <c r="O670">
        <v>2.5428598093307241E-2</v>
      </c>
      <c r="P670">
        <v>2.0960106826230843E-2</v>
      </c>
      <c r="Q670">
        <v>2.9532891551715401E-3</v>
      </c>
      <c r="R670">
        <v>1.9959295945959875E-3</v>
      </c>
      <c r="S670">
        <v>0.20401096310113279</v>
      </c>
      <c r="T670">
        <v>1.0594493547113339</v>
      </c>
      <c r="U670">
        <v>3.7827697017830134E-2</v>
      </c>
      <c r="V670">
        <v>0.24910391895402378</v>
      </c>
      <c r="W670">
        <v>0.11754360638143915</v>
      </c>
      <c r="X670">
        <v>2.0144636754383966E-2</v>
      </c>
      <c r="Y670">
        <v>5.4322623984762487E-3</v>
      </c>
    </row>
    <row r="671" spans="1:25" x14ac:dyDescent="0.25">
      <c r="A671" s="881"/>
      <c r="B671" s="1131">
        <v>421</v>
      </c>
      <c r="C671" s="885">
        <v>1.0122153308409696</v>
      </c>
      <c r="D671" s="885">
        <v>0.99103562706848869</v>
      </c>
      <c r="E671" s="885">
        <v>0.99994889554779098</v>
      </c>
      <c r="F671" s="885">
        <v>1.007753563920023</v>
      </c>
      <c r="G671" s="885">
        <v>0.99399694156656515</v>
      </c>
      <c r="H671" s="885">
        <v>1.0368323075247445</v>
      </c>
      <c r="I671" s="885">
        <v>0.96890767700687264</v>
      </c>
      <c r="K671">
        <v>1.9426619283929041</v>
      </c>
      <c r="L671">
        <v>0</v>
      </c>
      <c r="M671">
        <v>2.0098882349894299E-3</v>
      </c>
      <c r="N671">
        <v>0.20251378328991962</v>
      </c>
      <c r="O671">
        <v>2.4956438326149404E-2</v>
      </c>
      <c r="P671">
        <v>2.1055336772886454E-2</v>
      </c>
      <c r="Q671">
        <v>2.929839364955506E-3</v>
      </c>
      <c r="R671">
        <v>1.9983240473813728E-3</v>
      </c>
      <c r="S671">
        <v>0.20142991730130996</v>
      </c>
      <c r="T671">
        <v>1.0583770220281004</v>
      </c>
      <c r="U671">
        <v>3.6869932181239004E-2</v>
      </c>
      <c r="V671">
        <v>0.24721573756187529</v>
      </c>
      <c r="W671">
        <v>0.12105584641716448</v>
      </c>
      <c r="X671">
        <v>2.0830860027281708E-2</v>
      </c>
      <c r="Y671">
        <v>5.4387793096269191E-3</v>
      </c>
    </row>
    <row r="672" spans="1:25" x14ac:dyDescent="0.25">
      <c r="A672" s="881"/>
      <c r="B672" s="1131">
        <v>422</v>
      </c>
      <c r="C672" s="885">
        <v>0.98571408821494033</v>
      </c>
      <c r="D672" s="885">
        <v>0.98392895128357494</v>
      </c>
      <c r="E672" s="885">
        <v>0.99426840115254389</v>
      </c>
      <c r="F672" s="885">
        <v>1.0410097781107466</v>
      </c>
      <c r="G672" s="885">
        <v>1.0095568173258498</v>
      </c>
      <c r="H672" s="885">
        <v>1.0086321791785842</v>
      </c>
      <c r="I672" s="885">
        <v>0.98706444551197459</v>
      </c>
      <c r="K672">
        <v>1.9563108733001864</v>
      </c>
      <c r="L672">
        <v>0</v>
      </c>
      <c r="M672">
        <v>2.0391993147125722E-3</v>
      </c>
      <c r="N672">
        <v>0.20183505619768052</v>
      </c>
      <c r="O672">
        <v>2.5719016811606332E-2</v>
      </c>
      <c r="P672">
        <v>2.1147056756649036E-2</v>
      </c>
      <c r="Q672">
        <v>3.0006318666378814E-3</v>
      </c>
      <c r="R672">
        <v>2.027144492370651E-3</v>
      </c>
      <c r="S672">
        <v>0.20854042010623694</v>
      </c>
      <c r="T672">
        <v>1.058899456772443</v>
      </c>
      <c r="U672">
        <v>3.7861192253527999E-2</v>
      </c>
      <c r="V672">
        <v>0.25191246439515846</v>
      </c>
      <c r="W672">
        <v>0.12112093737548732</v>
      </c>
      <c r="X672">
        <v>2.0769476526867666E-2</v>
      </c>
      <c r="Y672">
        <v>5.5172190602305977E-3</v>
      </c>
    </row>
    <row r="673" spans="1:25" x14ac:dyDescent="0.25">
      <c r="A673" s="881"/>
      <c r="B673" s="1131">
        <v>423</v>
      </c>
      <c r="C673" s="885">
        <v>1.0017843296683102</v>
      </c>
      <c r="D673" s="885">
        <v>0.9863528346063859</v>
      </c>
      <c r="E673" s="885">
        <v>1.0139768409254626</v>
      </c>
      <c r="F673" s="885">
        <v>0.99269480760793649</v>
      </c>
      <c r="G673" s="885">
        <v>1.0134149976465832</v>
      </c>
      <c r="H673" s="885">
        <v>1.0233014250377455</v>
      </c>
      <c r="I673" s="885">
        <v>1.0223488037679334</v>
      </c>
      <c r="K673">
        <v>1.9609797922641865</v>
      </c>
      <c r="L673">
        <v>0</v>
      </c>
      <c r="M673">
        <v>1.9504775067012647E-3</v>
      </c>
      <c r="N673">
        <v>0.205274573524037</v>
      </c>
      <c r="O673">
        <v>2.5275576390095481E-2</v>
      </c>
      <c r="P673">
        <v>2.1462264306798231E-2</v>
      </c>
      <c r="Q673">
        <v>3.0082814531910097E-3</v>
      </c>
      <c r="R673">
        <v>1.9391105067402459E-3</v>
      </c>
      <c r="S673">
        <v>0.21381496331592886</v>
      </c>
      <c r="T673">
        <v>1.0570922603964195</v>
      </c>
      <c r="U673">
        <v>3.7253837473454642E-2</v>
      </c>
      <c r="V673">
        <v>0.24927159931980769</v>
      </c>
      <c r="W673">
        <v>0.12153963896620817</v>
      </c>
      <c r="X673">
        <v>2.172054454646543E-2</v>
      </c>
      <c r="Y673">
        <v>5.2776195717401985E-3</v>
      </c>
    </row>
    <row r="674" spans="1:25" x14ac:dyDescent="0.25">
      <c r="A674" s="881"/>
      <c r="B674" s="1131">
        <v>424</v>
      </c>
      <c r="C674" s="885">
        <v>0.98353306000211804</v>
      </c>
      <c r="D674" s="885">
        <v>0.99965484809768312</v>
      </c>
      <c r="E674" s="885">
        <v>0.99878019323668543</v>
      </c>
      <c r="F674" s="885">
        <v>0.99341710666270611</v>
      </c>
      <c r="G674" s="885">
        <v>0.994127540561343</v>
      </c>
      <c r="H674" s="885">
        <v>0.99786892836913288</v>
      </c>
      <c r="I674" s="885">
        <v>0.97639975206738516</v>
      </c>
      <c r="K674">
        <v>1.9454604282087533</v>
      </c>
      <c r="L674">
        <v>0</v>
      </c>
      <c r="M674">
        <v>1.987139756129754E-3</v>
      </c>
      <c r="N674">
        <v>0.19944916520725003</v>
      </c>
      <c r="O674">
        <v>2.5574301402946181E-2</v>
      </c>
      <c r="P674">
        <v>2.113118092840539E-2</v>
      </c>
      <c r="Q674">
        <v>3.0006636886439151E-3</v>
      </c>
      <c r="R674">
        <v>1.9752528784243127E-3</v>
      </c>
      <c r="S674">
        <v>0.20416140367188532</v>
      </c>
      <c r="T674">
        <v>1.0584844048583422</v>
      </c>
      <c r="U674">
        <v>3.7945151127748121E-2</v>
      </c>
      <c r="V674">
        <v>0.25021094065403859</v>
      </c>
      <c r="W674">
        <v>0.11931934279447286</v>
      </c>
      <c r="X674">
        <v>2.0819773559588934E-2</v>
      </c>
      <c r="Y674">
        <v>5.375987193134606E-3</v>
      </c>
    </row>
    <row r="675" spans="1:25" x14ac:dyDescent="0.25">
      <c r="A675" s="881"/>
      <c r="B675" s="1131">
        <v>425</v>
      </c>
      <c r="C675" s="885">
        <v>1.0243754279269599</v>
      </c>
      <c r="D675" s="885">
        <v>0.96437723386081309</v>
      </c>
      <c r="E675" s="885">
        <v>1.0067832233630185</v>
      </c>
      <c r="F675" s="885">
        <v>1.002345929866802</v>
      </c>
      <c r="G675" s="885">
        <v>0.99394380876401667</v>
      </c>
      <c r="H675" s="885">
        <v>0.99001320830597273</v>
      </c>
      <c r="I675" s="885">
        <v>0.9901191892149519</v>
      </c>
      <c r="K675">
        <v>1.9304456683071802</v>
      </c>
      <c r="L675">
        <v>0</v>
      </c>
      <c r="M675">
        <v>1.8946959769716686E-3</v>
      </c>
      <c r="N675">
        <v>0.19495760538977161</v>
      </c>
      <c r="O675">
        <v>2.4996351149039968E-2</v>
      </c>
      <c r="P675">
        <v>2.1169988919476794E-2</v>
      </c>
      <c r="Q675">
        <v>2.9490489861208617E-3</v>
      </c>
      <c r="R675">
        <v>1.883300789239518E-3</v>
      </c>
      <c r="S675">
        <v>0.20130769641184973</v>
      </c>
      <c r="T675">
        <v>1.0577501352990066</v>
      </c>
      <c r="U675">
        <v>3.6432258704645504E-2</v>
      </c>
      <c r="V675">
        <v>0.24893528309398336</v>
      </c>
      <c r="W675">
        <v>0.11599659027422003</v>
      </c>
      <c r="X675">
        <v>2.0836381348424735E-2</v>
      </c>
      <c r="Y675">
        <v>5.1257239183716483E-3</v>
      </c>
    </row>
    <row r="676" spans="1:25" x14ac:dyDescent="0.25">
      <c r="A676" s="881"/>
      <c r="B676" s="1131">
        <v>426</v>
      </c>
      <c r="C676" s="885">
        <v>1.0057756880132143</v>
      </c>
      <c r="D676" s="885">
        <v>1.0023186775902442</v>
      </c>
      <c r="E676" s="885">
        <v>1.0064103112808029</v>
      </c>
      <c r="F676" s="885">
        <v>0.97923912511446043</v>
      </c>
      <c r="G676" s="885">
        <v>0.99459108683417563</v>
      </c>
      <c r="H676" s="885">
        <v>0.98482034375759231</v>
      </c>
      <c r="I676" s="885">
        <v>0.98321862481710032</v>
      </c>
      <c r="K676">
        <v>1.924961601930959</v>
      </c>
      <c r="L676">
        <v>0</v>
      </c>
      <c r="M676">
        <v>1.8847205560990283E-3</v>
      </c>
      <c r="N676">
        <v>0.19369705776290108</v>
      </c>
      <c r="O676">
        <v>2.4975811104836695E-2</v>
      </c>
      <c r="P676">
        <v>2.1118581655105922E-2</v>
      </c>
      <c r="Q676">
        <v>2.9535190946840617E-3</v>
      </c>
      <c r="R676">
        <v>1.8732948541588278E-3</v>
      </c>
      <c r="S676">
        <v>0.19950584208743727</v>
      </c>
      <c r="T676">
        <v>1.0577842941251494</v>
      </c>
      <c r="U676">
        <v>3.7105997933434456E-2</v>
      </c>
      <c r="V676">
        <v>0.24670752162308249</v>
      </c>
      <c r="W676">
        <v>0.11527586024570984</v>
      </c>
      <c r="X676">
        <v>2.0750050939018015E-2</v>
      </c>
      <c r="Y676">
        <v>5.0984910615376215E-3</v>
      </c>
    </row>
    <row r="677" spans="1:25" x14ac:dyDescent="0.25">
      <c r="A677" s="881"/>
      <c r="B677" s="1131">
        <v>427</v>
      </c>
      <c r="C677" s="885">
        <v>0.98690603827326839</v>
      </c>
      <c r="D677" s="885">
        <v>1.0179591713800613</v>
      </c>
      <c r="E677" s="885">
        <v>1.0134921740354559</v>
      </c>
      <c r="F677" s="885">
        <v>1.0066181931202856</v>
      </c>
      <c r="G677" s="885">
        <v>1.0089337388293211</v>
      </c>
      <c r="H677" s="885">
        <v>0.97551336404963562</v>
      </c>
      <c r="I677" s="885">
        <v>1.0010659905137591</v>
      </c>
      <c r="K677">
        <v>1.9339824699286692</v>
      </c>
      <c r="L677">
        <v>0</v>
      </c>
      <c r="M677">
        <v>1.8601175233374969E-3</v>
      </c>
      <c r="N677">
        <v>0.19541137408916973</v>
      </c>
      <c r="O677">
        <v>2.5259279480925888E-2</v>
      </c>
      <c r="P677">
        <v>2.1310883672001939E-2</v>
      </c>
      <c r="Q677">
        <v>3.011496991388681E-3</v>
      </c>
      <c r="R677">
        <v>1.8487212196843525E-3</v>
      </c>
      <c r="S677">
        <v>0.20460079615407392</v>
      </c>
      <c r="T677">
        <v>1.0571365209661832</v>
      </c>
      <c r="U677">
        <v>3.7815464850345884E-2</v>
      </c>
      <c r="V677">
        <v>0.24745449805032099</v>
      </c>
      <c r="W677">
        <v>0.11573781380879736</v>
      </c>
      <c r="X677">
        <v>2.1224128439919769E-2</v>
      </c>
      <c r="Y677">
        <v>5.0316097291945271E-3</v>
      </c>
    </row>
    <row r="678" spans="1:25" x14ac:dyDescent="0.25">
      <c r="A678" s="881"/>
      <c r="B678" s="1131">
        <v>428</v>
      </c>
      <c r="C678" s="885">
        <v>0.98476783814482716</v>
      </c>
      <c r="D678" s="885">
        <v>0.98553819660018993</v>
      </c>
      <c r="E678" s="885">
        <v>1.0074655129460763</v>
      </c>
      <c r="F678" s="885">
        <v>1.0078113287883816</v>
      </c>
      <c r="G678" s="885">
        <v>0.97336457479573424</v>
      </c>
      <c r="H678" s="885">
        <v>1.020002736682468</v>
      </c>
      <c r="I678" s="885">
        <v>1.0100720738644475</v>
      </c>
      <c r="K678">
        <v>1.9691818649827759</v>
      </c>
      <c r="L678">
        <v>0</v>
      </c>
      <c r="M678">
        <v>2.0059584602405453E-3</v>
      </c>
      <c r="N678">
        <v>0.20687944255574764</v>
      </c>
      <c r="O678">
        <v>2.5722869521802579E-2</v>
      </c>
      <c r="P678">
        <v>2.1422718800080613E-2</v>
      </c>
      <c r="Q678">
        <v>3.0414869164269165E-3</v>
      </c>
      <c r="R678">
        <v>1.9942309973052129E-3</v>
      </c>
      <c r="S678">
        <v>0.21463457517949416</v>
      </c>
      <c r="T678">
        <v>1.0576876514693592</v>
      </c>
      <c r="U678">
        <v>3.7897572560069995E-2</v>
      </c>
      <c r="V678">
        <v>0.25184035265149407</v>
      </c>
      <c r="W678">
        <v>0.12303272220487743</v>
      </c>
      <c r="X678">
        <v>2.1606561209766072E-2</v>
      </c>
      <c r="Y678">
        <v>5.4276393765932077E-3</v>
      </c>
    </row>
    <row r="679" spans="1:25" x14ac:dyDescent="0.25">
      <c r="A679" s="881"/>
      <c r="B679" s="1131">
        <v>429</v>
      </c>
      <c r="C679" s="885">
        <v>1.0159384222382155</v>
      </c>
      <c r="D679" s="885">
        <v>0.97208420698426423</v>
      </c>
      <c r="E679" s="885">
        <v>1.0088488832251945</v>
      </c>
      <c r="F679" s="885">
        <v>0.98719131109327551</v>
      </c>
      <c r="G679" s="885">
        <v>0.9906704298396668</v>
      </c>
      <c r="H679" s="885">
        <v>0.97620120402024135</v>
      </c>
      <c r="I679" s="885">
        <v>0.9991684442711477</v>
      </c>
      <c r="K679">
        <v>1.9297229269638327</v>
      </c>
      <c r="L679">
        <v>0</v>
      </c>
      <c r="M679">
        <v>1.8681888041438197E-3</v>
      </c>
      <c r="N679">
        <v>0.19345150771794592</v>
      </c>
      <c r="O679">
        <v>2.5104383340568484E-2</v>
      </c>
      <c r="P679">
        <v>2.1225363499836926E-2</v>
      </c>
      <c r="Q679">
        <v>2.9695948898495008E-3</v>
      </c>
      <c r="R679">
        <v>1.8567876891085178E-3</v>
      </c>
      <c r="S679">
        <v>0.20269011698409023</v>
      </c>
      <c r="T679">
        <v>1.0575610186672832</v>
      </c>
      <c r="U679">
        <v>3.673481559905617E-2</v>
      </c>
      <c r="V679">
        <v>0.24910931532321354</v>
      </c>
      <c r="W679">
        <v>0.11493880082783142</v>
      </c>
      <c r="X679">
        <v>2.0895847229334477E-2</v>
      </c>
      <c r="Y679">
        <v>5.053563999856174E-3</v>
      </c>
    </row>
    <row r="680" spans="1:25" x14ac:dyDescent="0.25">
      <c r="A680" s="881"/>
      <c r="B680" s="1131">
        <v>430</v>
      </c>
      <c r="C680" s="885">
        <v>1.0360044111389171</v>
      </c>
      <c r="D680" s="885">
        <v>1.0323164480120859</v>
      </c>
      <c r="E680" s="885">
        <v>0.97781841998814456</v>
      </c>
      <c r="F680" s="885">
        <v>0.99902352234446457</v>
      </c>
      <c r="G680" s="885">
        <v>1.0355979945413789</v>
      </c>
      <c r="H680" s="885">
        <v>0.98535276074658629</v>
      </c>
      <c r="I680" s="885">
        <v>0.98663856991451937</v>
      </c>
      <c r="K680">
        <v>1.8878776621045694</v>
      </c>
      <c r="L680">
        <v>0</v>
      </c>
      <c r="M680">
        <v>1.9161071421571333E-3</v>
      </c>
      <c r="N680">
        <v>0.18015142739707241</v>
      </c>
      <c r="O680">
        <v>2.3896520317632255E-2</v>
      </c>
      <c r="P680">
        <v>2.0485260414407649E-2</v>
      </c>
      <c r="Q680">
        <v>2.7510881287425909E-3</v>
      </c>
      <c r="R680">
        <v>1.9044738722195809E-3</v>
      </c>
      <c r="S680">
        <v>0.19180339343552508</v>
      </c>
      <c r="T680">
        <v>1.0604194372167661</v>
      </c>
      <c r="U680">
        <v>3.602331244892025E-2</v>
      </c>
      <c r="V680">
        <v>0.23912744664644953</v>
      </c>
      <c r="W680">
        <v>0.10934442445777186</v>
      </c>
      <c r="X680">
        <v>1.8703634840682978E-2</v>
      </c>
      <c r="Y680">
        <v>5.1833500705384507E-3</v>
      </c>
    </row>
    <row r="681" spans="1:25" x14ac:dyDescent="0.25">
      <c r="A681" s="881"/>
      <c r="B681" s="1131">
        <v>431</v>
      </c>
      <c r="C681" s="885">
        <v>0.97306651543028766</v>
      </c>
      <c r="D681" s="885">
        <v>0.9992507682333881</v>
      </c>
      <c r="E681" s="885">
        <v>0.98289972847080054</v>
      </c>
      <c r="F681" s="885">
        <v>0.95899668200176102</v>
      </c>
      <c r="G681" s="885">
        <v>0.97604876195206125</v>
      </c>
      <c r="H681" s="885">
        <v>1.016404948744619</v>
      </c>
      <c r="I681" s="885">
        <v>1.0073354932187544</v>
      </c>
      <c r="K681">
        <v>1.9653261778964672</v>
      </c>
      <c r="L681">
        <v>0</v>
      </c>
      <c r="M681">
        <v>2.1157210691439988E-3</v>
      </c>
      <c r="N681">
        <v>0.20213367727534762</v>
      </c>
      <c r="O681">
        <v>2.5854558962889261E-2</v>
      </c>
      <c r="P681">
        <v>2.1071326585772925E-2</v>
      </c>
      <c r="Q681">
        <v>2.9851805519162666E-3</v>
      </c>
      <c r="R681">
        <v>2.1032961848779994E-3</v>
      </c>
      <c r="S681">
        <v>0.21487767280218725</v>
      </c>
      <c r="T681">
        <v>1.0599488021345631</v>
      </c>
      <c r="U681">
        <v>3.8353298576319785E-2</v>
      </c>
      <c r="V681">
        <v>0.25181005446553001</v>
      </c>
      <c r="W681">
        <v>0.12225502845795848</v>
      </c>
      <c r="X681">
        <v>2.0324524104411212E-2</v>
      </c>
      <c r="Y681">
        <v>5.7244788638369142E-3</v>
      </c>
    </row>
    <row r="682" spans="1:25" x14ac:dyDescent="0.25">
      <c r="A682" s="881"/>
      <c r="B682" s="1131">
        <v>432</v>
      </c>
      <c r="C682" s="885">
        <v>1.016129662140562</v>
      </c>
      <c r="D682" s="885">
        <v>0.97140946731865063</v>
      </c>
      <c r="E682" s="885">
        <v>0.9880204696775049</v>
      </c>
      <c r="F682" s="885">
        <v>0.96024212838690992</v>
      </c>
      <c r="G682" s="885">
        <v>0.96495754807061318</v>
      </c>
      <c r="H682" s="885">
        <v>0.99430097083429103</v>
      </c>
      <c r="I682" s="885">
        <v>1.0369575618232754</v>
      </c>
      <c r="K682">
        <v>1.9414322328460354</v>
      </c>
      <c r="L682">
        <v>0</v>
      </c>
      <c r="M682">
        <v>1.9884384222024604E-3</v>
      </c>
      <c r="N682">
        <v>0.1930042309813457</v>
      </c>
      <c r="O682">
        <v>2.5108321170190767E-2</v>
      </c>
      <c r="P682">
        <v>2.1053833145472472E-2</v>
      </c>
      <c r="Q682">
        <v>2.9083292117217255E-3</v>
      </c>
      <c r="R682">
        <v>1.9765249316696519E-3</v>
      </c>
      <c r="S682">
        <v>0.21227995258291096</v>
      </c>
      <c r="T682">
        <v>1.0594755285000286</v>
      </c>
      <c r="U682">
        <v>3.672790195131051E-2</v>
      </c>
      <c r="V682">
        <v>0.24916927791213692</v>
      </c>
      <c r="W682">
        <v>0.11632086777591372</v>
      </c>
      <c r="X682">
        <v>2.0016453802801697E-2</v>
      </c>
      <c r="Y682">
        <v>5.379449302736177E-3</v>
      </c>
    </row>
    <row r="683" spans="1:25" x14ac:dyDescent="0.25">
      <c r="A683" s="881"/>
      <c r="B683" s="1131">
        <v>433</v>
      </c>
      <c r="C683" s="885">
        <v>1.0096337658862098</v>
      </c>
      <c r="D683" s="885">
        <v>1.0052509972433112</v>
      </c>
      <c r="E683" s="885">
        <v>0.9863705586154442</v>
      </c>
      <c r="F683" s="885">
        <v>1.0432707785788566</v>
      </c>
      <c r="G683" s="885">
        <v>1.0296164072859721</v>
      </c>
      <c r="H683" s="885">
        <v>0.98421188119490333</v>
      </c>
      <c r="I683" s="885">
        <v>0.97937424045903565</v>
      </c>
      <c r="K683">
        <v>1.9160545826115782</v>
      </c>
      <c r="L683">
        <v>0</v>
      </c>
      <c r="M683">
        <v>1.9543692307409186E-3</v>
      </c>
      <c r="N683">
        <v>0.18871080803667734</v>
      </c>
      <c r="O683">
        <v>2.4844439583723798E-2</v>
      </c>
      <c r="P683">
        <v>2.0789789946279818E-2</v>
      </c>
      <c r="Q683">
        <v>2.8798633578946166E-3</v>
      </c>
      <c r="R683">
        <v>1.9425115783362943E-3</v>
      </c>
      <c r="S683">
        <v>0.19764180606389639</v>
      </c>
      <c r="T683">
        <v>1.0596279068305186</v>
      </c>
      <c r="U683">
        <v>3.6964206093244974E-2</v>
      </c>
      <c r="V683">
        <v>0.24581338444103992</v>
      </c>
      <c r="W683">
        <v>0.11386291034012172</v>
      </c>
      <c r="X683">
        <v>1.9644449403122551E-2</v>
      </c>
      <c r="Y683">
        <v>5.2868761674616923E-3</v>
      </c>
    </row>
    <row r="684" spans="1:25" x14ac:dyDescent="0.25">
      <c r="A684" s="881"/>
      <c r="B684" s="1131">
        <v>434</v>
      </c>
      <c r="C684" s="885">
        <v>0.98528995304554789</v>
      </c>
      <c r="D684" s="885">
        <v>1.000385352263778</v>
      </c>
      <c r="E684" s="885">
        <v>0.96264584964806243</v>
      </c>
      <c r="F684" s="885">
        <v>1.0265800341256004</v>
      </c>
      <c r="G684" s="885">
        <v>1.0419850028348054</v>
      </c>
      <c r="H684" s="885">
        <v>0.9808853562382529</v>
      </c>
      <c r="I684" s="885">
        <v>1.0036631827769928</v>
      </c>
      <c r="K684">
        <v>1.9350249972172704</v>
      </c>
      <c r="L684">
        <v>0</v>
      </c>
      <c r="M684">
        <v>2.1027575509730881E-3</v>
      </c>
      <c r="N684">
        <v>0.18856246366628937</v>
      </c>
      <c r="O684">
        <v>2.5519470146430787E-2</v>
      </c>
      <c r="P684">
        <v>2.0644602622490203E-2</v>
      </c>
      <c r="Q684">
        <v>2.8864428639136536E-3</v>
      </c>
      <c r="R684">
        <v>2.0899606203408721E-3</v>
      </c>
      <c r="S684">
        <v>0.20766719098603628</v>
      </c>
      <c r="T684">
        <v>1.0618306840896712</v>
      </c>
      <c r="U684">
        <v>3.7877490261175623E-2</v>
      </c>
      <c r="V684">
        <v>0.24986860547093193</v>
      </c>
      <c r="W684">
        <v>0.11566927458192125</v>
      </c>
      <c r="X684">
        <v>1.882338560580548E-2</v>
      </c>
      <c r="Y684">
        <v>5.6881838532345172E-3</v>
      </c>
    </row>
    <row r="685" spans="1:25" x14ac:dyDescent="0.25">
      <c r="A685" s="881"/>
      <c r="B685" s="1131">
        <v>435</v>
      </c>
      <c r="C685" s="885">
        <v>0.98057849836227196</v>
      </c>
      <c r="D685" s="885">
        <v>1.0200181845570051</v>
      </c>
      <c r="E685" s="885">
        <v>1.0068174644104775</v>
      </c>
      <c r="F685" s="885">
        <v>1.0405168522266701</v>
      </c>
      <c r="G685" s="885">
        <v>1.0060928192347618</v>
      </c>
      <c r="H685" s="885">
        <v>0.95879475928047231</v>
      </c>
      <c r="I685" s="885">
        <v>0.98585215049832098</v>
      </c>
      <c r="K685">
        <v>1.9261703258450706</v>
      </c>
      <c r="L685">
        <v>0</v>
      </c>
      <c r="M685">
        <v>1.8642645435975142E-3</v>
      </c>
      <c r="N685">
        <v>0.19180426208730889</v>
      </c>
      <c r="O685">
        <v>2.5396925355209501E-2</v>
      </c>
      <c r="P685">
        <v>2.1176183667410937E-2</v>
      </c>
      <c r="Q685">
        <v>3.0081936586511234E-3</v>
      </c>
      <c r="R685">
        <v>1.8526420571575524E-3</v>
      </c>
      <c r="S685">
        <v>0.20091976686045634</v>
      </c>
      <c r="T685">
        <v>1.0577469990836565</v>
      </c>
      <c r="U685">
        <v>3.8059482910596097E-2</v>
      </c>
      <c r="V685">
        <v>0.2481115289295206</v>
      </c>
      <c r="W685">
        <v>0.11411774146748804</v>
      </c>
      <c r="X685">
        <v>2.0798583354918548E-2</v>
      </c>
      <c r="Y685">
        <v>5.042280956292851E-3</v>
      </c>
    </row>
    <row r="686" spans="1:25" x14ac:dyDescent="0.25">
      <c r="A686" s="881"/>
      <c r="B686" s="1131">
        <v>436</v>
      </c>
      <c r="C686" s="885">
        <v>1.0305056048939689</v>
      </c>
      <c r="D686" s="885">
        <v>1.0078829113200103</v>
      </c>
      <c r="E686" s="885">
        <v>1.0019224373664843</v>
      </c>
      <c r="F686" s="885">
        <v>1.0333784982104759</v>
      </c>
      <c r="G686" s="885">
        <v>1.0315125008895527</v>
      </c>
      <c r="H686" s="885">
        <v>0.99721645763140598</v>
      </c>
      <c r="I686" s="885">
        <v>1.0062429256367731</v>
      </c>
      <c r="K686">
        <v>1.9140754750747644</v>
      </c>
      <c r="L686">
        <v>0</v>
      </c>
      <c r="M686">
        <v>1.8752066657640556E-3</v>
      </c>
      <c r="N686">
        <v>0.19006198095708005</v>
      </c>
      <c r="O686">
        <v>2.4309785325483203E-2</v>
      </c>
      <c r="P686">
        <v>2.0993276193099823E-2</v>
      </c>
      <c r="Q686">
        <v>2.8629508357397647E-3</v>
      </c>
      <c r="R686">
        <v>1.8639756544260378E-3</v>
      </c>
      <c r="S686">
        <v>0.19999296216660614</v>
      </c>
      <c r="T686">
        <v>1.0581958096398112</v>
      </c>
      <c r="U686">
        <v>3.621553383473048E-2</v>
      </c>
      <c r="V686">
        <v>0.24267871816624284</v>
      </c>
      <c r="W686">
        <v>0.11345936645227993</v>
      </c>
      <c r="X686">
        <v>2.0243195243088846E-2</v>
      </c>
      <c r="Y686">
        <v>5.0731272719383332E-3</v>
      </c>
    </row>
    <row r="687" spans="1:25" x14ac:dyDescent="0.25">
      <c r="A687" s="881"/>
      <c r="B687" s="1131">
        <v>437</v>
      </c>
      <c r="C687" s="885">
        <v>0.96494535179055363</v>
      </c>
      <c r="D687" s="885">
        <v>1.0133534431170079</v>
      </c>
      <c r="E687" s="885">
        <v>1.0074264525542154</v>
      </c>
      <c r="F687" s="885">
        <v>0.9890531925488778</v>
      </c>
      <c r="G687" s="885">
        <v>0.99052959468956425</v>
      </c>
      <c r="H687" s="885">
        <v>0.98124399286875763</v>
      </c>
      <c r="I687" s="885">
        <v>1.0408087854343058</v>
      </c>
      <c r="K687">
        <v>1.9626937677930878</v>
      </c>
      <c r="L687">
        <v>0</v>
      </c>
      <c r="M687">
        <v>1.9426107656043531E-3</v>
      </c>
      <c r="N687">
        <v>0.20027301067888384</v>
      </c>
      <c r="O687">
        <v>2.5892071647289665E-2</v>
      </c>
      <c r="P687">
        <v>2.1479525229876995E-2</v>
      </c>
      <c r="Q687">
        <v>3.0673210071685015E-3</v>
      </c>
      <c r="R687">
        <v>1.93078225421672E-3</v>
      </c>
      <c r="S687">
        <v>0.21863818569716809</v>
      </c>
      <c r="T687">
        <v>1.0576912281156661</v>
      </c>
      <c r="U687">
        <v>3.8676087232987107E-2</v>
      </c>
      <c r="V687">
        <v>0.25123924330343378</v>
      </c>
      <c r="W687">
        <v>0.11910699550773013</v>
      </c>
      <c r="X687">
        <v>2.1386975070491709E-2</v>
      </c>
      <c r="Y687">
        <v>5.2549528137788666E-3</v>
      </c>
    </row>
    <row r="688" spans="1:25" x14ac:dyDescent="0.25">
      <c r="A688" s="881"/>
      <c r="B688" s="1131">
        <v>438</v>
      </c>
      <c r="C688" s="885">
        <v>1.0056756407342049</v>
      </c>
      <c r="D688" s="885">
        <v>0.96236334710455207</v>
      </c>
      <c r="E688" s="885">
        <v>1.0170954944011916</v>
      </c>
      <c r="F688" s="885">
        <v>0.97238041365166394</v>
      </c>
      <c r="G688" s="885">
        <v>0.99345281911921635</v>
      </c>
      <c r="H688" s="885">
        <v>1.0150136321583731</v>
      </c>
      <c r="I688" s="885">
        <v>1.0149981759575188</v>
      </c>
      <c r="K688">
        <v>1.9636295552926157</v>
      </c>
      <c r="L688">
        <v>0</v>
      </c>
      <c r="M688">
        <v>1.9380909287721824E-3</v>
      </c>
      <c r="N688">
        <v>0.20594956924738583</v>
      </c>
      <c r="O688">
        <v>2.5487636145360822E-2</v>
      </c>
      <c r="P688">
        <v>2.1530023593384594E-2</v>
      </c>
      <c r="Q688">
        <v>3.0376851831268887E-3</v>
      </c>
      <c r="R688">
        <v>1.9267235255251488E-3</v>
      </c>
      <c r="S688">
        <v>0.21300861268831622</v>
      </c>
      <c r="T688">
        <v>1.0568076793602357</v>
      </c>
      <c r="U688">
        <v>3.7109689336485036E-2</v>
      </c>
      <c r="V688">
        <v>0.25184065834049452</v>
      </c>
      <c r="W688">
        <v>0.12168215801358637</v>
      </c>
      <c r="X688">
        <v>2.19433044952465E-2</v>
      </c>
      <c r="Y688">
        <v>5.2439062922399644E-3</v>
      </c>
    </row>
    <row r="689" spans="1:25" x14ac:dyDescent="0.25">
      <c r="A689" s="881"/>
      <c r="B689" s="1131">
        <v>439</v>
      </c>
      <c r="C689" s="885">
        <v>1.0048614697052085</v>
      </c>
      <c r="D689" s="885">
        <v>0.98838491505598736</v>
      </c>
      <c r="E689" s="885">
        <v>0.99744626055458263</v>
      </c>
      <c r="F689" s="885">
        <v>0.99235347951179109</v>
      </c>
      <c r="G689" s="885">
        <v>1.025632613250252</v>
      </c>
      <c r="H689" s="885">
        <v>0.96174055588961749</v>
      </c>
      <c r="I689" s="885">
        <v>1.0076719205593758</v>
      </c>
      <c r="K689">
        <v>1.9244993542623072</v>
      </c>
      <c r="L689">
        <v>0</v>
      </c>
      <c r="M689">
        <v>1.8903950048677807E-3</v>
      </c>
      <c r="N689">
        <v>0.18891121337641029</v>
      </c>
      <c r="O689">
        <v>2.5172473947132665E-2</v>
      </c>
      <c r="P689">
        <v>2.1071128308656498E-2</v>
      </c>
      <c r="Q689">
        <v>2.9472186287154813E-3</v>
      </c>
      <c r="R689">
        <v>1.8786712857478229E-3</v>
      </c>
      <c r="S689">
        <v>0.20361752594253857</v>
      </c>
      <c r="T689">
        <v>1.0586070344086906</v>
      </c>
      <c r="U689">
        <v>3.7139756798382717E-2</v>
      </c>
      <c r="V689">
        <v>0.24857524385712104</v>
      </c>
      <c r="W689">
        <v>0.11311840794551109</v>
      </c>
      <c r="X689">
        <v>2.023795083228536E-2</v>
      </c>
      <c r="Y689">
        <v>5.113123935982667E-3</v>
      </c>
    </row>
    <row r="690" spans="1:25" x14ac:dyDescent="0.25">
      <c r="A690" s="881"/>
      <c r="B690" s="1131">
        <v>440</v>
      </c>
      <c r="C690" s="885">
        <v>1.0138417064682739</v>
      </c>
      <c r="D690" s="885">
        <v>1.0357432577090391</v>
      </c>
      <c r="E690" s="885">
        <v>1.0293608261011813</v>
      </c>
      <c r="F690" s="885">
        <v>1.0154857409399087</v>
      </c>
      <c r="G690" s="885">
        <v>0.990075692612717</v>
      </c>
      <c r="H690" s="885">
        <v>0.97870259067389664</v>
      </c>
      <c r="I690" s="885">
        <v>0.99383589895952995</v>
      </c>
      <c r="K690">
        <v>1.9103614906986219</v>
      </c>
      <c r="L690">
        <v>0</v>
      </c>
      <c r="M690">
        <v>1.7417916624261915E-3</v>
      </c>
      <c r="N690">
        <v>0.19222859434012321</v>
      </c>
      <c r="O690">
        <v>2.4379060925103221E-2</v>
      </c>
      <c r="P690">
        <v>2.1331401270239192E-2</v>
      </c>
      <c r="Q690">
        <v>2.956260414597945E-3</v>
      </c>
      <c r="R690">
        <v>1.7311424498796871E-3</v>
      </c>
      <c r="S690">
        <v>0.19647911445560809</v>
      </c>
      <c r="T690">
        <v>1.0556921409147022</v>
      </c>
      <c r="U690">
        <v>3.6810786499326877E-2</v>
      </c>
      <c r="V690">
        <v>0.24163714599260935</v>
      </c>
      <c r="W690">
        <v>0.11264129870728562</v>
      </c>
      <c r="X690">
        <v>2.1504737313955243E-2</v>
      </c>
      <c r="Y690">
        <v>4.7115990776172767E-3</v>
      </c>
    </row>
    <row r="691" spans="1:25" x14ac:dyDescent="0.25">
      <c r="A691" s="881"/>
      <c r="B691" s="1131">
        <v>441</v>
      </c>
      <c r="C691" s="885">
        <v>0.97755342589178329</v>
      </c>
      <c r="D691" s="885">
        <v>1.0298899247092044</v>
      </c>
      <c r="E691" s="885">
        <v>0.95818553959721098</v>
      </c>
      <c r="F691" s="885">
        <v>0.98172147601063331</v>
      </c>
      <c r="G691" s="885">
        <v>0.98937538100780809</v>
      </c>
      <c r="H691" s="885">
        <v>0.9922085892952841</v>
      </c>
      <c r="I691" s="885">
        <v>1.0142946912556245</v>
      </c>
      <c r="K691">
        <v>1.9355794621453473</v>
      </c>
      <c r="L691">
        <v>0</v>
      </c>
      <c r="M691">
        <v>2.1331469610163128E-3</v>
      </c>
      <c r="N691">
        <v>0.18865472264965569</v>
      </c>
      <c r="O691">
        <v>2.5354761832424071E-2</v>
      </c>
      <c r="P691">
        <v>2.0579292809457736E-2</v>
      </c>
      <c r="Q691">
        <v>2.8604516221044066E-3</v>
      </c>
      <c r="R691">
        <v>2.1202875322656003E-3</v>
      </c>
      <c r="S691">
        <v>0.20990400120853669</v>
      </c>
      <c r="T691">
        <v>1.0622472430495007</v>
      </c>
      <c r="U691">
        <v>3.8177259280607688E-2</v>
      </c>
      <c r="V691">
        <v>0.24735509760442104</v>
      </c>
      <c r="W691">
        <v>0.11608957909242061</v>
      </c>
      <c r="X691">
        <v>1.8599188714736557E-2</v>
      </c>
      <c r="Y691">
        <v>5.7707237102297979E-3</v>
      </c>
    </row>
    <row r="692" spans="1:25" x14ac:dyDescent="0.25">
      <c r="A692" s="881"/>
      <c r="B692" s="1131">
        <v>442</v>
      </c>
      <c r="C692" s="885">
        <v>0.99302804497329089</v>
      </c>
      <c r="D692" s="885">
        <v>0.98642745132364806</v>
      </c>
      <c r="E692" s="885">
        <v>1.0091150595276179</v>
      </c>
      <c r="F692" s="885">
        <v>1.0077192096041265</v>
      </c>
      <c r="G692" s="885">
        <v>0.9805681249613416</v>
      </c>
      <c r="H692" s="885">
        <v>1.0121698843735758</v>
      </c>
      <c r="I692" s="885">
        <v>1.0146909850635253</v>
      </c>
      <c r="K692">
        <v>1.9601702125156926</v>
      </c>
      <c r="L692">
        <v>0</v>
      </c>
      <c r="M692">
        <v>1.9662632529798066E-3</v>
      </c>
      <c r="N692">
        <v>0.20381893886706523</v>
      </c>
      <c r="O692">
        <v>2.5497493835615146E-2</v>
      </c>
      <c r="P692">
        <v>2.1400802408836666E-2</v>
      </c>
      <c r="Q692">
        <v>3.0200095361875212E-3</v>
      </c>
      <c r="R692">
        <v>1.954678173093252E-3</v>
      </c>
      <c r="S692">
        <v>0.21291829587793154</v>
      </c>
      <c r="T692">
        <v>1.0575366616301052</v>
      </c>
      <c r="U692">
        <v>3.7582332935945109E-2</v>
      </c>
      <c r="V692">
        <v>0.25052152357500451</v>
      </c>
      <c r="W692">
        <v>0.12107667211219983</v>
      </c>
      <c r="X692">
        <v>2.1489077189014216E-2</v>
      </c>
      <c r="Y692">
        <v>5.3199896276732465E-3</v>
      </c>
    </row>
    <row r="693" spans="1:25" x14ac:dyDescent="0.25">
      <c r="A693" s="881"/>
      <c r="B693" s="1131">
        <v>443</v>
      </c>
      <c r="C693" s="885">
        <v>1.0018323215662859</v>
      </c>
      <c r="D693" s="885">
        <v>1.0298245581245498</v>
      </c>
      <c r="E693" s="885">
        <v>1.0146106035159155</v>
      </c>
      <c r="F693" s="885">
        <v>0.99228429829934051</v>
      </c>
      <c r="G693" s="885">
        <v>0.97452269647264822</v>
      </c>
      <c r="H693" s="885">
        <v>0.99668831274370595</v>
      </c>
      <c r="I693" s="885">
        <v>1.0083386021913174</v>
      </c>
      <c r="K693">
        <v>1.929120256192921</v>
      </c>
      <c r="L693">
        <v>0</v>
      </c>
      <c r="M693">
        <v>1.8571249241889235E-3</v>
      </c>
      <c r="N693">
        <v>0.19580101810037448</v>
      </c>
      <c r="O693">
        <v>2.4741076253828768E-2</v>
      </c>
      <c r="P693">
        <v>2.1263636216018452E-2</v>
      </c>
      <c r="Q693">
        <v>2.9553692646420724E-3</v>
      </c>
      <c r="R693">
        <v>1.8459798298371601E-3</v>
      </c>
      <c r="S693">
        <v>0.20406999352244329</v>
      </c>
      <c r="T693">
        <v>1.0570343980063788</v>
      </c>
      <c r="U693">
        <v>3.7252052861071139E-2</v>
      </c>
      <c r="V693">
        <v>0.24395239640903219</v>
      </c>
      <c r="W693">
        <v>0.11588074149202085</v>
      </c>
      <c r="X693">
        <v>2.1156570591732225E-2</v>
      </c>
      <c r="Y693">
        <v>5.0241485697293886E-3</v>
      </c>
    </row>
    <row r="694" spans="1:25" x14ac:dyDescent="0.25">
      <c r="A694" s="881"/>
      <c r="B694" s="1131">
        <v>444</v>
      </c>
      <c r="C694" s="885">
        <v>1.0046552120254471</v>
      </c>
      <c r="D694" s="885">
        <v>1.0149711600819258</v>
      </c>
      <c r="E694" s="885">
        <v>0.99386937016195798</v>
      </c>
      <c r="F694" s="885">
        <v>1.0157235812030079</v>
      </c>
      <c r="G694" s="885">
        <v>1.006454911178841</v>
      </c>
      <c r="H694" s="885">
        <v>0.99854937257284915</v>
      </c>
      <c r="I694" s="885">
        <v>1.0255700013296369</v>
      </c>
      <c r="K694">
        <v>1.9330086976106247</v>
      </c>
      <c r="L694">
        <v>0</v>
      </c>
      <c r="M694">
        <v>1.9521918806533727E-3</v>
      </c>
      <c r="N694">
        <v>0.19296935300599627</v>
      </c>
      <c r="O694">
        <v>2.4849075424404971E-2</v>
      </c>
      <c r="P694">
        <v>2.1042138772691864E-2</v>
      </c>
      <c r="Q694">
        <v>2.9042533493637951E-3</v>
      </c>
      <c r="R694">
        <v>1.9405097521508589E-3</v>
      </c>
      <c r="S694">
        <v>0.20854533635701714</v>
      </c>
      <c r="T694">
        <v>1.0589362028419318</v>
      </c>
      <c r="U694">
        <v>3.7147381663085011E-2</v>
      </c>
      <c r="V694">
        <v>0.24532780712356736</v>
      </c>
      <c r="W694">
        <v>0.11583239429257439</v>
      </c>
      <c r="X694">
        <v>2.0185009052007444E-2</v>
      </c>
      <c r="Y694">
        <v>5.2814278564867626E-3</v>
      </c>
    </row>
    <row r="695" spans="1:25" x14ac:dyDescent="0.25">
      <c r="A695" s="881"/>
      <c r="B695" s="1131">
        <v>445</v>
      </c>
      <c r="C695" s="885">
        <v>0.96365857787407627</v>
      </c>
      <c r="D695" s="885">
        <v>1.025056280249248</v>
      </c>
      <c r="E695" s="885">
        <v>1.0377366256935776</v>
      </c>
      <c r="F695" s="885">
        <v>0.98765863238025964</v>
      </c>
      <c r="G695" s="885">
        <v>1.0048284584744618</v>
      </c>
      <c r="H695" s="885">
        <v>1.0043498611195021</v>
      </c>
      <c r="I695" s="885">
        <v>0.97450599869309318</v>
      </c>
      <c r="K695">
        <v>1.9616253408937698</v>
      </c>
      <c r="L695">
        <v>0</v>
      </c>
      <c r="M695">
        <v>1.8569349615717842E-3</v>
      </c>
      <c r="N695">
        <v>0.21036687191882203</v>
      </c>
      <c r="O695">
        <v>2.5780087567515982E-2</v>
      </c>
      <c r="P695">
        <v>2.1731499649556462E-2</v>
      </c>
      <c r="Q695">
        <v>3.1498484625166467E-3</v>
      </c>
      <c r="R695">
        <v>1.8458795311229405E-3</v>
      </c>
      <c r="S695">
        <v>0.20624558873286172</v>
      </c>
      <c r="T695">
        <v>1.0549337410068074</v>
      </c>
      <c r="U695">
        <v>3.8727731437050134E-2</v>
      </c>
      <c r="V695">
        <v>0.24997497612159333</v>
      </c>
      <c r="W695">
        <v>0.12258163057357038</v>
      </c>
      <c r="X695">
        <v>2.312054526423039E-2</v>
      </c>
      <c r="Y695">
        <v>5.0238755896927457E-3</v>
      </c>
    </row>
    <row r="696" spans="1:25" x14ac:dyDescent="0.25">
      <c r="A696" s="881"/>
      <c r="B696" s="1131">
        <v>446</v>
      </c>
      <c r="C696" s="885">
        <v>1.0190562011734763</v>
      </c>
      <c r="D696" s="885">
        <v>1.0127850677934702</v>
      </c>
      <c r="E696" s="885">
        <v>1.0488896874136169</v>
      </c>
      <c r="F696" s="885">
        <v>1.0337389883647543</v>
      </c>
      <c r="G696" s="885">
        <v>0.95977276616414109</v>
      </c>
      <c r="H696" s="885">
        <v>0.97643199315388696</v>
      </c>
      <c r="I696" s="885">
        <v>1.0094915720480571</v>
      </c>
      <c r="K696">
        <v>1.9213343355301915</v>
      </c>
      <c r="L696">
        <v>0</v>
      </c>
      <c r="M696">
        <v>1.6772272895586389E-3</v>
      </c>
      <c r="N696">
        <v>0.1966624979196219</v>
      </c>
      <c r="O696">
        <v>2.4524026400552359E-2</v>
      </c>
      <c r="P696">
        <v>2.16894181255755E-2</v>
      </c>
      <c r="Q696">
        <v>3.026840835674725E-3</v>
      </c>
      <c r="R696">
        <v>1.6669647594698442E-3</v>
      </c>
      <c r="S696">
        <v>0.20037157553527943</v>
      </c>
      <c r="T696">
        <v>1.0539281381930019</v>
      </c>
      <c r="U696">
        <v>3.6622426278296864E-2</v>
      </c>
      <c r="V696">
        <v>0.24362566356358403</v>
      </c>
      <c r="W696">
        <v>0.11375053882814959</v>
      </c>
      <c r="X696">
        <v>2.2606543820050357E-2</v>
      </c>
      <c r="Y696">
        <v>4.5369285604916435E-3</v>
      </c>
    </row>
    <row r="697" spans="1:25" x14ac:dyDescent="0.25">
      <c r="A697" s="881"/>
      <c r="B697" s="1131">
        <v>447</v>
      </c>
      <c r="C697" s="885">
        <v>1.0192221091259426</v>
      </c>
      <c r="D697" s="885">
        <v>0.98560301911632264</v>
      </c>
      <c r="E697" s="885">
        <v>0.97539591689097815</v>
      </c>
      <c r="F697" s="885">
        <v>1.0060311879305996</v>
      </c>
      <c r="G697" s="885">
        <v>0.98779447014087807</v>
      </c>
      <c r="H697" s="885">
        <v>0.99848237072870205</v>
      </c>
      <c r="I697" s="885">
        <v>1.0210246075469485</v>
      </c>
      <c r="K697">
        <v>1.9293604850347201</v>
      </c>
      <c r="L697">
        <v>0</v>
      </c>
      <c r="M697">
        <v>2.0295659983353611E-3</v>
      </c>
      <c r="N697">
        <v>0.18940241608571232</v>
      </c>
      <c r="O697">
        <v>2.4852510604952575E-2</v>
      </c>
      <c r="P697">
        <v>2.0772178314863776E-2</v>
      </c>
      <c r="Q697">
        <v>2.8449334960512782E-3</v>
      </c>
      <c r="R697">
        <v>2.0174447251360291E-3</v>
      </c>
      <c r="S697">
        <v>0.20742387094599304</v>
      </c>
      <c r="T697">
        <v>1.0606441638790765</v>
      </c>
      <c r="U697">
        <v>3.6616464916485993E-2</v>
      </c>
      <c r="V697">
        <v>0.24692640031521529</v>
      </c>
      <c r="W697">
        <v>0.11515325541377097</v>
      </c>
      <c r="X697">
        <v>1.9245592844450293E-2</v>
      </c>
      <c r="Y697">
        <v>5.4908194913453655E-3</v>
      </c>
    </row>
    <row r="698" spans="1:25" x14ac:dyDescent="0.25">
      <c r="A698" s="881"/>
      <c r="B698" s="1131">
        <v>448</v>
      </c>
      <c r="C698" s="885">
        <v>0.99302034160658392</v>
      </c>
      <c r="D698" s="885">
        <v>1.0024866292457739</v>
      </c>
      <c r="E698" s="885">
        <v>0.97734197753351126</v>
      </c>
      <c r="F698" s="885">
        <v>1.0166670857272666</v>
      </c>
      <c r="G698" s="885">
        <v>1.0070443868990278</v>
      </c>
      <c r="H698" s="885">
        <v>1.016661553350132</v>
      </c>
      <c r="I698" s="885">
        <v>1.0063941334631761</v>
      </c>
      <c r="K698">
        <v>1.9471653962561297</v>
      </c>
      <c r="L698">
        <v>0</v>
      </c>
      <c r="M698">
        <v>2.0947168291817345E-3</v>
      </c>
      <c r="N698">
        <v>0.196691365875342</v>
      </c>
      <c r="O698">
        <v>2.5294528197495347E-2</v>
      </c>
      <c r="P698">
        <v>2.0870139851442815E-2</v>
      </c>
      <c r="Q698">
        <v>2.9047233768151686E-3</v>
      </c>
      <c r="R698">
        <v>2.0824156457929042E-3</v>
      </c>
      <c r="S698">
        <v>0.21007727704244564</v>
      </c>
      <c r="T698">
        <v>1.0604636170578268</v>
      </c>
      <c r="U698">
        <v>3.7582624481324545E-2</v>
      </c>
      <c r="V698">
        <v>0.24848972708576775</v>
      </c>
      <c r="W698">
        <v>0.11942302098061337</v>
      </c>
      <c r="X698">
        <v>1.9713024570728824E-2</v>
      </c>
      <c r="Y698">
        <v>5.6676489197151417E-3</v>
      </c>
    </row>
    <row r="699" spans="1:25" x14ac:dyDescent="0.25">
      <c r="A699" s="881"/>
      <c r="B699" s="1131">
        <v>449</v>
      </c>
      <c r="C699" s="885">
        <v>0.9982441835992053</v>
      </c>
      <c r="D699" s="885">
        <v>1.0254872149884739</v>
      </c>
      <c r="E699" s="885">
        <v>1.0075300697025864</v>
      </c>
      <c r="F699" s="885">
        <v>0.98195869941735481</v>
      </c>
      <c r="G699" s="885">
        <v>1.0170660223626189</v>
      </c>
      <c r="H699" s="885">
        <v>1.0277268243099615</v>
      </c>
      <c r="I699" s="885">
        <v>1.0070500968431886</v>
      </c>
      <c r="K699">
        <v>1.9451520874243904</v>
      </c>
      <c r="L699">
        <v>0</v>
      </c>
      <c r="M699">
        <v>1.9548240684014537E-3</v>
      </c>
      <c r="N699">
        <v>0.20165197418940176</v>
      </c>
      <c r="O699">
        <v>2.4881739934659527E-2</v>
      </c>
      <c r="P699">
        <v>2.1232050585580597E-2</v>
      </c>
      <c r="Q699">
        <v>2.9503636181042047E-3</v>
      </c>
      <c r="R699">
        <v>1.9434502449231252E-3</v>
      </c>
      <c r="S699">
        <v>0.20806652956461572</v>
      </c>
      <c r="T699">
        <v>1.0576817403256857</v>
      </c>
      <c r="U699">
        <v>3.7385953471180962E-2</v>
      </c>
      <c r="V699">
        <v>0.24495861732343205</v>
      </c>
      <c r="W699">
        <v>0.11991863884140996</v>
      </c>
      <c r="X699">
        <v>2.1146422485315477E-2</v>
      </c>
      <c r="Y699">
        <v>5.2894309084796885E-3</v>
      </c>
    </row>
    <row r="700" spans="1:25" x14ac:dyDescent="0.25">
      <c r="A700" s="881"/>
      <c r="B700" s="1131">
        <v>450</v>
      </c>
      <c r="C700" s="885">
        <v>1.0214400705867812</v>
      </c>
      <c r="D700" s="885">
        <v>0.98543133903171898</v>
      </c>
      <c r="E700" s="885">
        <v>0.98853166350596688</v>
      </c>
      <c r="F700" s="885">
        <v>0.99328675812949574</v>
      </c>
      <c r="G700" s="885">
        <v>1.005016858579963</v>
      </c>
      <c r="H700" s="885">
        <v>1.0025304478733177</v>
      </c>
      <c r="I700" s="885">
        <v>1.0457144988284197</v>
      </c>
      <c r="K700">
        <v>1.9372062460005108</v>
      </c>
      <c r="L700">
        <v>0</v>
      </c>
      <c r="M700">
        <v>1.9782166220120535E-3</v>
      </c>
      <c r="N700">
        <v>0.19232631347180126</v>
      </c>
      <c r="O700">
        <v>2.4800688473992957E-2</v>
      </c>
      <c r="P700">
        <v>2.1026433335967223E-2</v>
      </c>
      <c r="Q700">
        <v>2.8770823787664119E-3</v>
      </c>
      <c r="R700">
        <v>1.966449873763407E-3</v>
      </c>
      <c r="S700">
        <v>0.21241784126769561</v>
      </c>
      <c r="T700">
        <v>1.0594283384087024</v>
      </c>
      <c r="U700">
        <v>3.6536955691857408E-2</v>
      </c>
      <c r="V700">
        <v>0.24664455562537005</v>
      </c>
      <c r="W700">
        <v>0.11587142628927449</v>
      </c>
      <c r="X700">
        <v>1.9936349488971675E-2</v>
      </c>
      <c r="Y700">
        <v>5.3520283163573275E-3</v>
      </c>
    </row>
    <row r="701" spans="1:25" x14ac:dyDescent="0.25">
      <c r="A701" s="881"/>
      <c r="B701" s="1131">
        <v>451</v>
      </c>
      <c r="C701" s="885">
        <v>1.0186566385703015</v>
      </c>
      <c r="D701" s="885">
        <v>1.0015082829512556</v>
      </c>
      <c r="E701" s="885">
        <v>0.98327164028612968</v>
      </c>
      <c r="F701" s="885">
        <v>0.99711117133747607</v>
      </c>
      <c r="G701" s="885">
        <v>1.0291465989079143</v>
      </c>
      <c r="H701" s="885">
        <v>1.042991183934092</v>
      </c>
      <c r="I701" s="885">
        <v>0.98472867565849853</v>
      </c>
      <c r="K701">
        <v>1.9361480038208947</v>
      </c>
      <c r="L701">
        <v>0</v>
      </c>
      <c r="M701">
        <v>2.0699652350051373E-3</v>
      </c>
      <c r="N701">
        <v>0.19802109267621359</v>
      </c>
      <c r="O701">
        <v>2.4669863610913313E-2</v>
      </c>
      <c r="P701">
        <v>2.0802943788990436E-2</v>
      </c>
      <c r="Q701">
        <v>2.8499183233961722E-3</v>
      </c>
      <c r="R701">
        <v>2.0581170718112492E-3</v>
      </c>
      <c r="S701">
        <v>0.20304537473541617</v>
      </c>
      <c r="T701">
        <v>1.0599143946883642</v>
      </c>
      <c r="U701">
        <v>3.6636791228589503E-2</v>
      </c>
      <c r="V701">
        <v>0.24503931113631586</v>
      </c>
      <c r="W701">
        <v>0.1197368069752079</v>
      </c>
      <c r="X701">
        <v>1.9841838609320556E-2</v>
      </c>
      <c r="Y701">
        <v>5.6015162113598376E-3</v>
      </c>
    </row>
    <row r="702" spans="1:25" x14ac:dyDescent="0.25">
      <c r="A702" s="881"/>
      <c r="B702" s="1131">
        <v>452</v>
      </c>
      <c r="C702" s="885">
        <v>1.0044267645724754</v>
      </c>
      <c r="D702" s="885">
        <v>1.0321673673396181</v>
      </c>
      <c r="E702" s="885">
        <v>0.96512449763325825</v>
      </c>
      <c r="F702" s="885">
        <v>0.97830338349811263</v>
      </c>
      <c r="G702" s="885">
        <v>0.9920114707126515</v>
      </c>
      <c r="H702" s="885">
        <v>0.97671886207113012</v>
      </c>
      <c r="I702" s="885">
        <v>1.0181843577745699</v>
      </c>
      <c r="K702">
        <v>1.9104075588559268</v>
      </c>
      <c r="L702">
        <v>0</v>
      </c>
      <c r="M702">
        <v>2.0120066282670046E-3</v>
      </c>
      <c r="N702">
        <v>0.18181777223359186</v>
      </c>
      <c r="O702">
        <v>2.4649544900122243E-2</v>
      </c>
      <c r="P702">
        <v>2.0526355780275951E-2</v>
      </c>
      <c r="Q702">
        <v>2.8012020084626096E-3</v>
      </c>
      <c r="R702">
        <v>1.9996832636025299E-3</v>
      </c>
      <c r="S702">
        <v>0.20330020833474291</v>
      </c>
      <c r="T702">
        <v>1.0615995291905624</v>
      </c>
      <c r="U702">
        <v>3.7155830486856792E-2</v>
      </c>
      <c r="V702">
        <v>0.24332068387341302</v>
      </c>
      <c r="W702">
        <v>0.11133805619244345</v>
      </c>
      <c r="X702">
        <v>1.8468220572003338E-2</v>
      </c>
      <c r="Y702">
        <v>5.4424786481154022E-3</v>
      </c>
    </row>
    <row r="703" spans="1:25" x14ac:dyDescent="0.25">
      <c r="A703" s="881"/>
      <c r="B703" s="1131">
        <v>453</v>
      </c>
      <c r="C703" s="885">
        <v>0.95740916482184146</v>
      </c>
      <c r="D703" s="885">
        <v>0.98074000533485839</v>
      </c>
      <c r="E703" s="885">
        <v>0.9734810161883366</v>
      </c>
      <c r="F703" s="885">
        <v>1.0198705755345838</v>
      </c>
      <c r="G703" s="885">
        <v>0.98177437754642671</v>
      </c>
      <c r="H703" s="885">
        <v>0.98721736035116747</v>
      </c>
      <c r="I703" s="885">
        <v>0.96826506296220638</v>
      </c>
      <c r="K703">
        <v>1.9622169505300131</v>
      </c>
      <c r="L703">
        <v>0</v>
      </c>
      <c r="M703">
        <v>2.1500870360213181E-3</v>
      </c>
      <c r="N703">
        <v>0.19944231574311855</v>
      </c>
      <c r="O703">
        <v>2.6522064840040212E-2</v>
      </c>
      <c r="P703">
        <v>2.0922874432226669E-2</v>
      </c>
      <c r="Q703">
        <v>3.0290777909912172E-3</v>
      </c>
      <c r="R703">
        <v>2.1371039255638491E-3</v>
      </c>
      <c r="S703">
        <v>0.20871857804589478</v>
      </c>
      <c r="T703">
        <v>1.0608219630220888</v>
      </c>
      <c r="U703">
        <v>3.8980523659246188E-2</v>
      </c>
      <c r="V703">
        <v>0.25662396785780989</v>
      </c>
      <c r="W703">
        <v>0.12141919062299106</v>
      </c>
      <c r="X703">
        <v>1.9932885236796122E-2</v>
      </c>
      <c r="Y703">
        <v>5.8164923892650737E-3</v>
      </c>
    </row>
    <row r="704" spans="1:25" x14ac:dyDescent="0.25">
      <c r="A704" s="881"/>
      <c r="B704" s="1131">
        <v>454</v>
      </c>
      <c r="C704" s="885">
        <v>0.99571631105493574</v>
      </c>
      <c r="D704" s="885">
        <v>0.97798878431081382</v>
      </c>
      <c r="E704" s="885">
        <v>1.0218415768571172</v>
      </c>
      <c r="F704" s="885">
        <v>0.95796505052780223</v>
      </c>
      <c r="G704" s="885">
        <v>1.0142691649211646</v>
      </c>
      <c r="H704" s="885">
        <v>0.97167949529879638</v>
      </c>
      <c r="I704" s="885">
        <v>0.99966952313022239</v>
      </c>
      <c r="K704">
        <v>1.9430976560677999</v>
      </c>
      <c r="L704">
        <v>0</v>
      </c>
      <c r="M704">
        <v>1.8404328624175403E-3</v>
      </c>
      <c r="N704">
        <v>0.19842335261166291</v>
      </c>
      <c r="O704">
        <v>2.5537297452433043E-2</v>
      </c>
      <c r="P704">
        <v>2.1496690963832742E-2</v>
      </c>
      <c r="Q704">
        <v>3.0614840069890241E-3</v>
      </c>
      <c r="R704">
        <v>1.8291440795754153E-3</v>
      </c>
      <c r="S704">
        <v>0.20586975495252241</v>
      </c>
      <c r="T704">
        <v>1.0563753227508053</v>
      </c>
      <c r="U704">
        <v>3.7480866976435316E-2</v>
      </c>
      <c r="V704">
        <v>0.25122422582898579</v>
      </c>
      <c r="W704">
        <v>0.11686041744389646</v>
      </c>
      <c r="X704">
        <v>2.1801204655657561E-2</v>
      </c>
      <c r="Y704">
        <v>4.9783272074205012E-3</v>
      </c>
    </row>
    <row r="705" spans="1:25" x14ac:dyDescent="0.25">
      <c r="A705" s="881"/>
      <c r="B705" s="1131">
        <v>455</v>
      </c>
      <c r="C705" s="885">
        <v>1.0089005905732817</v>
      </c>
      <c r="D705" s="885">
        <v>1.0203961475207912</v>
      </c>
      <c r="E705" s="885">
        <v>1.0146570214356836</v>
      </c>
      <c r="F705" s="885">
        <v>1.0288527273401991</v>
      </c>
      <c r="G705" s="885">
        <v>1.0087946280007167</v>
      </c>
      <c r="H705" s="885">
        <v>0.97419507323958721</v>
      </c>
      <c r="I705" s="885">
        <v>1.0407853518739929</v>
      </c>
      <c r="K705">
        <v>1.9244631803537908</v>
      </c>
      <c r="L705">
        <v>0</v>
      </c>
      <c r="M705">
        <v>1.8105086664333895E-3</v>
      </c>
      <c r="N705">
        <v>0.19088782523702411</v>
      </c>
      <c r="O705">
        <v>2.467946323271572E-2</v>
      </c>
      <c r="P705">
        <v>2.1312961813631695E-2</v>
      </c>
      <c r="Q705">
        <v>2.9462767761381094E-3</v>
      </c>
      <c r="R705">
        <v>1.7993994637496499E-3</v>
      </c>
      <c r="S705">
        <v>0.20771768048133185</v>
      </c>
      <c r="T705">
        <v>1.0570301606767463</v>
      </c>
      <c r="U705">
        <v>3.6991068247576864E-2</v>
      </c>
      <c r="V705">
        <v>0.24409238376126122</v>
      </c>
      <c r="W705">
        <v>0.11296941927220645</v>
      </c>
      <c r="X705">
        <v>2.0949677889389465E-2</v>
      </c>
      <c r="Y705">
        <v>4.8973721684527401E-3</v>
      </c>
    </row>
    <row r="706" spans="1:25" x14ac:dyDescent="0.25">
      <c r="A706" s="881"/>
      <c r="B706" s="1131">
        <v>456</v>
      </c>
      <c r="C706" s="885">
        <v>0.95915234457585641</v>
      </c>
      <c r="D706" s="885">
        <v>1.0335542311087984</v>
      </c>
      <c r="E706" s="885">
        <v>0.97461130041044297</v>
      </c>
      <c r="F706" s="885">
        <v>1.0184850980964351</v>
      </c>
      <c r="G706" s="885">
        <v>1.0128447766177475</v>
      </c>
      <c r="H706" s="885">
        <v>0.99691482060762271</v>
      </c>
      <c r="I706" s="885">
        <v>1.0139893171395087</v>
      </c>
      <c r="K706">
        <v>1.9537500075709913</v>
      </c>
      <c r="L706">
        <v>0</v>
      </c>
      <c r="M706">
        <v>2.1068136550498034E-3</v>
      </c>
      <c r="N706">
        <v>0.19612532821090692</v>
      </c>
      <c r="O706">
        <v>2.5795991314314724E-2</v>
      </c>
      <c r="P706">
        <v>2.091560395965263E-2</v>
      </c>
      <c r="Q706">
        <v>2.9603234345860216E-3</v>
      </c>
      <c r="R706">
        <v>2.0941698620726289E-3</v>
      </c>
      <c r="S706">
        <v>0.21401518687243432</v>
      </c>
      <c r="T706">
        <v>1.0607169985971585</v>
      </c>
      <c r="U706">
        <v>3.8909679793797766E-2</v>
      </c>
      <c r="V706">
        <v>0.24961003419017103</v>
      </c>
      <c r="W706">
        <v>0.11930583003221927</v>
      </c>
      <c r="X706">
        <v>1.9708034937072252E-2</v>
      </c>
      <c r="Y706">
        <v>5.6996400216521989E-3</v>
      </c>
    </row>
    <row r="707" spans="1:25" x14ac:dyDescent="0.25">
      <c r="A707" s="881"/>
      <c r="B707" s="1131">
        <v>457</v>
      </c>
      <c r="C707" s="885">
        <v>0.97556477311875878</v>
      </c>
      <c r="D707" s="885">
        <v>1.0405332262450744</v>
      </c>
      <c r="E707" s="885">
        <v>1.0056102361920294</v>
      </c>
      <c r="F707" s="885">
        <v>1.0088683242296121</v>
      </c>
      <c r="G707" s="885">
        <v>0.99944841489803438</v>
      </c>
      <c r="H707" s="885">
        <v>1.0025369731305345</v>
      </c>
      <c r="I707" s="885">
        <v>1.0205053486995692</v>
      </c>
      <c r="K707">
        <v>1.94826340637295</v>
      </c>
      <c r="L707">
        <v>0</v>
      </c>
      <c r="M707">
        <v>1.9451545948463999E-3</v>
      </c>
      <c r="N707">
        <v>0.19942966707882337</v>
      </c>
      <c r="O707">
        <v>2.527808900271028E-2</v>
      </c>
      <c r="P707">
        <v>2.1285391572670294E-2</v>
      </c>
      <c r="Q707">
        <v>2.9945991215490522E-3</v>
      </c>
      <c r="R707">
        <v>1.9335411160447771E-3</v>
      </c>
      <c r="S707">
        <v>0.21170078799299105</v>
      </c>
      <c r="T707">
        <v>1.0578575994749571</v>
      </c>
      <c r="U707">
        <v>3.8255082214181002E-2</v>
      </c>
      <c r="V707">
        <v>0.24637662025797905</v>
      </c>
      <c r="W707">
        <v>0.11875225611459572</v>
      </c>
      <c r="X707">
        <v>2.1082465495075961E-2</v>
      </c>
      <c r="Y707">
        <v>5.2624615262162827E-3</v>
      </c>
    </row>
    <row r="708" spans="1:25" x14ac:dyDescent="0.25">
      <c r="A708" s="881"/>
      <c r="B708" s="1131">
        <v>458</v>
      </c>
      <c r="C708" s="885">
        <v>0.99765799384356124</v>
      </c>
      <c r="D708" s="885">
        <v>1.0040225558363658</v>
      </c>
      <c r="E708" s="885">
        <v>1.0338299532359712</v>
      </c>
      <c r="F708" s="885">
        <v>0.99097286275703178</v>
      </c>
      <c r="G708" s="885">
        <v>1.0129974489188092</v>
      </c>
      <c r="H708" s="885">
        <v>0.97553569131451767</v>
      </c>
      <c r="I708" s="885">
        <v>0.99646567691590737</v>
      </c>
      <c r="K708">
        <v>1.9345071230610966</v>
      </c>
      <c r="L708">
        <v>0</v>
      </c>
      <c r="M708">
        <v>1.7747334858829143E-3</v>
      </c>
      <c r="N708">
        <v>0.19859864683537001</v>
      </c>
      <c r="O708">
        <v>2.5157882165039853E-2</v>
      </c>
      <c r="P708">
        <v>2.1575041440814641E-2</v>
      </c>
      <c r="Q708">
        <v>3.0576196574410523E-3</v>
      </c>
      <c r="R708">
        <v>1.7638708815969357E-3</v>
      </c>
      <c r="S708">
        <v>0.20274368413408278</v>
      </c>
      <c r="T708">
        <v>1.0552871348283797</v>
      </c>
      <c r="U708">
        <v>3.7407920180278692E-2</v>
      </c>
      <c r="V708">
        <v>0.24764167099562745</v>
      </c>
      <c r="W708">
        <v>0.11602637926377568</v>
      </c>
      <c r="X708">
        <v>2.2221331084745222E-2</v>
      </c>
      <c r="Y708">
        <v>4.8006750798270112E-3</v>
      </c>
    </row>
    <row r="709" spans="1:25" x14ac:dyDescent="0.25">
      <c r="A709" s="881"/>
      <c r="B709" s="1131">
        <v>459</v>
      </c>
      <c r="C709" s="885">
        <v>0.99018096403228451</v>
      </c>
      <c r="D709" s="885">
        <v>0.99287008269895427</v>
      </c>
      <c r="E709" s="885">
        <v>1.0035633378340747</v>
      </c>
      <c r="F709" s="885">
        <v>1.0045517651602069</v>
      </c>
      <c r="G709" s="885">
        <v>0.99440731579144892</v>
      </c>
      <c r="H709" s="885">
        <v>1.0054050198411459</v>
      </c>
      <c r="I709" s="885">
        <v>0.9797703240166058</v>
      </c>
      <c r="K709">
        <v>1.9481091477846719</v>
      </c>
      <c r="L709">
        <v>0</v>
      </c>
      <c r="M709">
        <v>1.9754155220548728E-3</v>
      </c>
      <c r="N709">
        <v>0.20125432278459907</v>
      </c>
      <c r="O709">
        <v>2.5488421588688741E-2</v>
      </c>
      <c r="P709">
        <v>2.1205651995931819E-2</v>
      </c>
      <c r="Q709">
        <v>3.0035624401839071E-3</v>
      </c>
      <c r="R709">
        <v>1.9636928934183878E-3</v>
      </c>
      <c r="S709">
        <v>0.20488553619894484</v>
      </c>
      <c r="T709">
        <v>1.0580452562408384</v>
      </c>
      <c r="U709">
        <v>3.7690393934598013E-2</v>
      </c>
      <c r="V709">
        <v>0.25010639328679901</v>
      </c>
      <c r="W709">
        <v>0.12000618766516946</v>
      </c>
      <c r="X709">
        <v>2.109061955285936E-2</v>
      </c>
      <c r="Y709">
        <v>5.3445247246965109E-3</v>
      </c>
    </row>
    <row r="710" spans="1:25" x14ac:dyDescent="0.25">
      <c r="A710" s="881"/>
      <c r="B710" s="1131">
        <v>460</v>
      </c>
      <c r="C710" s="885">
        <v>1.0039225205332021</v>
      </c>
      <c r="D710" s="885">
        <v>1.0249110694608414</v>
      </c>
      <c r="E710" s="885">
        <v>0.96566838574557168</v>
      </c>
      <c r="F710" s="885">
        <v>1.0049923751172847</v>
      </c>
      <c r="G710" s="885">
        <v>1.0384985931876376</v>
      </c>
      <c r="H710" s="885">
        <v>0.99345346435672544</v>
      </c>
      <c r="I710" s="885">
        <v>0.97245888481757248</v>
      </c>
      <c r="K710">
        <v>1.9111814930490814</v>
      </c>
      <c r="L710">
        <v>0</v>
      </c>
      <c r="M710">
        <v>2.0522970253577426E-3</v>
      </c>
      <c r="N710">
        <v>0.18579338565985024</v>
      </c>
      <c r="O710">
        <v>2.4747864810285437E-2</v>
      </c>
      <c r="P710">
        <v>2.0456578434947553E-2</v>
      </c>
      <c r="Q710">
        <v>2.8125764944826239E-3</v>
      </c>
      <c r="R710">
        <v>2.0399445937701322E-3</v>
      </c>
      <c r="S710">
        <v>0.1965154492605381</v>
      </c>
      <c r="T710">
        <v>1.0615488387701943</v>
      </c>
      <c r="U710">
        <v>3.717449288924745E-2</v>
      </c>
      <c r="V710">
        <v>0.24424349446725513</v>
      </c>
      <c r="W710">
        <v>0.11372919282165277</v>
      </c>
      <c r="X710">
        <v>1.8619915155526658E-2</v>
      </c>
      <c r="Y710">
        <v>5.5520567166876924E-3</v>
      </c>
    </row>
    <row r="711" spans="1:25" x14ac:dyDescent="0.25">
      <c r="A711" s="881"/>
      <c r="B711" s="1131">
        <v>461</v>
      </c>
      <c r="C711" s="885">
        <v>0.99892149253176099</v>
      </c>
      <c r="D711" s="885">
        <v>1.0228201817219686</v>
      </c>
      <c r="E711" s="885">
        <v>0.97532983422280672</v>
      </c>
      <c r="F711" s="885">
        <v>1.0167055953027677</v>
      </c>
      <c r="G711" s="885">
        <v>1.0141879053081506</v>
      </c>
      <c r="H711" s="885">
        <v>0.98424908590882931</v>
      </c>
      <c r="I711" s="885">
        <v>1.0132134248195912</v>
      </c>
      <c r="K711">
        <v>1.9219792240807865</v>
      </c>
      <c r="L711">
        <v>0</v>
      </c>
      <c r="M711">
        <v>2.0045116095394242E-3</v>
      </c>
      <c r="N711">
        <v>0.18700659832741404</v>
      </c>
      <c r="O711">
        <v>2.4896835695942601E-2</v>
      </c>
      <c r="P711">
        <v>2.0725807749221625E-2</v>
      </c>
      <c r="Q711">
        <v>2.8571756029278517E-3</v>
      </c>
      <c r="R711">
        <v>1.9923356693996321E-3</v>
      </c>
      <c r="S711">
        <v>0.20503419080682483</v>
      </c>
      <c r="T711">
        <v>1.0606502973099614</v>
      </c>
      <c r="U711">
        <v>3.736060429166338E-2</v>
      </c>
      <c r="V711">
        <v>0.24518262879641073</v>
      </c>
      <c r="W711">
        <v>0.11370187198818522</v>
      </c>
      <c r="X711">
        <v>1.915290853354357E-2</v>
      </c>
      <c r="Y711">
        <v>5.4224809188288927E-3</v>
      </c>
    </row>
    <row r="712" spans="1:25" x14ac:dyDescent="0.25">
      <c r="A712" s="881"/>
      <c r="B712" s="1131">
        <v>462</v>
      </c>
      <c r="C712" s="885">
        <v>1.0107594213097999</v>
      </c>
      <c r="D712" s="885">
        <v>1.0028387879797931</v>
      </c>
      <c r="E712" s="885">
        <v>1.0087562347908645</v>
      </c>
      <c r="F712" s="885">
        <v>1.0094901155112812</v>
      </c>
      <c r="G712" s="885">
        <v>1.0275475037653008</v>
      </c>
      <c r="H712" s="885">
        <v>0.99816660028240511</v>
      </c>
      <c r="I712" s="885">
        <v>1.0092932235769583</v>
      </c>
      <c r="K712">
        <v>1.9326888466039684</v>
      </c>
      <c r="L712">
        <v>0</v>
      </c>
      <c r="M712">
        <v>1.8909796822349386E-3</v>
      </c>
      <c r="N712">
        <v>0.19577901049387531</v>
      </c>
      <c r="O712">
        <v>2.4846284541023556E-2</v>
      </c>
      <c r="P712">
        <v>2.1216210196672521E-2</v>
      </c>
      <c r="Q712">
        <v>2.9452159111810813E-3</v>
      </c>
      <c r="R712">
        <v>1.8796689073775209E-3</v>
      </c>
      <c r="S712">
        <v>0.20508518374936319</v>
      </c>
      <c r="T712">
        <v>1.0575694973108956</v>
      </c>
      <c r="U712">
        <v>3.6923040056906005E-2</v>
      </c>
      <c r="V712">
        <v>0.24595721231761583</v>
      </c>
      <c r="W712">
        <v>0.11632901081975616</v>
      </c>
      <c r="X712">
        <v>2.0933652848342085E-2</v>
      </c>
      <c r="Y712">
        <v>5.1158391331928271E-3</v>
      </c>
    </row>
    <row r="713" spans="1:25" x14ac:dyDescent="0.25">
      <c r="A713" s="881"/>
      <c r="B713" s="1131">
        <v>463</v>
      </c>
      <c r="C713" s="885">
        <v>1.0096756674002327</v>
      </c>
      <c r="D713" s="885">
        <v>0.98356570539860755</v>
      </c>
      <c r="E713" s="885">
        <v>1.0106286964562159</v>
      </c>
      <c r="F713" s="885">
        <v>1.0141707654909391</v>
      </c>
      <c r="G713" s="885">
        <v>0.99907748452937872</v>
      </c>
      <c r="H713" s="885">
        <v>0.97470220539215247</v>
      </c>
      <c r="I713" s="885">
        <v>0.96990444028735845</v>
      </c>
      <c r="K713">
        <v>1.9232909969273433</v>
      </c>
      <c r="L713">
        <v>0</v>
      </c>
      <c r="M713">
        <v>1.8589970703913831E-3</v>
      </c>
      <c r="N713">
        <v>0.19356498711373091</v>
      </c>
      <c r="O713">
        <v>2.511325427410151E-2</v>
      </c>
      <c r="P713">
        <v>2.116446342046056E-2</v>
      </c>
      <c r="Q713">
        <v>2.9783960120202723E-3</v>
      </c>
      <c r="R713">
        <v>1.8476252623076583E-3</v>
      </c>
      <c r="S713">
        <v>0.1967603214516585</v>
      </c>
      <c r="T713">
        <v>1.057398205582426</v>
      </c>
      <c r="U713">
        <v>3.6962672079650281E-2</v>
      </c>
      <c r="V713">
        <v>0.24851372872473779</v>
      </c>
      <c r="W713">
        <v>0.11486719934437629</v>
      </c>
      <c r="X713">
        <v>2.0950513837768789E-2</v>
      </c>
      <c r="Y713">
        <v>5.0286268944974176E-3</v>
      </c>
    </row>
    <row r="714" spans="1:25" x14ac:dyDescent="0.25">
      <c r="A714" s="881"/>
      <c r="B714" s="1131">
        <v>464</v>
      </c>
      <c r="C714" s="885">
        <v>1.0225393206372957</v>
      </c>
      <c r="D714" s="885">
        <v>1.0186088593679492</v>
      </c>
      <c r="E714" s="885">
        <v>1.0116429793077224</v>
      </c>
      <c r="F714" s="885">
        <v>1.0260683788417673</v>
      </c>
      <c r="G714" s="885">
        <v>1.0049912471610114</v>
      </c>
      <c r="H714" s="885">
        <v>1.0056172539579926</v>
      </c>
      <c r="I714" s="885">
        <v>1.0109124866415142</v>
      </c>
      <c r="K714">
        <v>1.9220243948617362</v>
      </c>
      <c r="L714">
        <v>0</v>
      </c>
      <c r="M714">
        <v>1.8573488940849525E-3</v>
      </c>
      <c r="N714">
        <v>0.19403799295146826</v>
      </c>
      <c r="O714">
        <v>2.4371369412963063E-2</v>
      </c>
      <c r="P714">
        <v>2.1166265054196252E-2</v>
      </c>
      <c r="Q714">
        <v>2.900406717572618E-3</v>
      </c>
      <c r="R714">
        <v>1.846309717630321E-3</v>
      </c>
      <c r="S714">
        <v>0.20233959311299585</v>
      </c>
      <c r="T714">
        <v>1.0573054767050072</v>
      </c>
      <c r="U714">
        <v>3.6497677739822362E-2</v>
      </c>
      <c r="V714">
        <v>0.24247034751081778</v>
      </c>
      <c r="W714">
        <v>0.1150686261046453</v>
      </c>
      <c r="X714">
        <v>2.0852632313145998E-2</v>
      </c>
      <c r="Y714">
        <v>5.0250464155548917E-3</v>
      </c>
    </row>
    <row r="715" spans="1:25" x14ac:dyDescent="0.25">
      <c r="A715" s="881"/>
      <c r="B715" s="1131">
        <v>465</v>
      </c>
      <c r="C715" s="885">
        <v>0.99772226058954561</v>
      </c>
      <c r="D715" s="885">
        <v>1.0073417872154291</v>
      </c>
      <c r="E715" s="885">
        <v>1.0241967196569104</v>
      </c>
      <c r="F715" s="885">
        <v>1.0184835988322427</v>
      </c>
      <c r="G715" s="885">
        <v>0.95841418003702761</v>
      </c>
      <c r="H715" s="885">
        <v>0.98175761173407428</v>
      </c>
      <c r="I715" s="885">
        <v>1.0121988118837191</v>
      </c>
      <c r="K715">
        <v>1.9371945872660645</v>
      </c>
      <c r="L715">
        <v>0</v>
      </c>
      <c r="M715">
        <v>1.8197311531289947E-3</v>
      </c>
      <c r="N715">
        <v>0.19764179769191034</v>
      </c>
      <c r="O715">
        <v>2.511522925557971E-2</v>
      </c>
      <c r="P715">
        <v>2.1479473764446373E-2</v>
      </c>
      <c r="Q715">
        <v>3.0241796970891443E-3</v>
      </c>
      <c r="R715">
        <v>1.8086611941906313E-3</v>
      </c>
      <c r="S715">
        <v>0.20625678133243638</v>
      </c>
      <c r="T715">
        <v>1.0561611019211685</v>
      </c>
      <c r="U715">
        <v>3.740551060659373E-2</v>
      </c>
      <c r="V715">
        <v>0.24722085398240096</v>
      </c>
      <c r="W715">
        <v>0.11621567520814897</v>
      </c>
      <c r="X715">
        <v>2.17624742196416E-2</v>
      </c>
      <c r="Y715">
        <v>4.9225795455844733E-3</v>
      </c>
    </row>
    <row r="716" spans="1:25" x14ac:dyDescent="0.25">
      <c r="A716" s="881"/>
      <c r="B716" s="1131">
        <v>466</v>
      </c>
      <c r="C716" s="885">
        <v>0.97737473876434167</v>
      </c>
      <c r="D716" s="885">
        <v>0.98807876626396618</v>
      </c>
      <c r="E716" s="885">
        <v>0.99292109404370987</v>
      </c>
      <c r="F716" s="885">
        <v>1.0450306255525488</v>
      </c>
      <c r="G716" s="885">
        <v>1.0345020663807196</v>
      </c>
      <c r="H716" s="885">
        <v>1.0249401283885116</v>
      </c>
      <c r="I716" s="885">
        <v>1.0051622668359719</v>
      </c>
      <c r="K716">
        <v>1.9720006916513533</v>
      </c>
      <c r="L716">
        <v>0</v>
      </c>
      <c r="M716">
        <v>2.0914161613352243E-3</v>
      </c>
      <c r="N716">
        <v>0.20615623073956724</v>
      </c>
      <c r="O716">
        <v>2.5884375435465169E-2</v>
      </c>
      <c r="P716">
        <v>2.1235220183611545E-2</v>
      </c>
      <c r="Q716">
        <v>3.0167130752473807E-3</v>
      </c>
      <c r="R716">
        <v>2.079245803004409E-3</v>
      </c>
      <c r="S716">
        <v>0.21546896328002005</v>
      </c>
      <c r="T716">
        <v>1.0590235527915648</v>
      </c>
      <c r="U716">
        <v>3.8184238982991892E-2</v>
      </c>
      <c r="V716">
        <v>0.25260543030192023</v>
      </c>
      <c r="W716">
        <v>0.12382868283533956</v>
      </c>
      <c r="X716">
        <v>2.0950432731372717E-2</v>
      </c>
      <c r="Y716">
        <v>5.6590216525832533E-3</v>
      </c>
    </row>
    <row r="717" spans="1:25" x14ac:dyDescent="0.25">
      <c r="A717" s="881"/>
      <c r="B717" s="1131">
        <v>467</v>
      </c>
      <c r="C717" s="885">
        <v>1.0126369097767443</v>
      </c>
      <c r="D717" s="885">
        <v>1.0037445791950084</v>
      </c>
      <c r="E717" s="885">
        <v>0.97920875769856608</v>
      </c>
      <c r="F717" s="885">
        <v>1.0306780261257007</v>
      </c>
      <c r="G717" s="885">
        <v>0.97888725109422003</v>
      </c>
      <c r="H717" s="885">
        <v>1.0069635281933824</v>
      </c>
      <c r="I717" s="885">
        <v>0.98566540243742395</v>
      </c>
      <c r="K717">
        <v>1.9239473605163215</v>
      </c>
      <c r="L717">
        <v>0</v>
      </c>
      <c r="M717">
        <v>2.0253322881624088E-3</v>
      </c>
      <c r="N717">
        <v>0.19127476242610028</v>
      </c>
      <c r="O717">
        <v>2.478914264538748E-2</v>
      </c>
      <c r="P717">
        <v>2.0722632813227074E-2</v>
      </c>
      <c r="Q717">
        <v>2.8523475087253213E-3</v>
      </c>
      <c r="R717">
        <v>2.0133229740293928E-3</v>
      </c>
      <c r="S717">
        <v>0.20069488793411361</v>
      </c>
      <c r="T717">
        <v>1.060290563455184</v>
      </c>
      <c r="U717">
        <v>3.6854582566168581E-2</v>
      </c>
      <c r="V717">
        <v>0.24558627682404147</v>
      </c>
      <c r="W717">
        <v>0.11598376087853843</v>
      </c>
      <c r="X717">
        <v>1.9430811335401841E-2</v>
      </c>
      <c r="Y717">
        <v>5.4796014435679911E-3</v>
      </c>
    </row>
    <row r="718" spans="1:25" x14ac:dyDescent="0.25">
      <c r="A718" s="881"/>
      <c r="B718" s="1131">
        <v>468</v>
      </c>
      <c r="C718" s="885">
        <v>0.97461358250097163</v>
      </c>
      <c r="D718" s="885">
        <v>1.0082004359719483</v>
      </c>
      <c r="E718" s="885">
        <v>0.97005473368868822</v>
      </c>
      <c r="F718" s="885">
        <v>1.0090253141244441</v>
      </c>
      <c r="G718" s="885">
        <v>0.96150568879204179</v>
      </c>
      <c r="H718" s="885">
        <v>0.99518806757862799</v>
      </c>
      <c r="I718" s="885">
        <v>0.96289847955391605</v>
      </c>
      <c r="K718">
        <v>1.9390209325539518</v>
      </c>
      <c r="L718">
        <v>0</v>
      </c>
      <c r="M718">
        <v>2.1154228161376753E-3</v>
      </c>
      <c r="N718">
        <v>0.19414914124035043</v>
      </c>
      <c r="O718">
        <v>2.5699897004106378E-2</v>
      </c>
      <c r="P718">
        <v>2.0692668872776671E-2</v>
      </c>
      <c r="Q718">
        <v>2.9305776042938851E-3</v>
      </c>
      <c r="R718">
        <v>2.1027269996867597E-3</v>
      </c>
      <c r="S718">
        <v>0.20212208197179557</v>
      </c>
      <c r="T718">
        <v>1.0611404486877534</v>
      </c>
      <c r="U718">
        <v>3.8292417909002119E-2</v>
      </c>
      <c r="V718">
        <v>0.25044518656766812</v>
      </c>
      <c r="W718">
        <v>0.1184797177784874</v>
      </c>
      <c r="X718">
        <v>1.9358561004788145E-2</v>
      </c>
      <c r="Y718">
        <v>5.7229297293782035E-3</v>
      </c>
    </row>
    <row r="719" spans="1:25" x14ac:dyDescent="0.25">
      <c r="A719" s="881"/>
      <c r="B719" s="1131">
        <v>469</v>
      </c>
      <c r="C719" s="885">
        <v>0.98680502958603722</v>
      </c>
      <c r="D719" s="885">
        <v>0.98248819610232085</v>
      </c>
      <c r="E719" s="885">
        <v>1.0135766982791061</v>
      </c>
      <c r="F719" s="885">
        <v>0.99363965421652511</v>
      </c>
      <c r="G719" s="885">
        <v>1.0025055417682009</v>
      </c>
      <c r="H719" s="885">
        <v>1.036102795522897</v>
      </c>
      <c r="I719" s="885">
        <v>1.0054500596211819</v>
      </c>
      <c r="K719">
        <v>1.9763731321936977</v>
      </c>
      <c r="L719">
        <v>0</v>
      </c>
      <c r="M719">
        <v>2.0104574927118416E-3</v>
      </c>
      <c r="N719">
        <v>0.21133973198904202</v>
      </c>
      <c r="O719">
        <v>2.5709268654775713E-2</v>
      </c>
      <c r="P719">
        <v>2.1519932542204273E-2</v>
      </c>
      <c r="Q719">
        <v>3.0578353006389209E-3</v>
      </c>
      <c r="R719">
        <v>1.998888872088355E-3</v>
      </c>
      <c r="S719">
        <v>0.21519059070037633</v>
      </c>
      <c r="T719">
        <v>1.0571288014141536</v>
      </c>
      <c r="U719">
        <v>3.7819335615438376E-2</v>
      </c>
      <c r="V719">
        <v>0.25193625259890307</v>
      </c>
      <c r="W719">
        <v>0.12516465504554111</v>
      </c>
      <c r="X719">
        <v>2.2077980376960498E-2</v>
      </c>
      <c r="Y719">
        <v>5.4403165762849119E-3</v>
      </c>
    </row>
    <row r="720" spans="1:25" x14ac:dyDescent="0.25">
      <c r="A720" s="881"/>
      <c r="B720" s="1131">
        <v>470</v>
      </c>
      <c r="C720" s="885">
        <v>0.97617767899426189</v>
      </c>
      <c r="D720" s="885">
        <v>0.97609579200310337</v>
      </c>
      <c r="E720" s="885">
        <v>1.0219335293699474</v>
      </c>
      <c r="F720" s="885">
        <v>0.9928465776102261</v>
      </c>
      <c r="G720" s="885">
        <v>0.96035598823156187</v>
      </c>
      <c r="H720" s="885">
        <v>1.0077708606852989</v>
      </c>
      <c r="I720" s="885">
        <v>0.97340194005956837</v>
      </c>
      <c r="K720">
        <v>1.969776857206488</v>
      </c>
      <c r="L720">
        <v>0</v>
      </c>
      <c r="M720">
        <v>1.948491865809627E-3</v>
      </c>
      <c r="N720">
        <v>0.21018018508861364</v>
      </c>
      <c r="O720">
        <v>2.6073511679471285E-2</v>
      </c>
      <c r="P720">
        <v>2.1586211838664736E-2</v>
      </c>
      <c r="Q720">
        <v>3.1256258489822989E-3</v>
      </c>
      <c r="R720">
        <v>1.9369698604181672E-3</v>
      </c>
      <c r="S720">
        <v>0.20834089948652143</v>
      </c>
      <c r="T720">
        <v>1.0563669547961652</v>
      </c>
      <c r="U720">
        <v>3.8231063262343164E-2</v>
      </c>
      <c r="V720">
        <v>0.25436096097343686</v>
      </c>
      <c r="W720">
        <v>0.12377687349473336</v>
      </c>
      <c r="X720">
        <v>2.2474299304830334E-2</v>
      </c>
      <c r="Y720">
        <v>5.2717934381153698E-3</v>
      </c>
    </row>
    <row r="721" spans="1:25" x14ac:dyDescent="0.25">
      <c r="A721" s="881"/>
      <c r="B721" s="1131">
        <v>471</v>
      </c>
      <c r="C721" s="885">
        <v>1.0135495552718676</v>
      </c>
      <c r="D721" s="885">
        <v>1.01127004915162</v>
      </c>
      <c r="E721" s="885">
        <v>0.98128650149434637</v>
      </c>
      <c r="F721" s="885">
        <v>1.00159486335672</v>
      </c>
      <c r="G721" s="885">
        <v>1.0030913226493352</v>
      </c>
      <c r="H721" s="885">
        <v>1.0067561805604184</v>
      </c>
      <c r="I721" s="885">
        <v>1.0134131195716456</v>
      </c>
      <c r="K721">
        <v>1.9264064821433966</v>
      </c>
      <c r="L721">
        <v>0</v>
      </c>
      <c r="M721">
        <v>2.0068665240296408E-3</v>
      </c>
      <c r="N721">
        <v>0.19076093211908401</v>
      </c>
      <c r="O721">
        <v>2.4675514059581367E-2</v>
      </c>
      <c r="P721">
        <v>2.0802144386368984E-2</v>
      </c>
      <c r="Q721">
        <v>2.8467514912256858E-3</v>
      </c>
      <c r="R721">
        <v>1.9949581108886115E-3</v>
      </c>
      <c r="S721">
        <v>0.20543290988494461</v>
      </c>
      <c r="T721">
        <v>1.0600981120720367</v>
      </c>
      <c r="U721">
        <v>3.6821397046448656E-2</v>
      </c>
      <c r="V721">
        <v>0.24454951550879728</v>
      </c>
      <c r="W721">
        <v>0.11550556975990364</v>
      </c>
      <c r="X721">
        <v>1.9495925888072422E-2</v>
      </c>
      <c r="Y721">
        <v>5.4296183400742879E-3</v>
      </c>
    </row>
    <row r="722" spans="1:25" x14ac:dyDescent="0.25">
      <c r="A722" s="881"/>
      <c r="B722" s="1131">
        <v>472</v>
      </c>
      <c r="C722" s="885">
        <v>1.0007752292117251</v>
      </c>
      <c r="D722" s="885">
        <v>1.0290795255805769</v>
      </c>
      <c r="E722" s="885">
        <v>0.95745834052288981</v>
      </c>
      <c r="F722" s="885">
        <v>0.98254270000400001</v>
      </c>
      <c r="G722" s="885">
        <v>1.0104299864415631</v>
      </c>
      <c r="H722" s="885">
        <v>0.99542393124959938</v>
      </c>
      <c r="I722" s="885">
        <v>1.0242595502495373</v>
      </c>
      <c r="K722">
        <v>1.9218332462108627</v>
      </c>
      <c r="L722">
        <v>0</v>
      </c>
      <c r="M722">
        <v>2.0943963091548806E-3</v>
      </c>
      <c r="N722">
        <v>0.184811414908614</v>
      </c>
      <c r="O722">
        <v>2.4776048174061316E-2</v>
      </c>
      <c r="P722">
        <v>2.0482576932981916E-2</v>
      </c>
      <c r="Q722">
        <v>2.7929205703259605E-3</v>
      </c>
      <c r="R722">
        <v>2.08181194491014E-3</v>
      </c>
      <c r="S722">
        <v>0.20745060583282304</v>
      </c>
      <c r="T722">
        <v>1.0623152306493131</v>
      </c>
      <c r="U722">
        <v>3.7291401217347073E-2</v>
      </c>
      <c r="V722">
        <v>0.24418524374127246</v>
      </c>
      <c r="W722">
        <v>0.11378288467324739</v>
      </c>
      <c r="X722">
        <v>1.829149803019673E-2</v>
      </c>
      <c r="Y722">
        <v>5.666005844922199E-3</v>
      </c>
    </row>
    <row r="723" spans="1:25" x14ac:dyDescent="0.25">
      <c r="A723" s="881"/>
      <c r="B723" s="1131">
        <v>473</v>
      </c>
      <c r="C723" s="885">
        <v>0.99304572636508726</v>
      </c>
      <c r="D723" s="885">
        <v>1.0175347434887525</v>
      </c>
      <c r="E723" s="885">
        <v>0.9924925638017954</v>
      </c>
      <c r="F723" s="885">
        <v>0.9859668146076368</v>
      </c>
      <c r="G723" s="885">
        <v>0.98419308082754475</v>
      </c>
      <c r="H723" s="885">
        <v>1.0271415745401564</v>
      </c>
      <c r="I723" s="885">
        <v>0.99214306635214056</v>
      </c>
      <c r="K723">
        <v>1.9457234675457387</v>
      </c>
      <c r="L723">
        <v>0</v>
      </c>
      <c r="M723">
        <v>2.0349245923029394E-3</v>
      </c>
      <c r="N723">
        <v>0.20032045358231731</v>
      </c>
      <c r="O723">
        <v>2.5108279202128995E-2</v>
      </c>
      <c r="P723">
        <v>2.1021281285990921E-2</v>
      </c>
      <c r="Q723">
        <v>2.9309859354768263E-3</v>
      </c>
      <c r="R723">
        <v>2.0230843003614931E-3</v>
      </c>
      <c r="S723">
        <v>0.20673721759319219</v>
      </c>
      <c r="T723">
        <v>1.0590630381018429</v>
      </c>
      <c r="U723">
        <v>3.7581663774459699E-2</v>
      </c>
      <c r="V723">
        <v>0.24664008337665874</v>
      </c>
      <c r="W723">
        <v>0.12035886310969787</v>
      </c>
      <c r="X723">
        <v>2.0467273319893078E-2</v>
      </c>
      <c r="Y723">
        <v>5.5061685560236079E-3</v>
      </c>
    </row>
    <row r="724" spans="1:25" x14ac:dyDescent="0.25">
      <c r="A724" s="881"/>
      <c r="B724" s="1131">
        <v>474</v>
      </c>
      <c r="C724" s="885">
        <v>1.0025495355073024</v>
      </c>
      <c r="D724" s="885">
        <v>1.0029888390506176</v>
      </c>
      <c r="E724" s="885">
        <v>1.0110680146421558</v>
      </c>
      <c r="F724" s="885">
        <v>1.0230105452422253</v>
      </c>
      <c r="G724" s="885">
        <v>0.97986358105284888</v>
      </c>
      <c r="H724" s="885">
        <v>1.0200031758178378</v>
      </c>
      <c r="I724" s="885">
        <v>0.97024360204293292</v>
      </c>
      <c r="K724">
        <v>1.9404758654636585</v>
      </c>
      <c r="L724">
        <v>0</v>
      </c>
      <c r="M724">
        <v>1.9385527543896407E-3</v>
      </c>
      <c r="N724">
        <v>0.2021780719377935</v>
      </c>
      <c r="O724">
        <v>2.5047896628257942E-2</v>
      </c>
      <c r="P724">
        <v>2.1211438721601819E-2</v>
      </c>
      <c r="Q724">
        <v>2.9760152272776509E-3</v>
      </c>
      <c r="R724">
        <v>1.9272055435104196E-3</v>
      </c>
      <c r="S724">
        <v>0.20088673489065717</v>
      </c>
      <c r="T724">
        <v>1.0573580368240452</v>
      </c>
      <c r="U724">
        <v>3.7225403113904321E-2</v>
      </c>
      <c r="V724">
        <v>0.2470790587593451</v>
      </c>
      <c r="W724">
        <v>0.11994267073989082</v>
      </c>
      <c r="X724">
        <v>2.1336667645465792E-2</v>
      </c>
      <c r="Y724">
        <v>5.245218186298686E-3</v>
      </c>
    </row>
    <row r="725" spans="1:25" x14ac:dyDescent="0.25">
      <c r="A725" s="881"/>
      <c r="B725" s="1131">
        <v>475</v>
      </c>
      <c r="C725" s="885">
        <v>1.0234056135669412</v>
      </c>
      <c r="D725" s="885">
        <v>1.0222856191677834</v>
      </c>
      <c r="E725" s="885">
        <v>1.0113944811391047</v>
      </c>
      <c r="F725" s="885">
        <v>0.99015796900757524</v>
      </c>
      <c r="G725" s="885">
        <v>1.0056766250567006</v>
      </c>
      <c r="H725" s="885">
        <v>1.0247766593402212</v>
      </c>
      <c r="I725" s="885">
        <v>0.99800589632202463</v>
      </c>
      <c r="K725">
        <v>1.9253841698930845</v>
      </c>
      <c r="L725">
        <v>0</v>
      </c>
      <c r="M725">
        <v>1.8887659434040061E-3</v>
      </c>
      <c r="N725">
        <v>0.19718953864500427</v>
      </c>
      <c r="O725">
        <v>2.4307469636980352E-2</v>
      </c>
      <c r="P725">
        <v>2.1138053179328157E-2</v>
      </c>
      <c r="Q725">
        <v>2.8928042432862337E-3</v>
      </c>
      <c r="R725">
        <v>1.8777471944596603E-3</v>
      </c>
      <c r="S725">
        <v>0.2011285598718687</v>
      </c>
      <c r="T725">
        <v>1.0573281914623462</v>
      </c>
      <c r="U725">
        <v>3.6466783166101621E-2</v>
      </c>
      <c r="V725">
        <v>0.24192208630234721</v>
      </c>
      <c r="W725">
        <v>0.11695728507096512</v>
      </c>
      <c r="X725">
        <v>2.0953808199679527E-2</v>
      </c>
      <c r="Y725">
        <v>5.1106088641229017E-3</v>
      </c>
    </row>
    <row r="726" spans="1:25" x14ac:dyDescent="0.25">
      <c r="A726" s="881"/>
      <c r="B726" s="1131">
        <v>476</v>
      </c>
      <c r="C726" s="885">
        <v>0.96115615041591562</v>
      </c>
      <c r="D726" s="885">
        <v>1.0095780652649204</v>
      </c>
      <c r="E726" s="885">
        <v>0.9985207854425977</v>
      </c>
      <c r="F726" s="885">
        <v>0.96908988589847733</v>
      </c>
      <c r="G726" s="885">
        <v>0.992568627442458</v>
      </c>
      <c r="H726" s="885">
        <v>0.99739887058115928</v>
      </c>
      <c r="I726" s="885">
        <v>0.96782338138146906</v>
      </c>
      <c r="K726">
        <v>1.9569230988960269</v>
      </c>
      <c r="L726">
        <v>0</v>
      </c>
      <c r="M726">
        <v>2.0236513908523167E-3</v>
      </c>
      <c r="N726">
        <v>0.20294855392147024</v>
      </c>
      <c r="O726">
        <v>2.6042142381482173E-2</v>
      </c>
      <c r="P726">
        <v>2.1194021931143333E-2</v>
      </c>
      <c r="Q726">
        <v>3.0568587385111957E-3</v>
      </c>
      <c r="R726">
        <v>2.0115321233233523E-3</v>
      </c>
      <c r="S726">
        <v>0.20609563767528472</v>
      </c>
      <c r="T726">
        <v>1.0585082470072311</v>
      </c>
      <c r="U726">
        <v>3.8828561399484887E-2</v>
      </c>
      <c r="V726">
        <v>0.252279395391521</v>
      </c>
      <c r="W726">
        <v>0.12143440514001157</v>
      </c>
      <c r="X726">
        <v>2.107266723911325E-2</v>
      </c>
      <c r="Y726">
        <v>5.4747273382999241E-3</v>
      </c>
    </row>
    <row r="727" spans="1:25" x14ac:dyDescent="0.25">
      <c r="A727" s="881"/>
      <c r="B727" s="1131">
        <v>477</v>
      </c>
      <c r="C727" s="885">
        <v>0.98198822045732981</v>
      </c>
      <c r="D727" s="885">
        <v>1.0089375631279189</v>
      </c>
      <c r="E727" s="885">
        <v>1.0167673686311942</v>
      </c>
      <c r="F727" s="885">
        <v>0.9725026304773442</v>
      </c>
      <c r="G727" s="885">
        <v>0.97188404138207196</v>
      </c>
      <c r="H727" s="885">
        <v>0.98166673594827458</v>
      </c>
      <c r="I727" s="885">
        <v>1.0406614603665865</v>
      </c>
      <c r="K727">
        <v>1.9530417919663674</v>
      </c>
      <c r="L727">
        <v>0</v>
      </c>
      <c r="M727">
        <v>1.8764927518014932E-3</v>
      </c>
      <c r="N727">
        <v>0.19915675661162766</v>
      </c>
      <c r="O727">
        <v>2.5497678084968476E-2</v>
      </c>
      <c r="P727">
        <v>2.1533647605306072E-2</v>
      </c>
      <c r="Q727">
        <v>3.0479795441599958E-3</v>
      </c>
      <c r="R727">
        <v>1.865075190827555E-3</v>
      </c>
      <c r="S727">
        <v>0.21528843711372067</v>
      </c>
      <c r="T727">
        <v>1.0568376033611375</v>
      </c>
      <c r="U727">
        <v>3.8004845499609051E-2</v>
      </c>
      <c r="V727">
        <v>0.24927380240256811</v>
      </c>
      <c r="W727">
        <v>0.11769484016971708</v>
      </c>
      <c r="X727">
        <v>2.164149928696606E-2</v>
      </c>
      <c r="Y727">
        <v>5.0761198475611849E-3</v>
      </c>
    </row>
    <row r="728" spans="1:25" x14ac:dyDescent="0.25">
      <c r="A728" s="881"/>
      <c r="B728" s="1131">
        <v>478</v>
      </c>
      <c r="C728" s="885">
        <v>0.99147649923145353</v>
      </c>
      <c r="D728" s="885">
        <v>0.96635492750626206</v>
      </c>
      <c r="E728" s="885">
        <v>1.0366352848658151</v>
      </c>
      <c r="F728" s="885">
        <v>1.0255840523233573</v>
      </c>
      <c r="G728" s="885">
        <v>0.98246908795051935</v>
      </c>
      <c r="H728" s="885">
        <v>0.99362545454032958</v>
      </c>
      <c r="I728" s="885">
        <v>1.0100171116341816</v>
      </c>
      <c r="K728">
        <v>1.9664983005847068</v>
      </c>
      <c r="L728">
        <v>0</v>
      </c>
      <c r="M728">
        <v>1.8427356492155714E-3</v>
      </c>
      <c r="N728">
        <v>0.20803786471300792</v>
      </c>
      <c r="O728">
        <v>2.5799470160112702E-2</v>
      </c>
      <c r="P728">
        <v>2.1833674838075873E-2</v>
      </c>
      <c r="Q728">
        <v>3.135854537487273E-3</v>
      </c>
      <c r="R728">
        <v>1.831691662355585E-3</v>
      </c>
      <c r="S728">
        <v>0.21234562013139824</v>
      </c>
      <c r="T728">
        <v>1.0550333067026951</v>
      </c>
      <c r="U728">
        <v>3.7641144928645162E-2</v>
      </c>
      <c r="V728">
        <v>0.25338242339827133</v>
      </c>
      <c r="W728">
        <v>0.12131356454198924</v>
      </c>
      <c r="X728">
        <v>2.3001159731945647E-2</v>
      </c>
      <c r="Y728">
        <v>4.9852608879376861E-3</v>
      </c>
    </row>
    <row r="729" spans="1:25" x14ac:dyDescent="0.25">
      <c r="A729" s="881"/>
      <c r="B729" s="1131">
        <v>479</v>
      </c>
      <c r="C729" s="885">
        <v>0.98673555394726609</v>
      </c>
      <c r="D729" s="885">
        <v>0.96050973666127804</v>
      </c>
      <c r="E729" s="885">
        <v>1.0296556306232894</v>
      </c>
      <c r="F729" s="885">
        <v>1.040318122308294</v>
      </c>
      <c r="G729" s="885">
        <v>0.97153965540848852</v>
      </c>
      <c r="H729" s="885">
        <v>0.9996075974846842</v>
      </c>
      <c r="I729" s="885">
        <v>0.99441954492820539</v>
      </c>
      <c r="K729">
        <v>1.9706637939346339</v>
      </c>
      <c r="L729">
        <v>0</v>
      </c>
      <c r="M729">
        <v>1.8961688344985967E-3</v>
      </c>
      <c r="N729">
        <v>0.2094911855711917</v>
      </c>
      <c r="O729">
        <v>2.6001801274614711E-2</v>
      </c>
      <c r="P729">
        <v>2.1740843831346994E-2</v>
      </c>
      <c r="Q729">
        <v>3.1374012558899461E-3</v>
      </c>
      <c r="R729">
        <v>1.884877444181719E-3</v>
      </c>
      <c r="S729">
        <v>0.21128229281840866</v>
      </c>
      <c r="T729">
        <v>1.0556654007253992</v>
      </c>
      <c r="U729">
        <v>3.7821998459084023E-2</v>
      </c>
      <c r="V729">
        <v>0.25487496327283776</v>
      </c>
      <c r="W729">
        <v>0.12273250206391639</v>
      </c>
      <c r="X729">
        <v>2.2796680998879132E-2</v>
      </c>
      <c r="Y729">
        <v>5.130015053380157E-3</v>
      </c>
    </row>
    <row r="730" spans="1:25" x14ac:dyDescent="0.25">
      <c r="A730" s="881"/>
      <c r="B730" s="1131">
        <v>480</v>
      </c>
      <c r="C730" s="885">
        <v>1.0027843061134183</v>
      </c>
      <c r="D730" s="885">
        <v>1.0317017506307331</v>
      </c>
      <c r="E730" s="885">
        <v>0.97026101774522289</v>
      </c>
      <c r="F730" s="885">
        <v>1.0219258821139738</v>
      </c>
      <c r="G730" s="885">
        <v>1.0273266068273137</v>
      </c>
      <c r="H730" s="885">
        <v>1.0407126638381008</v>
      </c>
      <c r="I730" s="885">
        <v>1.0293865092850223</v>
      </c>
      <c r="K730">
        <v>1.9418723278497265</v>
      </c>
      <c r="L730">
        <v>0</v>
      </c>
      <c r="M730">
        <v>2.1248294026472792E-3</v>
      </c>
      <c r="N730">
        <v>0.19518768360197833</v>
      </c>
      <c r="O730">
        <v>2.469540943641851E-2</v>
      </c>
      <c r="P730">
        <v>2.0727979165001079E-2</v>
      </c>
      <c r="Q730">
        <v>2.8211178644855016E-3</v>
      </c>
      <c r="R730">
        <v>2.112615644839483E-3</v>
      </c>
      <c r="S730">
        <v>0.2124623351433898</v>
      </c>
      <c r="T730">
        <v>1.0611212609678589</v>
      </c>
      <c r="U730">
        <v>3.7216687949138863E-2</v>
      </c>
      <c r="V730">
        <v>0.24360054702216785</v>
      </c>
      <c r="W730">
        <v>0.11909632247387905</v>
      </c>
      <c r="X730">
        <v>1.9205354621523899E-2</v>
      </c>
      <c r="Y730">
        <v>5.7498433616929179E-3</v>
      </c>
    </row>
    <row r="731" spans="1:25" x14ac:dyDescent="0.25">
      <c r="A731" s="881"/>
      <c r="B731" s="1131">
        <v>481</v>
      </c>
      <c r="C731" s="885">
        <v>1.0315561506422222</v>
      </c>
      <c r="D731" s="885">
        <v>1.00109468518526</v>
      </c>
      <c r="E731" s="885">
        <v>0.98188989734433574</v>
      </c>
      <c r="F731" s="885">
        <v>1.0337096909743282</v>
      </c>
      <c r="G731" s="885">
        <v>0.98552727942436502</v>
      </c>
      <c r="H731" s="885">
        <v>0.99246820054647567</v>
      </c>
      <c r="I731" s="885">
        <v>0.98393286930220103</v>
      </c>
      <c r="K731">
        <v>1.9056420096354043</v>
      </c>
      <c r="L731">
        <v>0</v>
      </c>
      <c r="M731">
        <v>1.9511154003047624E-3</v>
      </c>
      <c r="N731">
        <v>0.1857953339988726</v>
      </c>
      <c r="O731">
        <v>2.4366349874259216E-2</v>
      </c>
      <c r="P731">
        <v>2.0652529864337386E-2</v>
      </c>
      <c r="Q731">
        <v>2.8108300915677324E-3</v>
      </c>
      <c r="R731">
        <v>1.9393793342275707E-3</v>
      </c>
      <c r="S731">
        <v>0.19550809795289811</v>
      </c>
      <c r="T731">
        <v>1.060042253802564</v>
      </c>
      <c r="U731">
        <v>3.6178651620352574E-2</v>
      </c>
      <c r="V731">
        <v>0.24335270228712447</v>
      </c>
      <c r="W731">
        <v>0.11245186473964552</v>
      </c>
      <c r="X731">
        <v>1.9216780238315929E-2</v>
      </c>
      <c r="Y731">
        <v>5.2783512315417412E-3</v>
      </c>
    </row>
    <row r="732" spans="1:25" x14ac:dyDescent="0.25">
      <c r="A732" s="881"/>
      <c r="B732" s="1131">
        <v>482</v>
      </c>
      <c r="C732" s="885">
        <v>0.97787356781199319</v>
      </c>
      <c r="D732" s="885">
        <v>1.0265760063758886</v>
      </c>
      <c r="E732" s="885">
        <v>1.0457670475187071</v>
      </c>
      <c r="F732" s="885">
        <v>1.0101714655687124</v>
      </c>
      <c r="G732" s="885">
        <v>0.95507345432868018</v>
      </c>
      <c r="H732" s="885">
        <v>0.97032411526930151</v>
      </c>
      <c r="I732" s="885">
        <v>1.0174370428139008</v>
      </c>
      <c r="K732">
        <v>1.9451953945276532</v>
      </c>
      <c r="L732">
        <v>0</v>
      </c>
      <c r="M732">
        <v>1.7368452944364367E-3</v>
      </c>
      <c r="N732">
        <v>0.2016819616224034</v>
      </c>
      <c r="O732">
        <v>2.5386773821875843E-2</v>
      </c>
      <c r="P732">
        <v>2.1839333612919804E-2</v>
      </c>
      <c r="Q732">
        <v>3.126677922668551E-3</v>
      </c>
      <c r="R732">
        <v>1.7261411395402939E-3</v>
      </c>
      <c r="S732">
        <v>0.20852099924817985</v>
      </c>
      <c r="T732">
        <v>1.0542091956112618</v>
      </c>
      <c r="U732">
        <v>3.8164760588039658E-2</v>
      </c>
      <c r="V732">
        <v>0.24770794464018253</v>
      </c>
      <c r="W732">
        <v>0.11689526803181664</v>
      </c>
      <c r="X732">
        <v>2.297519642364499E-2</v>
      </c>
      <c r="Y732">
        <v>4.6979871595549576E-3</v>
      </c>
    </row>
    <row r="733" spans="1:25" x14ac:dyDescent="0.25">
      <c r="A733" s="881"/>
      <c r="B733" s="1131">
        <v>483</v>
      </c>
      <c r="C733" s="885">
        <v>0.97412889642893052</v>
      </c>
      <c r="D733" s="885">
        <v>1.0106655329056824</v>
      </c>
      <c r="E733" s="885">
        <v>1.0268554950077624</v>
      </c>
      <c r="F733" s="885">
        <v>1.0030856339582961</v>
      </c>
      <c r="G733" s="885">
        <v>0.96742142642453643</v>
      </c>
      <c r="H733" s="885">
        <v>0.99842659842611392</v>
      </c>
      <c r="I733" s="885">
        <v>0.96223510839793214</v>
      </c>
      <c r="K733">
        <v>1.9514422168212076</v>
      </c>
      <c r="L733">
        <v>0</v>
      </c>
      <c r="M733">
        <v>1.881761222887583E-3</v>
      </c>
      <c r="N733">
        <v>0.20609405070642442</v>
      </c>
      <c r="O733">
        <v>2.568166170329941E-2</v>
      </c>
      <c r="P733">
        <v>2.1515228659083358E-2</v>
      </c>
      <c r="Q733">
        <v>3.1012540893658341E-3</v>
      </c>
      <c r="R733">
        <v>1.8705024729652659E-3</v>
      </c>
      <c r="S733">
        <v>0.2021793030387406</v>
      </c>
      <c r="T733">
        <v>1.0559195238131178</v>
      </c>
      <c r="U733">
        <v>3.8311470625427321E-2</v>
      </c>
      <c r="V733">
        <v>0.25020649671112277</v>
      </c>
      <c r="W733">
        <v>0.12096930637733413</v>
      </c>
      <c r="X733">
        <v>2.2384288726775413E-2</v>
      </c>
      <c r="Y733">
        <v>5.0908911204369592E-3</v>
      </c>
    </row>
    <row r="734" spans="1:25" x14ac:dyDescent="0.25">
      <c r="A734" s="881"/>
      <c r="B734" s="1131">
        <v>484</v>
      </c>
      <c r="C734" s="885">
        <v>1.0144850235396079</v>
      </c>
      <c r="D734" s="885">
        <v>0.96370121860145241</v>
      </c>
      <c r="E734" s="885">
        <v>1.0400608367999251</v>
      </c>
      <c r="F734" s="885">
        <v>0.99202993005753881</v>
      </c>
      <c r="G734" s="885">
        <v>1.0217963207884257</v>
      </c>
      <c r="H734" s="885">
        <v>1.0427419926393147</v>
      </c>
      <c r="I734" s="885">
        <v>0.97548223796574873</v>
      </c>
      <c r="K734">
        <v>1.9651092364217613</v>
      </c>
      <c r="L734">
        <v>0</v>
      </c>
      <c r="M734">
        <v>1.8788686579553208E-3</v>
      </c>
      <c r="N734">
        <v>0.21444447571279365</v>
      </c>
      <c r="O734">
        <v>2.5248852275783988E-2</v>
      </c>
      <c r="P734">
        <v>2.1734127245381301E-2</v>
      </c>
      <c r="Q734">
        <v>3.0786928743769949E-3</v>
      </c>
      <c r="R734">
        <v>1.8681406014012852E-3</v>
      </c>
      <c r="S734">
        <v>0.20555604990940185</v>
      </c>
      <c r="T734">
        <v>1.0547237788864157</v>
      </c>
      <c r="U734">
        <v>3.6787443614203198E-2</v>
      </c>
      <c r="V734">
        <v>0.25040816268159366</v>
      </c>
      <c r="W734">
        <v>0.12476439004372336</v>
      </c>
      <c r="X734">
        <v>2.3289528350009518E-2</v>
      </c>
      <c r="Y734">
        <v>5.084462884630556E-3</v>
      </c>
    </row>
    <row r="735" spans="1:25" x14ac:dyDescent="0.25">
      <c r="A735" s="881"/>
      <c r="B735" s="1131">
        <v>485</v>
      </c>
      <c r="C735" s="885">
        <v>1.0168290651976997</v>
      </c>
      <c r="D735" s="885">
        <v>0.97699711881661033</v>
      </c>
      <c r="E735" s="885">
        <v>1.0022459588193673</v>
      </c>
      <c r="F735" s="885">
        <v>0.96550331992259486</v>
      </c>
      <c r="G735" s="885">
        <v>0.97645448850540839</v>
      </c>
      <c r="H735" s="885">
        <v>1.0096183390970812</v>
      </c>
      <c r="I735" s="885">
        <v>1.0270918458319385</v>
      </c>
      <c r="K735">
        <v>1.9460160826338926</v>
      </c>
      <c r="L735">
        <v>0</v>
      </c>
      <c r="M735">
        <v>1.9526102421092721E-3</v>
      </c>
      <c r="N735">
        <v>0.19812371377526067</v>
      </c>
      <c r="O735">
        <v>2.501965876623629E-2</v>
      </c>
      <c r="P735">
        <v>2.123454469519542E-2</v>
      </c>
      <c r="Q735">
        <v>2.9410997360689297E-3</v>
      </c>
      <c r="R735">
        <v>1.9410842671173389E-3</v>
      </c>
      <c r="S735">
        <v>0.21114506666878941</v>
      </c>
      <c r="T735">
        <v>1.0581661180870148</v>
      </c>
      <c r="U735">
        <v>3.6702639488044933E-2</v>
      </c>
      <c r="V735">
        <v>0.24834759283636967</v>
      </c>
      <c r="W735">
        <v>0.11824575654755325</v>
      </c>
      <c r="X735">
        <v>2.08184265115131E-2</v>
      </c>
      <c r="Y735">
        <v>5.2829914968367123E-3</v>
      </c>
    </row>
    <row r="736" spans="1:25" x14ac:dyDescent="0.25">
      <c r="A736" s="881"/>
      <c r="B736" s="1131">
        <v>486</v>
      </c>
      <c r="C736" s="885">
        <v>1.027403586908719</v>
      </c>
      <c r="D736" s="885">
        <v>0.99802695508598782</v>
      </c>
      <c r="E736" s="885">
        <v>0.98841657363367341</v>
      </c>
      <c r="F736" s="885">
        <v>0.98536423339759971</v>
      </c>
      <c r="G736" s="885">
        <v>1.033585936768924</v>
      </c>
      <c r="H736" s="885">
        <v>1.0319380102649074</v>
      </c>
      <c r="I736" s="885">
        <v>0.9766326845506893</v>
      </c>
      <c r="K736">
        <v>1.9259130975585421</v>
      </c>
      <c r="L736">
        <v>0</v>
      </c>
      <c r="M736">
        <v>2.0122206419694354E-3</v>
      </c>
      <c r="N736">
        <v>0.19559450267920989</v>
      </c>
      <c r="O736">
        <v>2.4502030627479077E-2</v>
      </c>
      <c r="P736">
        <v>2.0807254504137965E-2</v>
      </c>
      <c r="Q736">
        <v>2.8446314051852333E-3</v>
      </c>
      <c r="R736">
        <v>2.0005824423956283E-3</v>
      </c>
      <c r="S736">
        <v>0.19891719270654507</v>
      </c>
      <c r="T736">
        <v>1.0594389618718696</v>
      </c>
      <c r="U736">
        <v>3.6324878632366199E-2</v>
      </c>
      <c r="V736">
        <v>0.24428207966413754</v>
      </c>
      <c r="W736">
        <v>0.11784977762087956</v>
      </c>
      <c r="X736">
        <v>1.991850012992712E-2</v>
      </c>
      <c r="Y736">
        <v>5.4449259163760052E-3</v>
      </c>
    </row>
    <row r="737" spans="1:25" x14ac:dyDescent="0.25">
      <c r="A737" s="881"/>
      <c r="B737" s="1131">
        <v>487</v>
      </c>
      <c r="C737" s="885">
        <v>0.9672357761361281</v>
      </c>
      <c r="D737" s="885">
        <v>1.0051646610837579</v>
      </c>
      <c r="E737" s="885">
        <v>0.98316204865260837</v>
      </c>
      <c r="F737" s="885">
        <v>1.0221601238653062</v>
      </c>
      <c r="G737" s="885">
        <v>0.97734967732481681</v>
      </c>
      <c r="H737" s="885">
        <v>1.0081956434210266</v>
      </c>
      <c r="I737" s="885">
        <v>1.0029537026840418</v>
      </c>
      <c r="K737">
        <v>1.963029577147456</v>
      </c>
      <c r="L737">
        <v>0</v>
      </c>
      <c r="M737">
        <v>2.1039735633762197E-3</v>
      </c>
      <c r="N737">
        <v>0.20116548755052732</v>
      </c>
      <c r="O737">
        <v>2.5934577063708608E-2</v>
      </c>
      <c r="P737">
        <v>2.1065225310400896E-2</v>
      </c>
      <c r="Q737">
        <v>2.9964477821381513E-3</v>
      </c>
      <c r="R737">
        <v>2.0915119697314491E-3</v>
      </c>
      <c r="S737">
        <v>0.21379098240369288</v>
      </c>
      <c r="T737">
        <v>1.0599245330077145</v>
      </c>
      <c r="U737">
        <v>3.858450185745041E-2</v>
      </c>
      <c r="V737">
        <v>0.25192621553710132</v>
      </c>
      <c r="W737">
        <v>0.12164734799255512</v>
      </c>
      <c r="X737">
        <v>2.0314314120936608E-2</v>
      </c>
      <c r="Y737">
        <v>5.6924061148734811E-3</v>
      </c>
    </row>
    <row r="738" spans="1:25" x14ac:dyDescent="0.25">
      <c r="A738" s="881"/>
      <c r="B738" s="1131">
        <v>488</v>
      </c>
      <c r="C738" s="885">
        <v>0.97363906544613932</v>
      </c>
      <c r="D738" s="885">
        <v>1.0301819020194674</v>
      </c>
      <c r="E738" s="885">
        <v>0.99215498514965461</v>
      </c>
      <c r="F738" s="885">
        <v>0.99859538778787738</v>
      </c>
      <c r="G738" s="885">
        <v>0.97711611486852956</v>
      </c>
      <c r="H738" s="885">
        <v>1.0044655736166408</v>
      </c>
      <c r="I738" s="885">
        <v>1.0277549504837922</v>
      </c>
      <c r="K738">
        <v>1.9534354144605055</v>
      </c>
      <c r="L738">
        <v>0</v>
      </c>
      <c r="M738">
        <v>2.0187757057684311E-3</v>
      </c>
      <c r="N738">
        <v>0.1984947762678701</v>
      </c>
      <c r="O738">
        <v>2.545313952891649E-2</v>
      </c>
      <c r="P738">
        <v>2.1152956987355167E-2</v>
      </c>
      <c r="Q738">
        <v>2.9727628422159865E-3</v>
      </c>
      <c r="R738">
        <v>2.0067540215690698E-3</v>
      </c>
      <c r="S738">
        <v>0.21480723969380139</v>
      </c>
      <c r="T738">
        <v>1.0590941480487948</v>
      </c>
      <c r="U738">
        <v>3.8330744857506337E-2</v>
      </c>
      <c r="V738">
        <v>0.24788767216521762</v>
      </c>
      <c r="W738">
        <v>0.11928963760752993</v>
      </c>
      <c r="X738">
        <v>2.0502635225071696E-2</v>
      </c>
      <c r="Y738">
        <v>5.4617229204255886E-3</v>
      </c>
    </row>
    <row r="739" spans="1:25" x14ac:dyDescent="0.25">
      <c r="A739" s="881"/>
      <c r="B739" s="1131">
        <v>489</v>
      </c>
      <c r="C739" s="885">
        <v>0.98495910343238358</v>
      </c>
      <c r="D739" s="885">
        <v>0.97767577764794611</v>
      </c>
      <c r="E739" s="885">
        <v>1.0074912001611975</v>
      </c>
      <c r="F739" s="885">
        <v>0.97740297294726441</v>
      </c>
      <c r="G739" s="885">
        <v>1.0128135770150108</v>
      </c>
      <c r="H739" s="885">
        <v>0.99013749185877142</v>
      </c>
      <c r="I739" s="885">
        <v>0.99824208717479679</v>
      </c>
      <c r="K739">
        <v>1.9564973851485765</v>
      </c>
      <c r="L739">
        <v>0</v>
      </c>
      <c r="M739">
        <v>1.9544883953943565E-3</v>
      </c>
      <c r="N739">
        <v>0.20155223436729286</v>
      </c>
      <c r="O739">
        <v>2.5820306012252617E-2</v>
      </c>
      <c r="P739">
        <v>2.1369854974229444E-2</v>
      </c>
      <c r="Q739">
        <v>3.0513681668375074E-3</v>
      </c>
      <c r="R739">
        <v>1.9427237717124194E-3</v>
      </c>
      <c r="S739">
        <v>0.20976601497932132</v>
      </c>
      <c r="T739">
        <v>1.057685299398335</v>
      </c>
      <c r="U739">
        <v>3.7890213381310101E-2</v>
      </c>
      <c r="V739">
        <v>0.25283698491781614</v>
      </c>
      <c r="W739">
        <v>0.11986249662354136</v>
      </c>
      <c r="X739">
        <v>2.1386923263439248E-2</v>
      </c>
      <c r="Y739">
        <v>5.2874536878819781E-3</v>
      </c>
    </row>
    <row r="740" spans="1:25" x14ac:dyDescent="0.25">
      <c r="A740" s="881"/>
      <c r="B740" s="1131">
        <v>490</v>
      </c>
      <c r="C740" s="885">
        <v>1.0029986705100606</v>
      </c>
      <c r="D740" s="885">
        <v>1.034532612785912</v>
      </c>
      <c r="E740" s="885">
        <v>1.0278041132060671</v>
      </c>
      <c r="F740" s="885">
        <v>1.0238916404170211</v>
      </c>
      <c r="G740" s="885">
        <v>0.98571660699212715</v>
      </c>
      <c r="H740" s="885">
        <v>0.96453939933287114</v>
      </c>
      <c r="I740" s="885">
        <v>1.0006441880179642</v>
      </c>
      <c r="K740">
        <v>1.9136353673777331</v>
      </c>
      <c r="L740">
        <v>0</v>
      </c>
      <c r="M740">
        <v>1.7418678215248042E-3</v>
      </c>
      <c r="N740">
        <v>0.19129299805771161</v>
      </c>
      <c r="O740">
        <v>2.4656815987702481E-2</v>
      </c>
      <c r="P740">
        <v>2.136751994588432E-2</v>
      </c>
      <c r="Q740">
        <v>2.9851000195188059E-3</v>
      </c>
      <c r="R740">
        <v>1.7310626271173487E-3</v>
      </c>
      <c r="S740">
        <v>0.19866427968346695</v>
      </c>
      <c r="T740">
        <v>1.0558333986847375</v>
      </c>
      <c r="U740">
        <v>3.7208733867950386E-2</v>
      </c>
      <c r="V740">
        <v>0.2432391724731171</v>
      </c>
      <c r="W740">
        <v>0.11221017091854596</v>
      </c>
      <c r="X740">
        <v>2.1476601107132728E-2</v>
      </c>
      <c r="Y740">
        <v>4.7113818263717589E-3</v>
      </c>
    </row>
    <row r="741" spans="1:25" x14ac:dyDescent="0.25">
      <c r="A741" s="881"/>
      <c r="B741" s="1131">
        <v>491</v>
      </c>
      <c r="C741" s="885">
        <v>1.0229351777790805</v>
      </c>
      <c r="D741" s="885">
        <v>0.97245794701485244</v>
      </c>
      <c r="E741" s="885">
        <v>0.98730746612385434</v>
      </c>
      <c r="F741" s="885">
        <v>1.002157599678444</v>
      </c>
      <c r="G741" s="885">
        <v>0.98730561425756658</v>
      </c>
      <c r="H741" s="885">
        <v>0.97649952570190468</v>
      </c>
      <c r="I741" s="885">
        <v>1.0045059018042628</v>
      </c>
      <c r="K741">
        <v>1.9215412859279952</v>
      </c>
      <c r="L741">
        <v>0</v>
      </c>
      <c r="M741">
        <v>1.941715366966007E-3</v>
      </c>
      <c r="N741">
        <v>0.18803040372599805</v>
      </c>
      <c r="O741">
        <v>2.4927910229486525E-2</v>
      </c>
      <c r="P741">
        <v>2.0891488623587626E-2</v>
      </c>
      <c r="Q741">
        <v>2.8855688300565277E-3</v>
      </c>
      <c r="R741">
        <v>1.9298688373562791E-3</v>
      </c>
      <c r="S741">
        <v>0.20237331922779905</v>
      </c>
      <c r="T741">
        <v>1.0595413653107399</v>
      </c>
      <c r="U741">
        <v>3.6483553808310636E-2</v>
      </c>
      <c r="V741">
        <v>0.24808331753982446</v>
      </c>
      <c r="W741">
        <v>0.11337899318074977</v>
      </c>
      <c r="X741">
        <v>1.9704745186858854E-2</v>
      </c>
      <c r="Y741">
        <v>5.2524667941925346E-3</v>
      </c>
    </row>
    <row r="742" spans="1:25" x14ac:dyDescent="0.25">
      <c r="A742" s="881"/>
      <c r="B742" s="1131">
        <v>492</v>
      </c>
      <c r="C742" s="885">
        <v>1.0131245505817585</v>
      </c>
      <c r="D742" s="885">
        <v>0.98738155955642581</v>
      </c>
      <c r="E742" s="885">
        <v>1.0055878492550703</v>
      </c>
      <c r="F742" s="885">
        <v>0.9987940040829244</v>
      </c>
      <c r="G742" s="885">
        <v>0.99491589613047471</v>
      </c>
      <c r="H742" s="885">
        <v>1.0219184852785643</v>
      </c>
      <c r="I742" s="885">
        <v>1.0036152914207486</v>
      </c>
      <c r="K742">
        <v>1.9455838827522531</v>
      </c>
      <c r="L742">
        <v>0</v>
      </c>
      <c r="M742">
        <v>1.9594075100042782E-3</v>
      </c>
      <c r="N742">
        <v>0.2009041317189916</v>
      </c>
      <c r="O742">
        <v>2.4979742784787755E-2</v>
      </c>
      <c r="P742">
        <v>2.1221514647386901E-2</v>
      </c>
      <c r="Q742">
        <v>2.9484562207858973E-3</v>
      </c>
      <c r="R742">
        <v>1.9479721838034474E-3</v>
      </c>
      <c r="S742">
        <v>0.20730848603056681</v>
      </c>
      <c r="T742">
        <v>1.0578596509942715</v>
      </c>
      <c r="U742">
        <v>3.6836843584026023E-2</v>
      </c>
      <c r="V742">
        <v>0.24754998026353728</v>
      </c>
      <c r="W742">
        <v>0.11963206521488554</v>
      </c>
      <c r="X742">
        <v>2.105270848375888E-2</v>
      </c>
      <c r="Y742">
        <v>5.3017381354551751E-3</v>
      </c>
    </row>
    <row r="743" spans="1:25" x14ac:dyDescent="0.25">
      <c r="A743" s="881"/>
      <c r="B743" s="1131">
        <v>493</v>
      </c>
      <c r="C743" s="885">
        <v>1.0120197866915743</v>
      </c>
      <c r="D743" s="885">
        <v>0.99356950899874574</v>
      </c>
      <c r="E743" s="885">
        <v>0.98730757164071858</v>
      </c>
      <c r="F743" s="885">
        <v>1.0229610404980551</v>
      </c>
      <c r="G743" s="885">
        <v>1.0211262432371537</v>
      </c>
      <c r="H743" s="885">
        <v>1.0043255445522852</v>
      </c>
      <c r="I743" s="885">
        <v>1.0347657290829029</v>
      </c>
      <c r="K743">
        <v>1.9391192765389487</v>
      </c>
      <c r="L743">
        <v>0</v>
      </c>
      <c r="M743">
        <v>1.997206461975307E-3</v>
      </c>
      <c r="N743">
        <v>0.19343523401560409</v>
      </c>
      <c r="O743">
        <v>2.4929696130450773E-2</v>
      </c>
      <c r="P743">
        <v>2.1004995269472412E-2</v>
      </c>
      <c r="Q743">
        <v>2.8901324116137987E-3</v>
      </c>
      <c r="R743">
        <v>1.9853412007541813E-3</v>
      </c>
      <c r="S743">
        <v>0.21153589105409573</v>
      </c>
      <c r="T743">
        <v>1.0595413555661377</v>
      </c>
      <c r="U743">
        <v>3.6877056250967051E-2</v>
      </c>
      <c r="V743">
        <v>0.24692338705452929</v>
      </c>
      <c r="W743">
        <v>0.11663800133503702</v>
      </c>
      <c r="X743">
        <v>1.9951948431360465E-2</v>
      </c>
      <c r="Y743">
        <v>5.4034442809019452E-3</v>
      </c>
    </row>
    <row r="744" spans="1:25" x14ac:dyDescent="0.25">
      <c r="A744" s="881"/>
      <c r="B744" s="1131">
        <v>494</v>
      </c>
      <c r="C744" s="885">
        <v>1.0082216917514901</v>
      </c>
      <c r="D744" s="885">
        <v>1.0082973472758336</v>
      </c>
      <c r="E744" s="885">
        <v>0.9988721327740222</v>
      </c>
      <c r="F744" s="885">
        <v>1.0147704799445387</v>
      </c>
      <c r="G744" s="885">
        <v>0.98140129486444938</v>
      </c>
      <c r="H744" s="885">
        <v>1.0061627096555648</v>
      </c>
      <c r="I744" s="885">
        <v>0.98040223791521774</v>
      </c>
      <c r="K744">
        <v>1.9278609403683875</v>
      </c>
      <c r="L744">
        <v>0</v>
      </c>
      <c r="M744">
        <v>1.9459155926949022E-3</v>
      </c>
      <c r="N744">
        <v>0.19537637235826899</v>
      </c>
      <c r="O744">
        <v>2.4842034811960324E-2</v>
      </c>
      <c r="P744">
        <v>2.100085209250406E-2</v>
      </c>
      <c r="Q744">
        <v>2.9167622857141193E-3</v>
      </c>
      <c r="R744">
        <v>1.9343643881636237E-3</v>
      </c>
      <c r="S744">
        <v>0.2000030897918178</v>
      </c>
      <c r="T744">
        <v>1.0584759553320828</v>
      </c>
      <c r="U744">
        <v>3.7015976651011882E-2</v>
      </c>
      <c r="V744">
        <v>0.24564303944583202</v>
      </c>
      <c r="W744">
        <v>0.11687545859326078</v>
      </c>
      <c r="X744">
        <v>2.0458248008934494E-2</v>
      </c>
      <c r="Y744">
        <v>5.2647022015322011E-3</v>
      </c>
    </row>
    <row r="745" spans="1:25" x14ac:dyDescent="0.25">
      <c r="A745" s="881"/>
      <c r="B745" s="1131">
        <v>495</v>
      </c>
      <c r="C745" s="885">
        <v>1.0065121916805579</v>
      </c>
      <c r="D745" s="885">
        <v>1.0046766604629176</v>
      </c>
      <c r="E745" s="885">
        <v>0.99535979420908161</v>
      </c>
      <c r="F745" s="885">
        <v>1.0345584473045573</v>
      </c>
      <c r="G745" s="885">
        <v>1.0069383028561778</v>
      </c>
      <c r="H745" s="885">
        <v>1.0139838178423808</v>
      </c>
      <c r="I745" s="885">
        <v>0.99106608000730867</v>
      </c>
      <c r="K745">
        <v>1.935399888768617</v>
      </c>
      <c r="L745">
        <v>0</v>
      </c>
      <c r="M745">
        <v>1.9824704544792269E-3</v>
      </c>
      <c r="N745">
        <v>0.19689230368810137</v>
      </c>
      <c r="O745">
        <v>2.4928537728487292E-2</v>
      </c>
      <c r="P745">
        <v>2.1009577526733922E-2</v>
      </c>
      <c r="Q745">
        <v>2.915857746880668E-3</v>
      </c>
      <c r="R745">
        <v>1.970795928925437E-3</v>
      </c>
      <c r="S745">
        <v>0.2036339545839112</v>
      </c>
      <c r="T745">
        <v>1.0587989839319882</v>
      </c>
      <c r="U745">
        <v>3.7078846048157435E-2</v>
      </c>
      <c r="V745">
        <v>0.24632061215119316</v>
      </c>
      <c r="W745">
        <v>0.11806627615938223</v>
      </c>
      <c r="X745">
        <v>2.0402756883501936E-2</v>
      </c>
      <c r="Y745">
        <v>5.363856845831674E-3</v>
      </c>
    </row>
    <row r="746" spans="1:25" x14ac:dyDescent="0.25">
      <c r="A746" s="881"/>
      <c r="B746" s="1131">
        <v>496</v>
      </c>
      <c r="C746" s="885">
        <v>1.0242398282654637</v>
      </c>
      <c r="D746" s="885">
        <v>1.0142121429302702</v>
      </c>
      <c r="E746" s="885">
        <v>0.97674994817940364</v>
      </c>
      <c r="F746" s="885">
        <v>1.0162758164411807</v>
      </c>
      <c r="G746" s="885">
        <v>0.99201521738704834</v>
      </c>
      <c r="H746" s="885">
        <v>1.0133688479227967</v>
      </c>
      <c r="I746" s="885">
        <v>0.98909972612219699</v>
      </c>
      <c r="K746">
        <v>1.9144690449253052</v>
      </c>
      <c r="L746">
        <v>0</v>
      </c>
      <c r="M746">
        <v>2.0151974892887222E-3</v>
      </c>
      <c r="N746">
        <v>0.18887127345189783</v>
      </c>
      <c r="O746">
        <v>2.4382942574720592E-2</v>
      </c>
      <c r="P746">
        <v>2.061789104829331E-2</v>
      </c>
      <c r="Q746">
        <v>2.8006144441956038E-3</v>
      </c>
      <c r="R746">
        <v>2.0033152932427208E-3</v>
      </c>
      <c r="S746">
        <v>0.19878926801119873</v>
      </c>
      <c r="T746">
        <v>1.0605185273681237</v>
      </c>
      <c r="U746">
        <v>3.6437081990961406E-2</v>
      </c>
      <c r="V746">
        <v>0.24276123370923447</v>
      </c>
      <c r="W746">
        <v>0.11472219442501577</v>
      </c>
      <c r="X746">
        <v>1.9127536262209657E-2</v>
      </c>
      <c r="Y746">
        <v>5.4523638354977517E-3</v>
      </c>
    </row>
    <row r="747" spans="1:25" x14ac:dyDescent="0.25">
      <c r="A747" s="881"/>
      <c r="B747" s="1131">
        <v>497</v>
      </c>
      <c r="C747" s="885">
        <v>1.0205363853866036</v>
      </c>
      <c r="D747" s="885">
        <v>0.99510584835129545</v>
      </c>
      <c r="E747" s="885">
        <v>0.98062674032408581</v>
      </c>
      <c r="F747" s="885">
        <v>1.0238615710761629</v>
      </c>
      <c r="G747" s="885">
        <v>0.99489462303077536</v>
      </c>
      <c r="H747" s="885">
        <v>0.98833325251903692</v>
      </c>
      <c r="I747" s="885">
        <v>0.98967886135964278</v>
      </c>
      <c r="K747">
        <v>1.9149311459060567</v>
      </c>
      <c r="L747">
        <v>0</v>
      </c>
      <c r="M747">
        <v>1.9750367049223396E-3</v>
      </c>
      <c r="N747">
        <v>0.18733030803792178</v>
      </c>
      <c r="O747">
        <v>2.4702737495111458E-2</v>
      </c>
      <c r="P747">
        <v>2.0715143914813185E-2</v>
      </c>
      <c r="Q747">
        <v>2.8447899441470291E-3</v>
      </c>
      <c r="R747">
        <v>1.9631120113315094E-3</v>
      </c>
      <c r="S747">
        <v>0.19891475074774012</v>
      </c>
      <c r="T747">
        <v>1.0601592044233692</v>
      </c>
      <c r="U747">
        <v>3.6569309174389747E-2</v>
      </c>
      <c r="V747">
        <v>0.24556507500466829</v>
      </c>
      <c r="W747">
        <v>0.11348023473128617</v>
      </c>
      <c r="X747">
        <v>1.9318573371056011E-2</v>
      </c>
      <c r="Y747">
        <v>5.3429437551437559E-3</v>
      </c>
    </row>
    <row r="748" spans="1:25" x14ac:dyDescent="0.25">
      <c r="A748" s="881"/>
      <c r="B748" s="1131">
        <v>498</v>
      </c>
      <c r="C748" s="885">
        <v>1.0210402689897815</v>
      </c>
      <c r="D748" s="885">
        <v>0.98974662686200121</v>
      </c>
      <c r="E748" s="885">
        <v>0.99796772511912246</v>
      </c>
      <c r="F748" s="885">
        <v>1.0102934436362663</v>
      </c>
      <c r="G748" s="885">
        <v>0.97010462050474655</v>
      </c>
      <c r="H748" s="885">
        <v>0.9878654250542851</v>
      </c>
      <c r="I748" s="885">
        <v>0.99436668535662454</v>
      </c>
      <c r="K748">
        <v>1.920776186274016</v>
      </c>
      <c r="L748">
        <v>0</v>
      </c>
      <c r="M748">
        <v>1.9075802327688019E-3</v>
      </c>
      <c r="N748">
        <v>0.19096953669840497</v>
      </c>
      <c r="O748">
        <v>2.4756702998930749E-2</v>
      </c>
      <c r="P748">
        <v>2.0991263341187224E-2</v>
      </c>
      <c r="Q748">
        <v>2.9003410844392744E-3</v>
      </c>
      <c r="R748">
        <v>1.8960616927520143E-3</v>
      </c>
      <c r="S748">
        <v>0.2002081387786856</v>
      </c>
      <c r="T748">
        <v>1.0585590874850541</v>
      </c>
      <c r="U748">
        <v>3.6551262212059094E-2</v>
      </c>
      <c r="V748">
        <v>0.24615726095635418</v>
      </c>
      <c r="W748">
        <v>0.11431005487536811</v>
      </c>
      <c r="X748">
        <v>2.0223601492446064E-2</v>
      </c>
      <c r="Y748">
        <v>5.1604548911019484E-3</v>
      </c>
    </row>
    <row r="749" spans="1:25" x14ac:dyDescent="0.25">
      <c r="A749" s="881"/>
      <c r="B749" s="1131">
        <v>499</v>
      </c>
      <c r="C749" s="885">
        <v>0.95404022524560939</v>
      </c>
      <c r="D749" s="885">
        <v>0.9901118605695447</v>
      </c>
      <c r="E749" s="885">
        <v>0.98691750289335378</v>
      </c>
      <c r="F749" s="885">
        <v>0.9740186484650899</v>
      </c>
      <c r="G749" s="885">
        <v>1.0018844998850811</v>
      </c>
      <c r="H749" s="885">
        <v>1.0037605799349556</v>
      </c>
      <c r="I749" s="885">
        <v>0.97922497359241201</v>
      </c>
      <c r="K749">
        <v>1.9736577263604904</v>
      </c>
      <c r="L749">
        <v>0</v>
      </c>
      <c r="M749">
        <v>2.1227877658374934E-3</v>
      </c>
      <c r="N749">
        <v>0.20534816430633701</v>
      </c>
      <c r="O749">
        <v>2.6490464037257896E-2</v>
      </c>
      <c r="P749">
        <v>2.1165640783238685E-2</v>
      </c>
      <c r="Q749">
        <v>3.0691131250272824E-3</v>
      </c>
      <c r="R749">
        <v>2.1101723956104151E-3</v>
      </c>
      <c r="S749">
        <v>0.21262893952897413</v>
      </c>
      <c r="T749">
        <v>1.0595773818108463</v>
      </c>
      <c r="U749">
        <v>3.9118173021802247E-2</v>
      </c>
      <c r="V749">
        <v>0.25589755953792281</v>
      </c>
      <c r="W749">
        <v>0.12385463793509589</v>
      </c>
      <c r="X749">
        <v>2.0777074001504768E-2</v>
      </c>
      <c r="Y749">
        <v>5.74319364270829E-3</v>
      </c>
    </row>
    <row r="750" spans="1:25" x14ac:dyDescent="0.25">
      <c r="A750" s="881"/>
      <c r="B750" s="1131">
        <v>500</v>
      </c>
      <c r="C750" s="885">
        <v>0.96328590830492977</v>
      </c>
      <c r="D750" s="885">
        <v>0.9850166240299556</v>
      </c>
      <c r="E750" s="885">
        <v>0.99474054484176655</v>
      </c>
      <c r="F750" s="885">
        <v>0.9737639252919813</v>
      </c>
      <c r="G750" s="885">
        <v>0.98117823545737193</v>
      </c>
      <c r="H750" s="885">
        <v>1.0013610765274439</v>
      </c>
      <c r="I750" s="885">
        <v>1.0343312323840754</v>
      </c>
      <c r="K750">
        <v>1.9809463683229132</v>
      </c>
      <c r="L750">
        <v>0</v>
      </c>
      <c r="M750">
        <v>2.0684453298602662E-3</v>
      </c>
      <c r="N750">
        <v>0.20502187806732738</v>
      </c>
      <c r="O750">
        <v>2.6303412563790037E-2</v>
      </c>
      <c r="P750">
        <v>2.1402369527102619E-2</v>
      </c>
      <c r="Q750">
        <v>3.0705125047926908E-3</v>
      </c>
      <c r="R750">
        <v>2.056127880759053E-3</v>
      </c>
      <c r="S750">
        <v>0.22270487174489448</v>
      </c>
      <c r="T750">
        <v>1.0588559858837783</v>
      </c>
      <c r="U750">
        <v>3.8742714161145074E-2</v>
      </c>
      <c r="V750">
        <v>0.25513974071807677</v>
      </c>
      <c r="W750">
        <v>0.12299345114134176</v>
      </c>
      <c r="X750">
        <v>2.1127647170711319E-2</v>
      </c>
      <c r="Y750">
        <v>5.5961022890524143E-3</v>
      </c>
    </row>
    <row r="751" spans="1:25" x14ac:dyDescent="0.25">
      <c r="A751" s="881"/>
      <c r="B751" s="1131">
        <v>501</v>
      </c>
      <c r="C751" s="885">
        <v>0.9798439781291749</v>
      </c>
      <c r="D751" s="885">
        <v>0.9616083873942145</v>
      </c>
      <c r="E751" s="885">
        <v>1.0037105959627932</v>
      </c>
      <c r="F751" s="885">
        <v>0.97376154613932608</v>
      </c>
      <c r="G751" s="885">
        <v>1.0199387360514531</v>
      </c>
      <c r="H751" s="885">
        <v>1.0008618493170431</v>
      </c>
      <c r="I751" s="885">
        <v>0.98226434727447276</v>
      </c>
      <c r="K751">
        <v>1.9679911137489032</v>
      </c>
      <c r="L751">
        <v>0</v>
      </c>
      <c r="M751">
        <v>2.0184044554157976E-3</v>
      </c>
      <c r="N751">
        <v>0.20572540299297962</v>
      </c>
      <c r="O751">
        <v>2.6169786439276057E-2</v>
      </c>
      <c r="P751">
        <v>2.1363174680253519E-2</v>
      </c>
      <c r="Q751">
        <v>3.0773691929978338E-3</v>
      </c>
      <c r="R751">
        <v>2.0063992655871363E-3</v>
      </c>
      <c r="S751">
        <v>0.21018638737587286</v>
      </c>
      <c r="T751">
        <v>1.0580317503693379</v>
      </c>
      <c r="U751">
        <v>3.8088013432682331E-2</v>
      </c>
      <c r="V751">
        <v>0.25576176302888398</v>
      </c>
      <c r="W751">
        <v>0.12265992507407233</v>
      </c>
      <c r="X751">
        <v>2.1478788960785342E-2</v>
      </c>
      <c r="Y751">
        <v>5.4607573915880408E-3</v>
      </c>
    </row>
    <row r="752" spans="1:25" x14ac:dyDescent="0.25">
      <c r="A752" s="881"/>
      <c r="B752" s="1131">
        <v>502</v>
      </c>
      <c r="C752" s="885">
        <v>0.9955147719571773</v>
      </c>
      <c r="D752" s="885">
        <v>0.99291622035930982</v>
      </c>
      <c r="E752" s="885">
        <v>0.96724248502692389</v>
      </c>
      <c r="F752" s="885">
        <v>0.9775834395555919</v>
      </c>
      <c r="G752" s="885">
        <v>0.99994831136752771</v>
      </c>
      <c r="H752" s="885">
        <v>0.98805480624378095</v>
      </c>
      <c r="I752" s="885">
        <v>1.0157582265996392</v>
      </c>
      <c r="K752">
        <v>1.9368168346625436</v>
      </c>
      <c r="L752">
        <v>0</v>
      </c>
      <c r="M752">
        <v>2.0840016372321983E-3</v>
      </c>
      <c r="N752">
        <v>0.18958834094571933</v>
      </c>
      <c r="O752">
        <v>2.5351275035401553E-2</v>
      </c>
      <c r="P752">
        <v>2.0723883311189201E-2</v>
      </c>
      <c r="Q752">
        <v>2.8794532207882442E-3</v>
      </c>
      <c r="R752">
        <v>2.0714174254655871E-3</v>
      </c>
      <c r="S752">
        <v>0.20947074901574744</v>
      </c>
      <c r="T752">
        <v>1.0614021969917309</v>
      </c>
      <c r="U752">
        <v>3.7488454869981848E-2</v>
      </c>
      <c r="V752">
        <v>0.24933582998688758</v>
      </c>
      <c r="W752">
        <v>0.11592428717004956</v>
      </c>
      <c r="X752">
        <v>1.9027232937265617E-2</v>
      </c>
      <c r="Y752">
        <v>5.6377153895465406E-3</v>
      </c>
    </row>
    <row r="753" spans="1:25" x14ac:dyDescent="0.25">
      <c r="A753" s="881"/>
      <c r="B753" s="1131">
        <v>503</v>
      </c>
      <c r="C753" s="885">
        <v>1.0139501777337203</v>
      </c>
      <c r="D753" s="885">
        <v>1.0210689831167421</v>
      </c>
      <c r="E753" s="885">
        <v>1.0020099003095779</v>
      </c>
      <c r="F753" s="885">
        <v>1.0007474163989556</v>
      </c>
      <c r="G753" s="885">
        <v>1.0009289844989522</v>
      </c>
      <c r="H753" s="885">
        <v>1.0168432748121079</v>
      </c>
      <c r="I753" s="885">
        <v>0.99538320602357466</v>
      </c>
      <c r="K753">
        <v>1.9269559280887252</v>
      </c>
      <c r="L753">
        <v>0</v>
      </c>
      <c r="M753">
        <v>1.9305501374205498E-3</v>
      </c>
      <c r="N753">
        <v>0.19574630052241496</v>
      </c>
      <c r="O753">
        <v>2.4548568267864224E-2</v>
      </c>
      <c r="P753">
        <v>2.1036258668475805E-2</v>
      </c>
      <c r="Q753">
        <v>2.8939306273638396E-3</v>
      </c>
      <c r="R753">
        <v>1.9192006843261999E-3</v>
      </c>
      <c r="S753">
        <v>0.20180106349157204</v>
      </c>
      <c r="T753">
        <v>1.058187782225483</v>
      </c>
      <c r="U753">
        <v>3.6806848522213872E-2</v>
      </c>
      <c r="V753">
        <v>0.24333191868248549</v>
      </c>
      <c r="W753">
        <v>0.11684569351895722</v>
      </c>
      <c r="X753">
        <v>2.0545481416589122E-2</v>
      </c>
      <c r="Y753">
        <v>5.2234315984003611E-3</v>
      </c>
    </row>
    <row r="754" spans="1:25" x14ac:dyDescent="0.25">
      <c r="A754" s="881"/>
      <c r="B754" s="1131">
        <v>504</v>
      </c>
      <c r="C754" s="885">
        <v>1.0201707866156733</v>
      </c>
      <c r="D754" s="885">
        <v>0.98922142921824319</v>
      </c>
      <c r="E754" s="885">
        <v>0.96805388410533877</v>
      </c>
      <c r="F754" s="885">
        <v>1.0184855757712865</v>
      </c>
      <c r="G754" s="885">
        <v>1.0083143787192395</v>
      </c>
      <c r="H754" s="885">
        <v>0.97183986180047477</v>
      </c>
      <c r="I754" s="885">
        <v>0.99373186304151095</v>
      </c>
      <c r="K754">
        <v>1.9090615588482875</v>
      </c>
      <c r="L754">
        <v>0</v>
      </c>
      <c r="M754">
        <v>2.0005527303581954E-3</v>
      </c>
      <c r="N754">
        <v>0.18243963360685664</v>
      </c>
      <c r="O754">
        <v>2.4784323204932675E-2</v>
      </c>
      <c r="P754">
        <v>2.0540513898000146E-2</v>
      </c>
      <c r="Q754">
        <v>2.8166611894823741E-3</v>
      </c>
      <c r="R754">
        <v>1.9882740511192082E-3</v>
      </c>
      <c r="S754">
        <v>0.19871145604978532</v>
      </c>
      <c r="T754">
        <v>1.0613266451365131</v>
      </c>
      <c r="U754">
        <v>3.6582414523673737E-2</v>
      </c>
      <c r="V754">
        <v>0.24634219450109854</v>
      </c>
      <c r="W754">
        <v>0.11148985448117583</v>
      </c>
      <c r="X754">
        <v>1.8628714403227213E-2</v>
      </c>
      <c r="Y754">
        <v>5.4114265327816855E-3</v>
      </c>
    </row>
    <row r="755" spans="1:25" x14ac:dyDescent="0.25">
      <c r="A755" s="881"/>
      <c r="B755" s="1131">
        <v>505</v>
      </c>
      <c r="C755" s="885">
        <v>1.0033946672013156</v>
      </c>
      <c r="D755" s="885">
        <v>1.0342223778624948</v>
      </c>
      <c r="E755" s="885">
        <v>0.99700651588094946</v>
      </c>
      <c r="F755" s="885">
        <v>0.98516721719806111</v>
      </c>
      <c r="G755" s="885">
        <v>1.0022566114727656</v>
      </c>
      <c r="H755" s="885">
        <v>0.97867758934854421</v>
      </c>
      <c r="I755" s="885">
        <v>1.0383695355858182</v>
      </c>
      <c r="K755">
        <v>1.9212896624488736</v>
      </c>
      <c r="L755">
        <v>0</v>
      </c>
      <c r="M755">
        <v>1.8855944322397971E-3</v>
      </c>
      <c r="N755">
        <v>0.18819052223260802</v>
      </c>
      <c r="O755">
        <v>2.465072736041949E-2</v>
      </c>
      <c r="P755">
        <v>2.1046264941399374E-2</v>
      </c>
      <c r="Q755">
        <v>2.8939417347757196E-3</v>
      </c>
      <c r="R755">
        <v>1.874066879645911E-3</v>
      </c>
      <c r="S755">
        <v>0.20755723934081632</v>
      </c>
      <c r="T755">
        <v>1.0586474756901334</v>
      </c>
      <c r="U755">
        <v>3.7194049182074383E-2</v>
      </c>
      <c r="V755">
        <v>0.24322396348560249</v>
      </c>
      <c r="W755">
        <v>0.1127208416693697</v>
      </c>
      <c r="X755">
        <v>2.0075572103851774E-2</v>
      </c>
      <c r="Y755">
        <v>5.1005922604153292E-3</v>
      </c>
    </row>
    <row r="756" spans="1:25" x14ac:dyDescent="0.25">
      <c r="A756" s="881"/>
      <c r="B756" s="1131">
        <v>506</v>
      </c>
      <c r="C756" s="885">
        <v>1.0235329907696407</v>
      </c>
      <c r="D756" s="885">
        <v>1.0226532657260576</v>
      </c>
      <c r="E756" s="885">
        <v>1.0055851926509896</v>
      </c>
      <c r="F756" s="885">
        <v>0.96084551995801359</v>
      </c>
      <c r="G756" s="885">
        <v>1.0130661751991203</v>
      </c>
      <c r="H756" s="885">
        <v>0.97859837889561108</v>
      </c>
      <c r="I756" s="885">
        <v>0.97815999441340507</v>
      </c>
      <c r="K756">
        <v>1.9006364678854692</v>
      </c>
      <c r="L756">
        <v>0</v>
      </c>
      <c r="M756">
        <v>1.8253344381940291E-3</v>
      </c>
      <c r="N756">
        <v>0.18710423398487755</v>
      </c>
      <c r="O756">
        <v>2.4300132463319458E-2</v>
      </c>
      <c r="P756">
        <v>2.0937574501167282E-2</v>
      </c>
      <c r="Q756">
        <v>2.8752431608135196E-3</v>
      </c>
      <c r="R756">
        <v>1.814182970230899E-3</v>
      </c>
      <c r="S756">
        <v>0.19265508701691353</v>
      </c>
      <c r="T756">
        <v>1.0578598944444408</v>
      </c>
      <c r="U756">
        <v>3.646224492759538E-2</v>
      </c>
      <c r="V756">
        <v>0.24186230639394185</v>
      </c>
      <c r="W756">
        <v>0.11141486369823732</v>
      </c>
      <c r="X756">
        <v>2.0238430762412669E-2</v>
      </c>
      <c r="Y756">
        <v>4.9376079997130997E-3</v>
      </c>
    </row>
    <row r="757" spans="1:25" x14ac:dyDescent="0.25">
      <c r="A757" s="881"/>
      <c r="B757" s="1131">
        <v>507</v>
      </c>
      <c r="C757" s="885">
        <v>0.98596532213051202</v>
      </c>
      <c r="D757" s="885">
        <v>1.0012264585625938</v>
      </c>
      <c r="E757" s="885">
        <v>0.96480503991137401</v>
      </c>
      <c r="F757" s="885">
        <v>0.97799262600928105</v>
      </c>
      <c r="G757" s="885">
        <v>1.0123660980331661</v>
      </c>
      <c r="H757" s="885">
        <v>1.0022246867216684</v>
      </c>
      <c r="I757" s="885">
        <v>0.99141525822501386</v>
      </c>
      <c r="K757">
        <v>1.941151190965158</v>
      </c>
      <c r="L757">
        <v>0</v>
      </c>
      <c r="M757">
        <v>2.1364588297153406E-3</v>
      </c>
      <c r="N757">
        <v>0.19290445626639857</v>
      </c>
      <c r="O757">
        <v>2.5491384172065725E-2</v>
      </c>
      <c r="P757">
        <v>2.0665458486363183E-2</v>
      </c>
      <c r="Q757">
        <v>2.8898277376749283E-3</v>
      </c>
      <c r="R757">
        <v>2.1237328982247226E-3</v>
      </c>
      <c r="S757">
        <v>0.20708361484516624</v>
      </c>
      <c r="T757">
        <v>1.0616293080061643</v>
      </c>
      <c r="U757">
        <v>3.7851544839603152E-2</v>
      </c>
      <c r="V757">
        <v>0.24965937772703189</v>
      </c>
      <c r="W757">
        <v>0.11815357215029867</v>
      </c>
      <c r="X757">
        <v>1.9055271805277243E-2</v>
      </c>
      <c r="Y757">
        <v>5.7801008606059483E-3</v>
      </c>
    </row>
    <row r="758" spans="1:25" x14ac:dyDescent="0.25">
      <c r="A758" s="881"/>
      <c r="B758" s="1131">
        <v>508</v>
      </c>
      <c r="C758" s="885">
        <v>0.9712220642288526</v>
      </c>
      <c r="D758" s="885">
        <v>1.0006017871258592</v>
      </c>
      <c r="E758" s="885">
        <v>0.98667566085272629</v>
      </c>
      <c r="F758" s="885">
        <v>0.95821905659039297</v>
      </c>
      <c r="G758" s="885">
        <v>1.010735566563179</v>
      </c>
      <c r="H758" s="885">
        <v>0.95326366434355014</v>
      </c>
      <c r="I758" s="885">
        <v>1.0181861306818567</v>
      </c>
      <c r="K758">
        <v>1.9413877312767434</v>
      </c>
      <c r="L758">
        <v>0</v>
      </c>
      <c r="M758">
        <v>1.9710299286738379E-3</v>
      </c>
      <c r="N758">
        <v>0.19046308974211654</v>
      </c>
      <c r="O758">
        <v>2.5886340881426273E-2</v>
      </c>
      <c r="P758">
        <v>2.1073745912813597E-2</v>
      </c>
      <c r="Q758">
        <v>3.0005949081989692E-3</v>
      </c>
      <c r="R758">
        <v>1.958686905230194E-3</v>
      </c>
      <c r="S758">
        <v>0.21077284444447733</v>
      </c>
      <c r="T758">
        <v>1.0595997209970291</v>
      </c>
      <c r="U758">
        <v>3.8426135459092008E-2</v>
      </c>
      <c r="V758">
        <v>0.25190858950486983</v>
      </c>
      <c r="W758">
        <v>0.11489597308037428</v>
      </c>
      <c r="X758">
        <v>2.0042139294717591E-2</v>
      </c>
      <c r="Y758">
        <v>5.3309000750718094E-3</v>
      </c>
    </row>
    <row r="759" spans="1:25" x14ac:dyDescent="0.25">
      <c r="A759" s="881"/>
      <c r="B759" s="1131">
        <v>509</v>
      </c>
      <c r="C759" s="885">
        <v>0.97942423123237332</v>
      </c>
      <c r="D759" s="885">
        <v>0.9819479902035978</v>
      </c>
      <c r="E759" s="885">
        <v>0.98913334364537986</v>
      </c>
      <c r="F759" s="885">
        <v>1.0010126980094565</v>
      </c>
      <c r="G759" s="885">
        <v>0.9875016323165533</v>
      </c>
      <c r="H759" s="885">
        <v>1.0005707956512508</v>
      </c>
      <c r="I759" s="885">
        <v>1.0109363848204775</v>
      </c>
      <c r="K759">
        <v>1.9625922780128946</v>
      </c>
      <c r="L759">
        <v>0</v>
      </c>
      <c r="M759">
        <v>2.0600565371146178E-3</v>
      </c>
      <c r="N759">
        <v>0.200656475585751</v>
      </c>
      <c r="O759">
        <v>2.5910080247443346E-2</v>
      </c>
      <c r="P759">
        <v>2.1169390131919371E-2</v>
      </c>
      <c r="Q759">
        <v>3.0068628930930981E-3</v>
      </c>
      <c r="R759">
        <v>2.0477820271143825E-3</v>
      </c>
      <c r="S759">
        <v>0.214305407723452</v>
      </c>
      <c r="T759">
        <v>1.0593728082196194</v>
      </c>
      <c r="U759">
        <v>3.8104336620259152E-2</v>
      </c>
      <c r="V759">
        <v>0.25310066200698056</v>
      </c>
      <c r="W759">
        <v>0.12083997513619259</v>
      </c>
      <c r="X759">
        <v>2.056516633154214E-2</v>
      </c>
      <c r="Y759">
        <v>5.5733876266415346E-3</v>
      </c>
    </row>
    <row r="760" spans="1:25" x14ac:dyDescent="0.25">
      <c r="A760" s="881"/>
      <c r="B760" s="1131">
        <v>510</v>
      </c>
      <c r="C760" s="885">
        <v>1.0024020172764576</v>
      </c>
      <c r="D760" s="885">
        <v>0.96118957763564539</v>
      </c>
      <c r="E760" s="885">
        <v>0.96474682627803754</v>
      </c>
      <c r="F760" s="885">
        <v>0.99446499217795026</v>
      </c>
      <c r="G760" s="885">
        <v>0.98582653787958519</v>
      </c>
      <c r="H760" s="885">
        <v>1.0257917099846294</v>
      </c>
      <c r="I760" s="885">
        <v>0.97114273282964669</v>
      </c>
      <c r="K760">
        <v>1.9509252239549013</v>
      </c>
      <c r="L760">
        <v>0</v>
      </c>
      <c r="M760">
        <v>2.195078472224294E-3</v>
      </c>
      <c r="N760">
        <v>0.19819192068596991</v>
      </c>
      <c r="O760">
        <v>2.5586408773479712E-2</v>
      </c>
      <c r="P760">
        <v>2.0674889075005844E-2</v>
      </c>
      <c r="Q760">
        <v>2.892118026164099E-3</v>
      </c>
      <c r="R760">
        <v>2.1823401421400815E-3</v>
      </c>
      <c r="S760">
        <v>0.20566362813732392</v>
      </c>
      <c r="T760">
        <v>1.0616347349174315</v>
      </c>
      <c r="U760">
        <v>3.7230881380622839E-2</v>
      </c>
      <c r="V760">
        <v>0.25247404514868288</v>
      </c>
      <c r="W760">
        <v>0.12139708934669449</v>
      </c>
      <c r="X760">
        <v>1.9252636334939923E-2</v>
      </c>
      <c r="Y760">
        <v>5.939610458670792E-3</v>
      </c>
    </row>
    <row r="761" spans="1:25" x14ac:dyDescent="0.25">
      <c r="A761" s="881"/>
      <c r="B761" s="1131">
        <v>511</v>
      </c>
      <c r="C761" s="885">
        <v>1.0279646655120487</v>
      </c>
      <c r="D761" s="885">
        <v>0.97721833022803251</v>
      </c>
      <c r="E761" s="885">
        <v>0.98743275941466613</v>
      </c>
      <c r="F761" s="885">
        <v>1.0300014230409562</v>
      </c>
      <c r="G761" s="885">
        <v>0.9970735717169894</v>
      </c>
      <c r="H761" s="885">
        <v>0.98186740935088157</v>
      </c>
      <c r="I761" s="885">
        <v>0.98997803063311296</v>
      </c>
      <c r="K761">
        <v>1.9153652604890012</v>
      </c>
      <c r="L761">
        <v>0</v>
      </c>
      <c r="M761">
        <v>1.9376233095747528E-3</v>
      </c>
      <c r="N761">
        <v>0.18771327004133376</v>
      </c>
      <c r="O761">
        <v>2.4745846941033222E-2</v>
      </c>
      <c r="P761">
        <v>2.0821732612946245E-2</v>
      </c>
      <c r="Q761">
        <v>2.8658434950904256E-3</v>
      </c>
      <c r="R761">
        <v>1.9258623507694924E-3</v>
      </c>
      <c r="S761">
        <v>0.19855409985143704</v>
      </c>
      <c r="T761">
        <v>1.0595297946382811</v>
      </c>
      <c r="U761">
        <v>3.6305051966282254E-2</v>
      </c>
      <c r="V761">
        <v>0.24678698440827046</v>
      </c>
      <c r="W761">
        <v>0.11317797784312729</v>
      </c>
      <c r="X761">
        <v>1.9634857191563392E-2</v>
      </c>
      <c r="Y761">
        <v>5.2415624584412493E-3</v>
      </c>
    </row>
    <row r="762" spans="1:25" x14ac:dyDescent="0.25">
      <c r="A762" s="881"/>
      <c r="B762" s="1131">
        <v>512</v>
      </c>
      <c r="C762" s="885">
        <v>0.96883737958131833</v>
      </c>
      <c r="D762" s="885">
        <v>0.99599283235633818</v>
      </c>
      <c r="E762" s="885">
        <v>1.013622271437957</v>
      </c>
      <c r="F762" s="885">
        <v>1.007135858325241</v>
      </c>
      <c r="G762" s="885">
        <v>1.0209752848563691</v>
      </c>
      <c r="H762" s="885">
        <v>0.99600639184436424</v>
      </c>
      <c r="I762" s="885">
        <v>1.0238211896909573</v>
      </c>
      <c r="K762">
        <v>1.9710627561976379</v>
      </c>
      <c r="L762">
        <v>0</v>
      </c>
      <c r="M762">
        <v>1.9550425080239863E-3</v>
      </c>
      <c r="N762">
        <v>0.20549454161266217</v>
      </c>
      <c r="O762">
        <v>2.6009442462298298E-2</v>
      </c>
      <c r="P762">
        <v>2.1574727417801892E-2</v>
      </c>
      <c r="Q762">
        <v>3.0966379614093529E-3</v>
      </c>
      <c r="R762">
        <v>1.9433287456668859E-3</v>
      </c>
      <c r="S762">
        <v>0.21749120419011214</v>
      </c>
      <c r="T762">
        <v>1.057124639358745</v>
      </c>
      <c r="U762">
        <v>3.8520717085714459E-2</v>
      </c>
      <c r="V762">
        <v>0.25286056209137714</v>
      </c>
      <c r="W762">
        <v>0.12169911782813979</v>
      </c>
      <c r="X762">
        <v>2.191377972417629E-2</v>
      </c>
      <c r="Y762">
        <v>5.2891002275564239E-3</v>
      </c>
    </row>
    <row r="763" spans="1:25" x14ac:dyDescent="0.25">
      <c r="A763" s="881"/>
      <c r="B763" s="1131">
        <v>513</v>
      </c>
      <c r="C763" s="885">
        <v>0.97892850113792773</v>
      </c>
      <c r="D763" s="885">
        <v>0.97155657706067522</v>
      </c>
      <c r="E763" s="885">
        <v>0.99821707474987498</v>
      </c>
      <c r="F763" s="885">
        <v>1.0225244275324541</v>
      </c>
      <c r="G763" s="885">
        <v>1.0023099294241273</v>
      </c>
      <c r="H763" s="885">
        <v>1.0114659364273217</v>
      </c>
      <c r="I763" s="885">
        <v>1.0217960515388251</v>
      </c>
      <c r="K763">
        <v>1.9766020470745398</v>
      </c>
      <c r="L763">
        <v>0</v>
      </c>
      <c r="M763">
        <v>2.0549216496334437E-3</v>
      </c>
      <c r="N763">
        <v>0.20591045393885832</v>
      </c>
      <c r="O763">
        <v>2.6060524244460079E-2</v>
      </c>
      <c r="P763">
        <v>2.1386245233333906E-2</v>
      </c>
      <c r="Q763">
        <v>3.0498744050569595E-3</v>
      </c>
      <c r="R763">
        <v>2.0428186404534586E-3</v>
      </c>
      <c r="S763">
        <v>0.21894938672094855</v>
      </c>
      <c r="T763">
        <v>1.0585361643619859</v>
      </c>
      <c r="U763">
        <v>3.8123632683628055E-2</v>
      </c>
      <c r="V763">
        <v>0.25455877888902717</v>
      </c>
      <c r="W763">
        <v>0.12323229561324742</v>
      </c>
      <c r="X763">
        <v>2.1246915068840754E-2</v>
      </c>
      <c r="Y763">
        <v>5.5598789243304731E-3</v>
      </c>
    </row>
    <row r="764" spans="1:25" x14ac:dyDescent="0.25">
      <c r="A764" s="881"/>
      <c r="B764" s="1131">
        <v>514</v>
      </c>
      <c r="C764" s="885">
        <v>0.96813717223350071</v>
      </c>
      <c r="D764" s="885">
        <v>0.98507051529718714</v>
      </c>
      <c r="E764" s="885">
        <v>1.0040500045397198</v>
      </c>
      <c r="F764" s="885">
        <v>1.0089208286026281</v>
      </c>
      <c r="G764" s="885">
        <v>1.0130210024169946</v>
      </c>
      <c r="H764" s="885">
        <v>1.048009268875749</v>
      </c>
      <c r="I764" s="885">
        <v>1.0206636292797315</v>
      </c>
      <c r="K764">
        <v>1.9971218835058913</v>
      </c>
      <c r="L764">
        <v>0</v>
      </c>
      <c r="M764">
        <v>2.1120851448094367E-3</v>
      </c>
      <c r="N764">
        <v>0.21555708126917811</v>
      </c>
      <c r="O764">
        <v>2.617089788763861E-2</v>
      </c>
      <c r="P764">
        <v>2.1540299262580335E-2</v>
      </c>
      <c r="Q764">
        <v>3.0837873160140345E-3</v>
      </c>
      <c r="R764">
        <v>2.1000676099270118E-3</v>
      </c>
      <c r="S764">
        <v>0.22366945108023811</v>
      </c>
      <c r="T764">
        <v>1.058000624518769</v>
      </c>
      <c r="U764">
        <v>3.854857727941443E-2</v>
      </c>
      <c r="V764">
        <v>0.25439439587218837</v>
      </c>
      <c r="W764">
        <v>0.12849211601930768</v>
      </c>
      <c r="X764">
        <v>2.196097878832657E-2</v>
      </c>
      <c r="Y764">
        <v>5.7156917471197707E-3</v>
      </c>
    </row>
    <row r="765" spans="1:25" x14ac:dyDescent="0.25">
      <c r="A765" s="881"/>
      <c r="B765" s="1131">
        <v>515</v>
      </c>
      <c r="C765" s="885">
        <v>1.047872547931354</v>
      </c>
      <c r="D765" s="885">
        <v>1.0006039967611018</v>
      </c>
      <c r="E765" s="885">
        <v>1.0067909670518782</v>
      </c>
      <c r="F765" s="885">
        <v>0.99069500000246657</v>
      </c>
      <c r="G765" s="885">
        <v>1.0436420002535425</v>
      </c>
      <c r="H765" s="885">
        <v>0.97994551889912607</v>
      </c>
      <c r="I765" s="885">
        <v>1.0370783474302776</v>
      </c>
      <c r="K765">
        <v>1.9046374330058624</v>
      </c>
      <c r="L765">
        <v>0</v>
      </c>
      <c r="M765">
        <v>1.8001294851699688E-3</v>
      </c>
      <c r="N765">
        <v>0.18521706915410094</v>
      </c>
      <c r="O765">
        <v>2.3992763238497132E-2</v>
      </c>
      <c r="P765">
        <v>2.1058559849490892E-2</v>
      </c>
      <c r="Q765">
        <v>2.8380119165110581E-3</v>
      </c>
      <c r="R765">
        <v>1.789163611080664E-3</v>
      </c>
      <c r="S765">
        <v>0.20165123974005622</v>
      </c>
      <c r="T765">
        <v>1.0577494260329441</v>
      </c>
      <c r="U765">
        <v>3.5615314738984612E-2</v>
      </c>
      <c r="V765">
        <v>0.24127705637929733</v>
      </c>
      <c r="W765">
        <v>0.11020054919415122</v>
      </c>
      <c r="X765">
        <v>2.0178895084180852E-2</v>
      </c>
      <c r="Y765">
        <v>4.8695135517356864E-3</v>
      </c>
    </row>
    <row r="766" spans="1:25" x14ac:dyDescent="0.25">
      <c r="A766" s="881"/>
      <c r="B766" s="1131">
        <v>516</v>
      </c>
      <c r="C766" s="885">
        <v>1.0081191625373069</v>
      </c>
      <c r="D766" s="885">
        <v>1.0021613929949189</v>
      </c>
      <c r="E766" s="885">
        <v>0.99471408169746423</v>
      </c>
      <c r="F766" s="885">
        <v>0.97863939833032687</v>
      </c>
      <c r="G766" s="885">
        <v>0.96625311441928985</v>
      </c>
      <c r="H766" s="885">
        <v>1.0243822556996118</v>
      </c>
      <c r="I766" s="885">
        <v>1.0000435934932117</v>
      </c>
      <c r="K766">
        <v>1.9413933709392082</v>
      </c>
      <c r="L766">
        <v>0</v>
      </c>
      <c r="M766">
        <v>2.0048098638903123E-3</v>
      </c>
      <c r="N766">
        <v>0.19872339363637792</v>
      </c>
      <c r="O766">
        <v>2.4919687418743588E-2</v>
      </c>
      <c r="P766">
        <v>2.1038550214528589E-2</v>
      </c>
      <c r="Q766">
        <v>2.9124178529029063E-3</v>
      </c>
      <c r="R766">
        <v>1.9931256537310859E-3</v>
      </c>
      <c r="S766">
        <v>0.2064300171686004</v>
      </c>
      <c r="T766">
        <v>1.0588584221507167</v>
      </c>
      <c r="U766">
        <v>3.701974130417917E-2</v>
      </c>
      <c r="V766">
        <v>0.24640341386484221</v>
      </c>
      <c r="W766">
        <v>0.11921713157349827</v>
      </c>
      <c r="X766">
        <v>2.0457648969217666E-2</v>
      </c>
      <c r="Y766">
        <v>5.4246309957608459E-3</v>
      </c>
    </row>
    <row r="767" spans="1:25" x14ac:dyDescent="0.25">
      <c r="A767" s="881"/>
      <c r="B767" s="1131">
        <v>517</v>
      </c>
      <c r="C767" s="885">
        <v>0.99330662724242735</v>
      </c>
      <c r="D767" s="885">
        <v>1.0245563801070832</v>
      </c>
      <c r="E767" s="885">
        <v>0.97729976555025155</v>
      </c>
      <c r="F767" s="885">
        <v>0.97723440318727806</v>
      </c>
      <c r="G767" s="885">
        <v>0.97759634212657942</v>
      </c>
      <c r="H767" s="885">
        <v>1.0151567499409444</v>
      </c>
      <c r="I767" s="885">
        <v>0.99372313556778535</v>
      </c>
      <c r="K767">
        <v>1.9348982626136781</v>
      </c>
      <c r="L767">
        <v>0</v>
      </c>
      <c r="M767">
        <v>2.0688384844709069E-3</v>
      </c>
      <c r="N767">
        <v>0.19423244201508627</v>
      </c>
      <c r="O767">
        <v>2.5016627161409684E-2</v>
      </c>
      <c r="P767">
        <v>2.0766752921182328E-2</v>
      </c>
      <c r="Q767">
        <v>2.8770254358353275E-3</v>
      </c>
      <c r="R767">
        <v>2.0566529959487123E-3</v>
      </c>
      <c r="S767">
        <v>0.20516197041922363</v>
      </c>
      <c r="T767">
        <v>1.0604675317401506</v>
      </c>
      <c r="U767">
        <v>3.7571792614053016E-2</v>
      </c>
      <c r="V767">
        <v>0.2457561208249936</v>
      </c>
      <c r="W767">
        <v>0.11793352291430942</v>
      </c>
      <c r="X767">
        <v>1.9529130576458529E-2</v>
      </c>
      <c r="Y767">
        <v>5.5975314794944912E-3</v>
      </c>
    </row>
    <row r="768" spans="1:25" x14ac:dyDescent="0.25">
      <c r="A768" s="881"/>
      <c r="B768" s="1131">
        <v>518</v>
      </c>
      <c r="C768" s="885">
        <v>1.0018778260822117</v>
      </c>
      <c r="D768" s="885">
        <v>0.99888290642615207</v>
      </c>
      <c r="E768" s="885">
        <v>1.0072204083851564</v>
      </c>
      <c r="F768" s="885">
        <v>1.0118389688391176</v>
      </c>
      <c r="G768" s="885">
        <v>0.97745525617241891</v>
      </c>
      <c r="H768" s="885">
        <v>0.98977892088625008</v>
      </c>
      <c r="I768" s="885">
        <v>0.98264689762816393</v>
      </c>
      <c r="K768">
        <v>1.9313861731098512</v>
      </c>
      <c r="L768">
        <v>0</v>
      </c>
      <c r="M768">
        <v>1.9015612024056597E-3</v>
      </c>
      <c r="N768">
        <v>0.1959269881356894</v>
      </c>
      <c r="O768">
        <v>2.5115629125473226E-2</v>
      </c>
      <c r="P768">
        <v>2.1165723989262468E-2</v>
      </c>
      <c r="Q768">
        <v>2.9717524364323805E-3</v>
      </c>
      <c r="R768">
        <v>1.8900938876286739E-3</v>
      </c>
      <c r="S768">
        <v>0.20097357840869795</v>
      </c>
      <c r="T768">
        <v>1.0577100959651047</v>
      </c>
      <c r="U768">
        <v>3.7250360901643957E-2</v>
      </c>
      <c r="V768">
        <v>0.24768017398482073</v>
      </c>
      <c r="W768">
        <v>0.11653866050266273</v>
      </c>
      <c r="X768">
        <v>2.092046448199901E-2</v>
      </c>
      <c r="Y768">
        <v>5.1442124928426491E-3</v>
      </c>
    </row>
    <row r="769" spans="1:25" x14ac:dyDescent="0.25">
      <c r="A769" s="881"/>
      <c r="B769" s="1131">
        <v>519</v>
      </c>
      <c r="C769" s="885">
        <v>0.98846467449757081</v>
      </c>
      <c r="D769" s="885">
        <v>0.98678487401489434</v>
      </c>
      <c r="E769" s="885">
        <v>1.0000986394682161</v>
      </c>
      <c r="F769" s="885">
        <v>1.0061942221776146</v>
      </c>
      <c r="G769" s="885">
        <v>1.0329132030920396</v>
      </c>
      <c r="H769" s="885">
        <v>1.0165673031012199</v>
      </c>
      <c r="I769" s="885">
        <v>1.0225995394246676</v>
      </c>
      <c r="K769">
        <v>1.9653279108852084</v>
      </c>
      <c r="L769">
        <v>0</v>
      </c>
      <c r="M769">
        <v>2.0216176243764376E-3</v>
      </c>
      <c r="N769">
        <v>0.2037673897247835</v>
      </c>
      <c r="O769">
        <v>2.5610604634348569E-2</v>
      </c>
      <c r="P769">
        <v>2.1321914381518814E-2</v>
      </c>
      <c r="Q769">
        <v>3.0061845068731119E-3</v>
      </c>
      <c r="R769">
        <v>2.0097576260788711E-3</v>
      </c>
      <c r="S769">
        <v>0.21599590818832926</v>
      </c>
      <c r="T769">
        <v>1.0583632670863574</v>
      </c>
      <c r="U769">
        <v>3.7755836464147305E-2</v>
      </c>
      <c r="V769">
        <v>0.25113624289463843</v>
      </c>
      <c r="W769">
        <v>0.1217927302455972</v>
      </c>
      <c r="X769">
        <v>2.1119795015148671E-2</v>
      </c>
      <c r="Y769">
        <v>5.4698977417633066E-3</v>
      </c>
    </row>
    <row r="770" spans="1:25" x14ac:dyDescent="0.25">
      <c r="A770" s="881"/>
      <c r="B770" s="1131">
        <v>520</v>
      </c>
      <c r="C770" s="885">
        <v>0.97414410073248181</v>
      </c>
      <c r="D770" s="885">
        <v>0.97921572752079511</v>
      </c>
      <c r="E770" s="885">
        <v>1.0000035950878041</v>
      </c>
      <c r="F770" s="885">
        <v>0.99281608668415777</v>
      </c>
      <c r="G770" s="885">
        <v>0.99047811868071534</v>
      </c>
      <c r="H770" s="885">
        <v>1.0187783459834483</v>
      </c>
      <c r="I770" s="885">
        <v>0.9830438346843694</v>
      </c>
      <c r="K770">
        <v>1.9723361138374187</v>
      </c>
      <c r="L770">
        <v>0</v>
      </c>
      <c r="M770">
        <v>2.064074159681982E-3</v>
      </c>
      <c r="N770">
        <v>0.20798857665603704</v>
      </c>
      <c r="O770">
        <v>2.6086572288025241E-2</v>
      </c>
      <c r="P770">
        <v>2.1311625198415111E-2</v>
      </c>
      <c r="Q770">
        <v>3.0601058423677494E-3</v>
      </c>
      <c r="R770">
        <v>2.051997860603034E-3</v>
      </c>
      <c r="S770">
        <v>0.21166992856867298</v>
      </c>
      <c r="T770">
        <v>1.0583719974224437</v>
      </c>
      <c r="U770">
        <v>3.831087266540429E-2</v>
      </c>
      <c r="V770">
        <v>0.25425536309872154</v>
      </c>
      <c r="W770">
        <v>0.12432383822329576</v>
      </c>
      <c r="X770">
        <v>2.1384448437464097E-2</v>
      </c>
      <c r="Y770">
        <v>5.5848617356485091E-3</v>
      </c>
    </row>
    <row r="771" spans="1:25" x14ac:dyDescent="0.25">
      <c r="A771" s="881"/>
      <c r="B771" s="1131">
        <v>521</v>
      </c>
      <c r="C771" s="885">
        <v>1.0060803496588573</v>
      </c>
      <c r="D771" s="885">
        <v>1.007181309509388</v>
      </c>
      <c r="E771" s="885">
        <v>0.97682508987566363</v>
      </c>
      <c r="F771" s="885">
        <v>1.0040017736490918</v>
      </c>
      <c r="G771" s="885">
        <v>1.0455849172482188</v>
      </c>
      <c r="H771" s="885">
        <v>0.97041423067672961</v>
      </c>
      <c r="I771" s="885">
        <v>0.98010597991659609</v>
      </c>
      <c r="K771">
        <v>1.9104065173086868</v>
      </c>
      <c r="L771">
        <v>0</v>
      </c>
      <c r="M771">
        <v>1.9710595092801869E-3</v>
      </c>
      <c r="N771">
        <v>0.18472981193429935</v>
      </c>
      <c r="O771">
        <v>2.4908544887134912E-2</v>
      </c>
      <c r="P771">
        <v>2.0647676855023851E-2</v>
      </c>
      <c r="Q771">
        <v>2.8598231004473167E-3</v>
      </c>
      <c r="R771">
        <v>1.9589289490808208E-3</v>
      </c>
      <c r="S771">
        <v>0.19695812778125191</v>
      </c>
      <c r="T771">
        <v>1.0605115572755364</v>
      </c>
      <c r="U771">
        <v>3.7094761480602874E-2</v>
      </c>
      <c r="V771">
        <v>0.2460744787773739</v>
      </c>
      <c r="W771">
        <v>0.11220076807677282</v>
      </c>
      <c r="X771">
        <v>1.9101538861799688E-2</v>
      </c>
      <c r="Y771">
        <v>5.331558838643482E-3</v>
      </c>
    </row>
    <row r="772" spans="1:25" x14ac:dyDescent="0.25">
      <c r="A772" s="881"/>
      <c r="B772" s="1131">
        <v>522</v>
      </c>
      <c r="C772" s="885">
        <v>0.96587561252047405</v>
      </c>
      <c r="D772" s="885">
        <v>1.0076292348713476</v>
      </c>
      <c r="E772" s="885">
        <v>0.95807759577065288</v>
      </c>
      <c r="F772" s="885">
        <v>1.0025148392417602</v>
      </c>
      <c r="G772" s="885">
        <v>1.0272666364947904</v>
      </c>
      <c r="H772" s="885">
        <v>1.0158786588295197</v>
      </c>
      <c r="I772" s="885">
        <v>1.0066849791862127</v>
      </c>
      <c r="K772">
        <v>1.9620665132167572</v>
      </c>
      <c r="L772">
        <v>0</v>
      </c>
      <c r="M772">
        <v>2.2349024873832314E-3</v>
      </c>
      <c r="N772">
        <v>0.19761704941068767</v>
      </c>
      <c r="O772">
        <v>2.5939663457133669E-2</v>
      </c>
      <c r="P772">
        <v>2.0716181835979005E-2</v>
      </c>
      <c r="Q772">
        <v>2.9216957365538429E-3</v>
      </c>
      <c r="R772">
        <v>2.2217633045165794E-3</v>
      </c>
      <c r="S772">
        <v>0.21545456406694416</v>
      </c>
      <c r="T772">
        <v>1.0622573336903303</v>
      </c>
      <c r="U772">
        <v>3.8638837255170685E-2</v>
      </c>
      <c r="V772">
        <v>0.25181763492707748</v>
      </c>
      <c r="W772">
        <v>0.12161383943554144</v>
      </c>
      <c r="X772">
        <v>1.9055945273386627E-2</v>
      </c>
      <c r="Y772">
        <v>6.0469073108176327E-3</v>
      </c>
    </row>
    <row r="773" spans="1:25" x14ac:dyDescent="0.25">
      <c r="A773" s="881"/>
      <c r="B773" s="1131">
        <v>523</v>
      </c>
      <c r="C773" s="885">
        <v>0.98059884885044812</v>
      </c>
      <c r="D773" s="885">
        <v>1.0312443772111251</v>
      </c>
      <c r="E773" s="885">
        <v>0.97875091270906789</v>
      </c>
      <c r="F773" s="885">
        <v>1.0108373233399384</v>
      </c>
      <c r="G773" s="885">
        <v>0.98222456774512223</v>
      </c>
      <c r="H773" s="885">
        <v>1.0166088550624441</v>
      </c>
      <c r="I773" s="885">
        <v>1.0190959623530558</v>
      </c>
      <c r="K773">
        <v>1.9482782325087453</v>
      </c>
      <c r="L773">
        <v>0</v>
      </c>
      <c r="M773">
        <v>2.0855684033969746E-3</v>
      </c>
      <c r="N773">
        <v>0.19669170760143651</v>
      </c>
      <c r="O773">
        <v>2.5259648111949102E-2</v>
      </c>
      <c r="P773">
        <v>2.0908398965575541E-2</v>
      </c>
      <c r="Q773">
        <v>2.9105704575747545E-3</v>
      </c>
      <c r="R773">
        <v>2.0732964566229522E-3</v>
      </c>
      <c r="S773">
        <v>0.21264397592545764</v>
      </c>
      <c r="T773">
        <v>1.0603329939375123</v>
      </c>
      <c r="U773">
        <v>3.8058693057479429E-2</v>
      </c>
      <c r="V773">
        <v>0.24675851296340331</v>
      </c>
      <c r="W773">
        <v>0.11930637168246438</v>
      </c>
      <c r="X773">
        <v>1.9776802259731434E-2</v>
      </c>
      <c r="Y773">
        <v>5.642829492934434E-3</v>
      </c>
    </row>
    <row r="774" spans="1:25" x14ac:dyDescent="0.25">
      <c r="A774" s="881"/>
      <c r="B774" s="1131">
        <v>524</v>
      </c>
      <c r="C774" s="885">
        <v>1.0254581501293041</v>
      </c>
      <c r="D774" s="885">
        <v>0.95876507721674986</v>
      </c>
      <c r="E774" s="885">
        <v>0.97201200303051671</v>
      </c>
      <c r="F774" s="885">
        <v>0.98015620414346316</v>
      </c>
      <c r="G774" s="885">
        <v>0.99274730738535555</v>
      </c>
      <c r="H774" s="885">
        <v>0.9907566951201271</v>
      </c>
      <c r="I774" s="885">
        <v>1.0083712902469342</v>
      </c>
      <c r="K774">
        <v>1.9292703061085892</v>
      </c>
      <c r="L774">
        <v>0</v>
      </c>
      <c r="M774">
        <v>2.0436942292217557E-3</v>
      </c>
      <c r="N774">
        <v>0.18871305142090619</v>
      </c>
      <c r="O774">
        <v>2.504259536939012E-2</v>
      </c>
      <c r="P774">
        <v>2.0727729695354608E-2</v>
      </c>
      <c r="Q774">
        <v>2.8512544645621948E-3</v>
      </c>
      <c r="R774">
        <v>2.0314172037000401E-3</v>
      </c>
      <c r="S774">
        <v>0.20543017082771398</v>
      </c>
      <c r="T774">
        <v>1.0609584576036528</v>
      </c>
      <c r="U774">
        <v>3.6393791980892626E-2</v>
      </c>
      <c r="V774">
        <v>0.24951749248134727</v>
      </c>
      <c r="W774">
        <v>0.11500505131621902</v>
      </c>
      <c r="X774">
        <v>1.9114140002101366E-2</v>
      </c>
      <c r="Y774">
        <v>5.5288479719702846E-3</v>
      </c>
    </row>
    <row r="775" spans="1:25" x14ac:dyDescent="0.25">
      <c r="A775" s="881"/>
      <c r="B775" s="1131">
        <v>525</v>
      </c>
      <c r="C775" s="885">
        <v>0.98196621014196162</v>
      </c>
      <c r="D775" s="885">
        <v>0.95346906797748965</v>
      </c>
      <c r="E775" s="885">
        <v>0.99765599751496881</v>
      </c>
      <c r="F775" s="885">
        <v>0.97592194481611538</v>
      </c>
      <c r="G775" s="885">
        <v>1.0216270158711591</v>
      </c>
      <c r="H775" s="885">
        <v>0.98450795952213954</v>
      </c>
      <c r="I775" s="885">
        <v>1.0200036459125497</v>
      </c>
      <c r="K775">
        <v>1.9694144311677579</v>
      </c>
      <c r="L775">
        <v>0</v>
      </c>
      <c r="M775">
        <v>2.0150626549575224E-3</v>
      </c>
      <c r="N775">
        <v>0.2015331584403123</v>
      </c>
      <c r="O775">
        <v>2.6223998687977545E-2</v>
      </c>
      <c r="P775">
        <v>2.1375558309349289E-2</v>
      </c>
      <c r="Q775">
        <v>3.0631901787545883E-3</v>
      </c>
      <c r="R775">
        <v>2.0028855632392862E-3</v>
      </c>
      <c r="S775">
        <v>0.21688695734911553</v>
      </c>
      <c r="T775">
        <v>1.0585877485234085</v>
      </c>
      <c r="U775">
        <v>3.8005697360524789E-2</v>
      </c>
      <c r="V775">
        <v>0.25656152663269133</v>
      </c>
      <c r="W775">
        <v>0.12065897323339152</v>
      </c>
      <c r="X775">
        <v>2.1078605291862396E-2</v>
      </c>
      <c r="Y775">
        <v>5.4511942520888614E-3</v>
      </c>
    </row>
    <row r="776" spans="1:25" x14ac:dyDescent="0.25">
      <c r="A776" s="881"/>
      <c r="B776" s="1131">
        <v>526</v>
      </c>
      <c r="C776" s="885">
        <v>0.99735287499570002</v>
      </c>
      <c r="D776" s="885">
        <v>1.0095357882697409</v>
      </c>
      <c r="E776" s="885">
        <v>0.99503222904099509</v>
      </c>
      <c r="F776" s="885">
        <v>0.96547269458605456</v>
      </c>
      <c r="G776" s="885">
        <v>0.95752276087306842</v>
      </c>
      <c r="H776" s="885">
        <v>0.99692368236683926</v>
      </c>
      <c r="I776" s="885">
        <v>1.0185555658185612</v>
      </c>
      <c r="K776">
        <v>1.9386843253350339</v>
      </c>
      <c r="L776">
        <v>0</v>
      </c>
      <c r="M776">
        <v>1.9636851179571741E-3</v>
      </c>
      <c r="N776">
        <v>0.1948077463567939</v>
      </c>
      <c r="O776">
        <v>2.5097519766356283E-2</v>
      </c>
      <c r="P776">
        <v>2.1091496588055203E-2</v>
      </c>
      <c r="Q776">
        <v>2.9356384999438068E-3</v>
      </c>
      <c r="R776">
        <v>1.9519194056318225E-3</v>
      </c>
      <c r="S776">
        <v>0.20898219546383215</v>
      </c>
      <c r="T776">
        <v>1.0588291344717651</v>
      </c>
      <c r="U776">
        <v>3.7419364335895405E-2</v>
      </c>
      <c r="V776">
        <v>0.24700564804052652</v>
      </c>
      <c r="W776">
        <v>0.11684254683421187</v>
      </c>
      <c r="X776">
        <v>2.0372319517909694E-2</v>
      </c>
      <c r="Y776">
        <v>5.3124811720706849E-3</v>
      </c>
    </row>
    <row r="777" spans="1:25" x14ac:dyDescent="0.25">
      <c r="A777" s="881"/>
      <c r="B777" s="1131">
        <v>527</v>
      </c>
      <c r="C777" s="885">
        <v>0.99345221450233745</v>
      </c>
      <c r="D777" s="885">
        <v>0.97467641782744108</v>
      </c>
      <c r="E777" s="885">
        <v>1.0236177499219168</v>
      </c>
      <c r="F777" s="885">
        <v>0.98537273612760679</v>
      </c>
      <c r="G777" s="885">
        <v>0.99857742256928939</v>
      </c>
      <c r="H777" s="885">
        <v>0.99423708264638433</v>
      </c>
      <c r="I777" s="885">
        <v>0.9535793226086875</v>
      </c>
      <c r="K777">
        <v>1.9468553880476265</v>
      </c>
      <c r="L777">
        <v>0</v>
      </c>
      <c r="M777">
        <v>1.8835474370230935E-3</v>
      </c>
      <c r="N777">
        <v>0.20422392450106325</v>
      </c>
      <c r="O777">
        <v>2.5638660132775288E-2</v>
      </c>
      <c r="P777">
        <v>2.144367106026792E-2</v>
      </c>
      <c r="Q777">
        <v>3.0783238185608628E-3</v>
      </c>
      <c r="R777">
        <v>1.8722590054544882E-3</v>
      </c>
      <c r="S777">
        <v>0.1993523449825394</v>
      </c>
      <c r="T777">
        <v>1.056213744169098</v>
      </c>
      <c r="U777">
        <v>3.7566286587435105E-2</v>
      </c>
      <c r="V777">
        <v>0.251987943732078</v>
      </c>
      <c r="W777">
        <v>0.1201328391382244</v>
      </c>
      <c r="X777">
        <v>2.2133266534321693E-2</v>
      </c>
      <c r="Y777">
        <v>5.0956718228318404E-3</v>
      </c>
    </row>
    <row r="778" spans="1:25" x14ac:dyDescent="0.25">
      <c r="A778" s="881"/>
      <c r="B778" s="1131">
        <v>528</v>
      </c>
      <c r="C778" s="885">
        <v>1.021452877836931</v>
      </c>
      <c r="D778" s="885">
        <v>0.9669275261791942</v>
      </c>
      <c r="E778" s="885">
        <v>1.0029789993814746</v>
      </c>
      <c r="F778" s="885">
        <v>1.0102827386783353</v>
      </c>
      <c r="G778" s="885">
        <v>1.0156509849436006</v>
      </c>
      <c r="H778" s="885">
        <v>1.0097078843680793</v>
      </c>
      <c r="I778" s="885">
        <v>0.9990213905812152</v>
      </c>
      <c r="K778">
        <v>1.9410975245631694</v>
      </c>
      <c r="L778">
        <v>0</v>
      </c>
      <c r="M778">
        <v>1.9509540235987074E-3</v>
      </c>
      <c r="N778">
        <v>0.19840850376359168</v>
      </c>
      <c r="O778">
        <v>2.503496190013263E-2</v>
      </c>
      <c r="P778">
        <v>2.1173807659540526E-2</v>
      </c>
      <c r="Q778">
        <v>2.942911892739077E-3</v>
      </c>
      <c r="R778">
        <v>1.9394472138346771E-3</v>
      </c>
      <c r="S778">
        <v>0.20543292021571721</v>
      </c>
      <c r="T778">
        <v>1.0580988575401733</v>
      </c>
      <c r="U778">
        <v>3.6536497581707184E-2</v>
      </c>
      <c r="V778">
        <v>0.24900516633049316</v>
      </c>
      <c r="W778">
        <v>0.11835645566862978</v>
      </c>
      <c r="X778">
        <v>2.0840412842752825E-2</v>
      </c>
      <c r="Y778">
        <v>5.2785359774557769E-3</v>
      </c>
    </row>
    <row r="779" spans="1:25" x14ac:dyDescent="0.25">
      <c r="A779" s="881"/>
      <c r="B779" s="1131">
        <v>529</v>
      </c>
      <c r="C779" s="885">
        <v>0.99933637617461324</v>
      </c>
      <c r="D779" s="885">
        <v>1.0186467602741616</v>
      </c>
      <c r="E779" s="885">
        <v>0.97140480617575897</v>
      </c>
      <c r="F779" s="885">
        <v>0.98340250177041011</v>
      </c>
      <c r="G779" s="885">
        <v>0.9762214586857787</v>
      </c>
      <c r="H779" s="885">
        <v>1.0155558932649198</v>
      </c>
      <c r="I779" s="885">
        <v>1.0367589125267795</v>
      </c>
      <c r="K779">
        <v>1.9406864988339074</v>
      </c>
      <c r="L779">
        <v>0</v>
      </c>
      <c r="M779">
        <v>2.08870704738329E-3</v>
      </c>
      <c r="N779">
        <v>0.19252834688441323</v>
      </c>
      <c r="O779">
        <v>2.4936774354243144E-2</v>
      </c>
      <c r="P779">
        <v>2.0785420632550698E-2</v>
      </c>
      <c r="Q779">
        <v>2.8495179807961277E-3</v>
      </c>
      <c r="R779">
        <v>2.0764142503222386E-3</v>
      </c>
      <c r="S779">
        <v>0.21336135597714712</v>
      </c>
      <c r="T779">
        <v>1.0610149002036966</v>
      </c>
      <c r="U779">
        <v>3.7345093694854115E-2</v>
      </c>
      <c r="V779">
        <v>0.24561924563217749</v>
      </c>
      <c r="W779">
        <v>0.11737989342148318</v>
      </c>
      <c r="X779">
        <v>1.9226927750002197E-2</v>
      </c>
      <c r="Y779">
        <v>5.651315099603477E-3</v>
      </c>
    </row>
    <row r="780" spans="1:25" x14ac:dyDescent="0.25">
      <c r="A780" s="881"/>
      <c r="B780" s="1131">
        <v>530</v>
      </c>
      <c r="C780" s="885">
        <v>1.0150631203386686</v>
      </c>
      <c r="D780" s="885">
        <v>0.97960936051567937</v>
      </c>
      <c r="E780" s="885">
        <v>0.98599218885628415</v>
      </c>
      <c r="F780" s="885">
        <v>1.016561086460418</v>
      </c>
      <c r="G780" s="885">
        <v>0.97239143390801375</v>
      </c>
      <c r="H780" s="885">
        <v>1.0347636089960195</v>
      </c>
      <c r="I780" s="885">
        <v>0.99551575233527412</v>
      </c>
      <c r="K780">
        <v>1.9470729553365569</v>
      </c>
      <c r="L780">
        <v>0</v>
      </c>
      <c r="M780">
        <v>2.0717202256259289E-3</v>
      </c>
      <c r="N780">
        <v>0.19986812048356919</v>
      </c>
      <c r="O780">
        <v>2.5029981312560807E-2</v>
      </c>
      <c r="P780">
        <v>2.0944872430099161E-2</v>
      </c>
      <c r="Q780">
        <v>2.8950218568011619E-3</v>
      </c>
      <c r="R780">
        <v>2.0597861047085175E-3</v>
      </c>
      <c r="S780">
        <v>0.20727906824508732</v>
      </c>
      <c r="T780">
        <v>1.0596628662572576</v>
      </c>
      <c r="U780">
        <v>3.6766492499959322E-2</v>
      </c>
      <c r="V780">
        <v>0.24826203675308997</v>
      </c>
      <c r="W780">
        <v>0.12062645471419196</v>
      </c>
      <c r="X780">
        <v>2.0143916136144024E-2</v>
      </c>
      <c r="Y780">
        <v>5.6060587687096547E-3</v>
      </c>
    </row>
    <row r="781" spans="1:25" x14ac:dyDescent="0.25">
      <c r="A781" s="881"/>
      <c r="B781" s="1131">
        <v>531</v>
      </c>
      <c r="C781" s="885">
        <v>0.97080355043733668</v>
      </c>
      <c r="D781" s="885">
        <v>0.99641502742287813</v>
      </c>
      <c r="E781" s="885">
        <v>1.0285003524109602</v>
      </c>
      <c r="F781" s="885">
        <v>0.96662244103592376</v>
      </c>
      <c r="G781" s="885">
        <v>0.98174948957666874</v>
      </c>
      <c r="H781" s="885">
        <v>0.95712370620375442</v>
      </c>
      <c r="I781" s="885">
        <v>0.97785816449272589</v>
      </c>
      <c r="K781">
        <v>1.9449749743751297</v>
      </c>
      <c r="L781">
        <v>0</v>
      </c>
      <c r="M781">
        <v>1.8165170379395702E-3</v>
      </c>
      <c r="N781">
        <v>0.19991627804420101</v>
      </c>
      <c r="O781">
        <v>2.5951317985154255E-2</v>
      </c>
      <c r="P781">
        <v>2.1588388315761212E-2</v>
      </c>
      <c r="Q781">
        <v>3.135823193928126E-3</v>
      </c>
      <c r="R781">
        <v>1.8051907784316389E-3</v>
      </c>
      <c r="S781">
        <v>0.20329563014689295</v>
      </c>
      <c r="T781">
        <v>1.0557702094791113</v>
      </c>
      <c r="U781">
        <v>3.8442700981166061E-2</v>
      </c>
      <c r="V781">
        <v>0.25250739569571196</v>
      </c>
      <c r="W781">
        <v>0.11721371305621794</v>
      </c>
      <c r="X781">
        <v>2.2251709518580073E-2</v>
      </c>
      <c r="Y781">
        <v>4.913134217910742E-3</v>
      </c>
    </row>
    <row r="782" spans="1:25" x14ac:dyDescent="0.25">
      <c r="A782" s="881"/>
      <c r="B782" s="1131">
        <v>532</v>
      </c>
      <c r="C782" s="885">
        <v>0.97112313885257284</v>
      </c>
      <c r="D782" s="885">
        <v>0.99867746548941005</v>
      </c>
      <c r="E782" s="885">
        <v>0.98314387721143393</v>
      </c>
      <c r="F782" s="885">
        <v>1.0011478942463785</v>
      </c>
      <c r="G782" s="885">
        <v>0.9767860825774789</v>
      </c>
      <c r="H782" s="885">
        <v>1.0066081327477869</v>
      </c>
      <c r="I782" s="885">
        <v>0.99151110020204847</v>
      </c>
      <c r="K782">
        <v>1.9594108144336564</v>
      </c>
      <c r="L782">
        <v>0</v>
      </c>
      <c r="M782">
        <v>2.0990408127259394E-3</v>
      </c>
      <c r="N782">
        <v>0.20068114779801011</v>
      </c>
      <c r="O782">
        <v>2.5913659590895692E-2</v>
      </c>
      <c r="P782">
        <v>2.1028127822181174E-2</v>
      </c>
      <c r="Q782">
        <v>2.9926258756990385E-3</v>
      </c>
      <c r="R782">
        <v>2.0865944090866563E-3</v>
      </c>
      <c r="S782">
        <v>0.2109683492546377</v>
      </c>
      <c r="T782">
        <v>1.0599262140923467</v>
      </c>
      <c r="U782">
        <v>3.8430049813263166E-2</v>
      </c>
      <c r="V782">
        <v>0.25217034518065351</v>
      </c>
      <c r="W782">
        <v>0.12135598832222681</v>
      </c>
      <c r="X782">
        <v>2.0277730951511003E-2</v>
      </c>
      <c r="Y782">
        <v>5.6790221358717832E-3</v>
      </c>
    </row>
    <row r="783" spans="1:25" x14ac:dyDescent="0.25">
      <c r="A783" s="881"/>
      <c r="B783" s="1131">
        <v>533</v>
      </c>
      <c r="C783" s="885">
        <v>1.0121684094909107</v>
      </c>
      <c r="D783" s="885">
        <v>0.98350386688364344</v>
      </c>
      <c r="E783" s="885">
        <v>0.98525669756946022</v>
      </c>
      <c r="F783" s="885">
        <v>1.0118541704857327</v>
      </c>
      <c r="G783" s="885">
        <v>0.98445541091857169</v>
      </c>
      <c r="H783" s="885">
        <v>1.0032467131731926</v>
      </c>
      <c r="I783" s="885">
        <v>1.0206540832895528</v>
      </c>
      <c r="K783">
        <v>1.9392891147108036</v>
      </c>
      <c r="L783">
        <v>0</v>
      </c>
      <c r="M783">
        <v>2.0135143076188901E-3</v>
      </c>
      <c r="N783">
        <v>0.19377268553209862</v>
      </c>
      <c r="O783">
        <v>2.5052187458026506E-2</v>
      </c>
      <c r="P783">
        <v>2.0964198668773446E-2</v>
      </c>
      <c r="Q783">
        <v>2.896239262478951E-3</v>
      </c>
      <c r="R783">
        <v>2.0015477886530068E-3</v>
      </c>
      <c r="S783">
        <v>0.20948872140799568</v>
      </c>
      <c r="T783">
        <v>1.0597308377911074</v>
      </c>
      <c r="U783">
        <v>3.687164137012322E-2</v>
      </c>
      <c r="V783">
        <v>0.24817370398052746</v>
      </c>
      <c r="W783">
        <v>0.1170071397375602</v>
      </c>
      <c r="X783">
        <v>1.9896172750415369E-2</v>
      </c>
      <c r="Y783">
        <v>5.4475532706622842E-3</v>
      </c>
    </row>
    <row r="784" spans="1:25" x14ac:dyDescent="0.25">
      <c r="A784" s="881"/>
      <c r="B784" s="1131">
        <v>534</v>
      </c>
      <c r="C784" s="885">
        <v>0.99079901176236462</v>
      </c>
      <c r="D784" s="885">
        <v>0.97051954413310426</v>
      </c>
      <c r="E784" s="885">
        <v>0.99286188511761442</v>
      </c>
      <c r="F784" s="885">
        <v>0.97982876063132807</v>
      </c>
      <c r="G784" s="885">
        <v>1.0121352719441392</v>
      </c>
      <c r="H784" s="885">
        <v>0.98923086563322993</v>
      </c>
      <c r="I784" s="885">
        <v>0.9990830448362521</v>
      </c>
      <c r="K784">
        <v>1.9517455168685574</v>
      </c>
      <c r="L784">
        <v>0</v>
      </c>
      <c r="M784">
        <v>2.0092400787308758E-3</v>
      </c>
      <c r="N784">
        <v>0.19797909088702811</v>
      </c>
      <c r="O784">
        <v>2.5761970276472181E-2</v>
      </c>
      <c r="P784">
        <v>2.1148205742161346E-2</v>
      </c>
      <c r="Q784">
        <v>2.9984828747569867E-3</v>
      </c>
      <c r="R784">
        <v>1.9971410370166463E-3</v>
      </c>
      <c r="S784">
        <v>0.20931892621808157</v>
      </c>
      <c r="T784">
        <v>1.0590290079504936</v>
      </c>
      <c r="U784">
        <v>3.7666883149725897E-2</v>
      </c>
      <c r="V784">
        <v>0.25292716203477145</v>
      </c>
      <c r="W784">
        <v>0.11892188818665099</v>
      </c>
      <c r="X784">
        <v>2.0570439044736415E-2</v>
      </c>
      <c r="Y784">
        <v>5.435559545393394E-3</v>
      </c>
    </row>
    <row r="785" spans="1:25" x14ac:dyDescent="0.25">
      <c r="A785" s="881"/>
      <c r="B785" s="1131">
        <v>535</v>
      </c>
      <c r="C785" s="885">
        <v>1.0016626835668103</v>
      </c>
      <c r="D785" s="885">
        <v>0.97655041618427774</v>
      </c>
      <c r="E785" s="885">
        <v>1.0226779621756514</v>
      </c>
      <c r="F785" s="885">
        <v>1.0264855455871695</v>
      </c>
      <c r="G785" s="885">
        <v>0.98468992869589711</v>
      </c>
      <c r="H785" s="885">
        <v>0.95679733501191055</v>
      </c>
      <c r="I785" s="885">
        <v>0.9642621279473591</v>
      </c>
      <c r="K785">
        <v>1.9254275678203201</v>
      </c>
      <c r="L785">
        <v>0</v>
      </c>
      <c r="M785">
        <v>1.7996191920424075E-3</v>
      </c>
      <c r="N785">
        <v>0.19450923273161408</v>
      </c>
      <c r="O785">
        <v>2.5404255480681127E-2</v>
      </c>
      <c r="P785">
        <v>2.1360323856289248E-2</v>
      </c>
      <c r="Q785">
        <v>3.0477488953547863E-3</v>
      </c>
      <c r="R785">
        <v>1.7884102120435653E-3</v>
      </c>
      <c r="S785">
        <v>0.19606592468928041</v>
      </c>
      <c r="T785">
        <v>1.0562992213515692</v>
      </c>
      <c r="U785">
        <v>3.7258361735133576E-2</v>
      </c>
      <c r="V785">
        <v>0.25055242259923077</v>
      </c>
      <c r="W785">
        <v>0.11449068404984585</v>
      </c>
      <c r="X785">
        <v>2.1583138363403913E-2</v>
      </c>
      <c r="Y785">
        <v>4.8674630479146313E-3</v>
      </c>
    </row>
    <row r="786" spans="1:25" x14ac:dyDescent="0.25">
      <c r="A786" s="881"/>
      <c r="B786" s="1131">
        <v>536</v>
      </c>
      <c r="C786" s="885">
        <v>0.97490722145526276</v>
      </c>
      <c r="D786" s="885">
        <v>0.97290665859861236</v>
      </c>
      <c r="E786" s="885">
        <v>1.0337707791234498</v>
      </c>
      <c r="F786" s="885">
        <v>0.98869422333315804</v>
      </c>
      <c r="G786" s="885">
        <v>1.0128479665041386</v>
      </c>
      <c r="H786" s="885">
        <v>0.99023257804772946</v>
      </c>
      <c r="I786" s="885">
        <v>0.99397629976945401</v>
      </c>
      <c r="K786">
        <v>1.9712555005974302</v>
      </c>
      <c r="L786">
        <v>0</v>
      </c>
      <c r="M786">
        <v>1.8727204070419176E-3</v>
      </c>
      <c r="N786">
        <v>0.20954716809108068</v>
      </c>
      <c r="O786">
        <v>2.6149967163046621E-2</v>
      </c>
      <c r="P786">
        <v>2.1811778793727862E-2</v>
      </c>
      <c r="Q786">
        <v>3.1710066201100129E-3</v>
      </c>
      <c r="R786">
        <v>1.8614529114057558E-3</v>
      </c>
      <c r="S786">
        <v>0.21150895261006886</v>
      </c>
      <c r="T786">
        <v>1.0552924922587796</v>
      </c>
      <c r="U786">
        <v>3.8280884354521635E-2</v>
      </c>
      <c r="V786">
        <v>0.25498554769729048</v>
      </c>
      <c r="W786">
        <v>0.12242762560759385</v>
      </c>
      <c r="X786">
        <v>2.3025083699786033E-2</v>
      </c>
      <c r="Y786">
        <v>5.0662611970591388E-3</v>
      </c>
    </row>
    <row r="787" spans="1:25" x14ac:dyDescent="0.25">
      <c r="A787" s="881"/>
      <c r="B787" s="1131">
        <v>537</v>
      </c>
      <c r="C787" s="885">
        <v>1.0299488459846824</v>
      </c>
      <c r="D787" s="885">
        <v>1.0018250482684401</v>
      </c>
      <c r="E787" s="885">
        <v>0.98165870519868392</v>
      </c>
      <c r="F787" s="885">
        <v>1.0343569728336899</v>
      </c>
      <c r="G787" s="885">
        <v>1.023621299354037</v>
      </c>
      <c r="H787" s="885">
        <v>1.0154993482441974</v>
      </c>
      <c r="I787" s="885">
        <v>1.0109984796066214</v>
      </c>
      <c r="K787">
        <v>1.9215063466406341</v>
      </c>
      <c r="L787">
        <v>0</v>
      </c>
      <c r="M787">
        <v>1.9997580373123545E-3</v>
      </c>
      <c r="N787">
        <v>0.19031629442758571</v>
      </c>
      <c r="O787">
        <v>2.4395568671690248E-2</v>
      </c>
      <c r="P787">
        <v>2.0758169459195442E-2</v>
      </c>
      <c r="Q787">
        <v>2.8136830780694775E-3</v>
      </c>
      <c r="R787">
        <v>1.988001594779193E-3</v>
      </c>
      <c r="S787">
        <v>0.20341802818786672</v>
      </c>
      <c r="T787">
        <v>1.0600636543241964</v>
      </c>
      <c r="U787">
        <v>3.6235110846924504E-2</v>
      </c>
      <c r="V787">
        <v>0.24348175384911255</v>
      </c>
      <c r="W787">
        <v>0.11520661470869599</v>
      </c>
      <c r="X787">
        <v>1.9418540533387853E-2</v>
      </c>
      <c r="Y787">
        <v>5.4106849964393727E-3</v>
      </c>
    </row>
    <row r="788" spans="1:25" x14ac:dyDescent="0.25">
      <c r="A788" s="881"/>
      <c r="B788" s="1131">
        <v>538</v>
      </c>
      <c r="C788" s="885">
        <v>1.012568379152285</v>
      </c>
      <c r="D788" s="885">
        <v>0.98742458675661426</v>
      </c>
      <c r="E788" s="885">
        <v>0.99576313389652849</v>
      </c>
      <c r="F788" s="885">
        <v>0.98051229306758114</v>
      </c>
      <c r="G788" s="885">
        <v>0.99873992971291226</v>
      </c>
      <c r="H788" s="885">
        <v>0.98753727396303859</v>
      </c>
      <c r="I788" s="885">
        <v>0.98336695274673935</v>
      </c>
      <c r="K788">
        <v>1.9250055557652994</v>
      </c>
      <c r="L788">
        <v>0</v>
      </c>
      <c r="M788">
        <v>1.9340944361655712E-3</v>
      </c>
      <c r="N788">
        <v>0.19229992374576491</v>
      </c>
      <c r="O788">
        <v>2.4992923313638817E-2</v>
      </c>
      <c r="P788">
        <v>2.0978401452779325E-2</v>
      </c>
      <c r="Q788">
        <v>2.9210418657935897E-3</v>
      </c>
      <c r="R788">
        <v>1.9224138256717441E-3</v>
      </c>
      <c r="S788">
        <v>0.199833191713295</v>
      </c>
      <c r="T788">
        <v>1.0587618645084966</v>
      </c>
      <c r="U788">
        <v>3.6857076884191417E-2</v>
      </c>
      <c r="V788">
        <v>0.24762192790149398</v>
      </c>
      <c r="W788">
        <v>0.11528054151099827</v>
      </c>
      <c r="X788">
        <v>2.0238166769409673E-2</v>
      </c>
      <c r="Y788">
        <v>5.2321767099311701E-3</v>
      </c>
    </row>
    <row r="789" spans="1:25" x14ac:dyDescent="0.25">
      <c r="A789" s="881"/>
      <c r="B789" s="1131">
        <v>539</v>
      </c>
      <c r="C789" s="885">
        <v>1.013069871064056</v>
      </c>
      <c r="D789" s="885">
        <v>1.0227218223748533</v>
      </c>
      <c r="E789" s="885">
        <v>1.0068118612859038</v>
      </c>
      <c r="F789" s="885">
        <v>0.99393427034656012</v>
      </c>
      <c r="G789" s="885">
        <v>0.99177380050347907</v>
      </c>
      <c r="H789" s="885">
        <v>1.0289098047416096</v>
      </c>
      <c r="I789" s="885">
        <v>1.0163312562641673</v>
      </c>
      <c r="K789">
        <v>1.9373911822390473</v>
      </c>
      <c r="L789">
        <v>0</v>
      </c>
      <c r="M789">
        <v>1.9339283363300182E-3</v>
      </c>
      <c r="N789">
        <v>0.19905298099181351</v>
      </c>
      <c r="O789">
        <v>2.4550295320972203E-2</v>
      </c>
      <c r="P789">
        <v>2.1180060307457307E-2</v>
      </c>
      <c r="Q789">
        <v>2.9084280904139613E-3</v>
      </c>
      <c r="R789">
        <v>1.9226911093290484E-3</v>
      </c>
      <c r="S789">
        <v>0.20728591576391772</v>
      </c>
      <c r="T789">
        <v>1.0577475122834414</v>
      </c>
      <c r="U789">
        <v>3.683883181889356E-2</v>
      </c>
      <c r="V789">
        <v>0.24325454711949279</v>
      </c>
      <c r="W789">
        <v>0.11843096212603627</v>
      </c>
      <c r="X789">
        <v>2.0919954258967362E-2</v>
      </c>
      <c r="Y789">
        <v>5.2329313846398223E-3</v>
      </c>
    </row>
    <row r="790" spans="1:25" x14ac:dyDescent="0.25">
      <c r="A790" s="881"/>
      <c r="B790" s="1131">
        <v>540</v>
      </c>
      <c r="C790" s="885">
        <v>1.0099777039799014</v>
      </c>
      <c r="D790" s="885">
        <v>0.99258558074775283</v>
      </c>
      <c r="E790" s="885">
        <v>1.0121540810484631</v>
      </c>
      <c r="F790" s="885">
        <v>1.0004778201558393</v>
      </c>
      <c r="G790" s="885">
        <v>1.0094061635674751</v>
      </c>
      <c r="H790" s="885">
        <v>0.95890959443450474</v>
      </c>
      <c r="I790" s="885">
        <v>1.0433850045107733</v>
      </c>
      <c r="K790">
        <v>1.9279746860524363</v>
      </c>
      <c r="L790">
        <v>0</v>
      </c>
      <c r="M790">
        <v>1.8142324593145151E-3</v>
      </c>
      <c r="N790">
        <v>0.18978179286716623</v>
      </c>
      <c r="O790">
        <v>2.4992367512735082E-2</v>
      </c>
      <c r="P790">
        <v>2.1339421043867886E-2</v>
      </c>
      <c r="Q790">
        <v>2.9704784017480783E-3</v>
      </c>
      <c r="R790">
        <v>1.8029445318259447E-3</v>
      </c>
      <c r="S790">
        <v>0.20906092024153369</v>
      </c>
      <c r="T790">
        <v>1.0572587654199657</v>
      </c>
      <c r="U790">
        <v>3.6951618292020795E-2</v>
      </c>
      <c r="V790">
        <v>0.24733521518595938</v>
      </c>
      <c r="W790">
        <v>0.1125055827454937</v>
      </c>
      <c r="X790">
        <v>2.0882791594308347E-2</v>
      </c>
      <c r="Y790">
        <v>4.9070206751250364E-3</v>
      </c>
    </row>
    <row r="791" spans="1:25" x14ac:dyDescent="0.25">
      <c r="A791" s="881"/>
      <c r="B791" s="1131">
        <v>541</v>
      </c>
      <c r="C791" s="885">
        <v>1.0336956061162224</v>
      </c>
      <c r="D791" s="885">
        <v>1.0283151852513179</v>
      </c>
      <c r="E791" s="885">
        <v>0.99344188218022234</v>
      </c>
      <c r="F791" s="885">
        <v>0.96598328445983261</v>
      </c>
      <c r="G791" s="885">
        <v>0.96208988391500794</v>
      </c>
      <c r="H791" s="885">
        <v>0.97694855963595539</v>
      </c>
      <c r="I791" s="885">
        <v>0.97836856311000642</v>
      </c>
      <c r="K791">
        <v>1.8886670369037961</v>
      </c>
      <c r="L791">
        <v>0</v>
      </c>
      <c r="M791">
        <v>1.8460453934789017E-3</v>
      </c>
      <c r="N791">
        <v>0.18220913152635484</v>
      </c>
      <c r="O791">
        <v>2.3995788184077882E-2</v>
      </c>
      <c r="P791">
        <v>2.0698136324742725E-2</v>
      </c>
      <c r="Q791">
        <v>2.8058454265292181E-3</v>
      </c>
      <c r="R791">
        <v>1.8347440756352818E-3</v>
      </c>
      <c r="S791">
        <v>0.19016501369584579</v>
      </c>
      <c r="T791">
        <v>1.0589755763393658</v>
      </c>
      <c r="U791">
        <v>3.6103772116373709E-2</v>
      </c>
      <c r="V791">
        <v>0.23988009246550229</v>
      </c>
      <c r="W791">
        <v>0.10940556884462026</v>
      </c>
      <c r="X791">
        <v>1.9445844747569403E-2</v>
      </c>
      <c r="Y791">
        <v>4.9935685506572553E-3</v>
      </c>
    </row>
    <row r="792" spans="1:25" x14ac:dyDescent="0.25">
      <c r="A792" s="881"/>
      <c r="B792" s="1131">
        <v>542</v>
      </c>
      <c r="C792" s="885">
        <v>1.0364625872819313</v>
      </c>
      <c r="D792" s="885">
        <v>0.99156324117643557</v>
      </c>
      <c r="E792" s="885">
        <v>0.97699940814456965</v>
      </c>
      <c r="F792" s="885">
        <v>0.97695041109146197</v>
      </c>
      <c r="G792" s="885">
        <v>1.0035682595971187</v>
      </c>
      <c r="H792" s="885">
        <v>0.96309432199518785</v>
      </c>
      <c r="I792" s="885">
        <v>1.0174648040331844</v>
      </c>
      <c r="K792">
        <v>1.8995860020592739</v>
      </c>
      <c r="L792">
        <v>0</v>
      </c>
      <c r="M792">
        <v>1.9128842727982906E-3</v>
      </c>
      <c r="N792">
        <v>0.17936775526054249</v>
      </c>
      <c r="O792">
        <v>2.436617332494153E-2</v>
      </c>
      <c r="P792">
        <v>2.0635605109056404E-2</v>
      </c>
      <c r="Q792">
        <v>2.795000817518599E-3</v>
      </c>
      <c r="R792">
        <v>1.9010351092144172E-3</v>
      </c>
      <c r="S792">
        <v>0.19916932964250014</v>
      </c>
      <c r="T792">
        <v>1.0604953884741777</v>
      </c>
      <c r="U792">
        <v>3.600738807059832E-2</v>
      </c>
      <c r="V792">
        <v>0.24386235200005474</v>
      </c>
      <c r="W792">
        <v>0.10893076900424825</v>
      </c>
      <c r="X792">
        <v>1.8794098627992657E-2</v>
      </c>
      <c r="Y792">
        <v>5.1739908912263148E-3</v>
      </c>
    </row>
    <row r="793" spans="1:25" x14ac:dyDescent="0.25">
      <c r="A793" s="881"/>
      <c r="B793" s="1131">
        <v>543</v>
      </c>
      <c r="C793" s="885">
        <v>1.0187601048363748</v>
      </c>
      <c r="D793" s="885">
        <v>1.0271932928661207</v>
      </c>
      <c r="E793" s="885">
        <v>0.97726428686443323</v>
      </c>
      <c r="F793" s="885">
        <v>0.99893944720476802</v>
      </c>
      <c r="G793" s="885">
        <v>0.98429307407428468</v>
      </c>
      <c r="H793" s="885">
        <v>1.035650481154996</v>
      </c>
      <c r="I793" s="885">
        <v>0.98675972243892596</v>
      </c>
      <c r="K793">
        <v>1.922251983502449</v>
      </c>
      <c r="L793">
        <v>0</v>
      </c>
      <c r="M793">
        <v>2.0554185250382254E-3</v>
      </c>
      <c r="N793">
        <v>0.19297360237524294</v>
      </c>
      <c r="O793">
        <v>2.4360687378780541E-2</v>
      </c>
      <c r="P793">
        <v>2.063871356520364E-2</v>
      </c>
      <c r="Q793">
        <v>2.8019846253339153E-3</v>
      </c>
      <c r="R793">
        <v>2.0435495556753061E-3</v>
      </c>
      <c r="S793">
        <v>0.20038318718648535</v>
      </c>
      <c r="T793">
        <v>1.0604708220389722</v>
      </c>
      <c r="U793">
        <v>3.6633070360476069E-2</v>
      </c>
      <c r="V793">
        <v>0.2419686184032408</v>
      </c>
      <c r="W793">
        <v>0.11717207416010003</v>
      </c>
      <c r="X793">
        <v>1.9299224143357111E-2</v>
      </c>
      <c r="Y793">
        <v>5.5618682346182035E-3</v>
      </c>
    </row>
    <row r="794" spans="1:25" x14ac:dyDescent="0.25">
      <c r="A794" s="881"/>
      <c r="B794" s="1131">
        <v>544</v>
      </c>
      <c r="C794" s="885">
        <v>0.99038627721459971</v>
      </c>
      <c r="D794" s="885">
        <v>0.95824622040027052</v>
      </c>
      <c r="E794" s="885">
        <v>1.0336338123147799</v>
      </c>
      <c r="F794" s="885">
        <v>0.98991153459877845</v>
      </c>
      <c r="G794" s="885">
        <v>0.99809441694921297</v>
      </c>
      <c r="H794" s="885">
        <v>1.009911210171067</v>
      </c>
      <c r="I794" s="885">
        <v>1.0062658533982258</v>
      </c>
      <c r="K794">
        <v>1.9768851012770488</v>
      </c>
      <c r="L794">
        <v>0</v>
      </c>
      <c r="M794">
        <v>1.894875251720727E-3</v>
      </c>
      <c r="N794">
        <v>0.21196241020623435</v>
      </c>
      <c r="O794">
        <v>2.5936401301349683E-2</v>
      </c>
      <c r="P794">
        <v>2.1835955422688628E-2</v>
      </c>
      <c r="Q794">
        <v>3.1413059781672903E-3</v>
      </c>
      <c r="R794">
        <v>1.8837085454932875E-3</v>
      </c>
      <c r="S794">
        <v>0.2143254954892902</v>
      </c>
      <c r="T794">
        <v>1.0553048933113645</v>
      </c>
      <c r="U794">
        <v>3.7682580483524061E-2</v>
      </c>
      <c r="V794">
        <v>0.25463784194362388</v>
      </c>
      <c r="W794">
        <v>0.12385006507004992</v>
      </c>
      <c r="X794">
        <v>2.3092485080504058E-2</v>
      </c>
      <c r="Y794">
        <v>5.1268336964775951E-3</v>
      </c>
    </row>
    <row r="795" spans="1:25" x14ac:dyDescent="0.25">
      <c r="A795" s="881"/>
      <c r="B795" s="1131">
        <v>545</v>
      </c>
      <c r="C795" s="885">
        <v>1.0370924903747185</v>
      </c>
      <c r="D795" s="885">
        <v>0.98406721936870145</v>
      </c>
      <c r="E795" s="885">
        <v>0.99805450608943824</v>
      </c>
      <c r="F795" s="885">
        <v>0.99247232650937145</v>
      </c>
      <c r="G795" s="885">
        <v>0.99417946285348435</v>
      </c>
      <c r="H795" s="885">
        <v>0.99550503097122867</v>
      </c>
      <c r="I795" s="885">
        <v>1.0038878627384851</v>
      </c>
      <c r="K795">
        <v>1.916795978427922</v>
      </c>
      <c r="L795">
        <v>0</v>
      </c>
      <c r="M795">
        <v>1.8976357445884382E-3</v>
      </c>
      <c r="N795">
        <v>0.19003460824302698</v>
      </c>
      <c r="O795">
        <v>2.4443171890152191E-2</v>
      </c>
      <c r="P795">
        <v>2.0965841355069393E-2</v>
      </c>
      <c r="Q795">
        <v>2.8627044886117069E-3</v>
      </c>
      <c r="R795">
        <v>1.8862697456945381E-3</v>
      </c>
      <c r="S795">
        <v>0.20027817993378569</v>
      </c>
      <c r="T795">
        <v>1.0585511092925577</v>
      </c>
      <c r="U795">
        <v>3.5985518116549542E-2</v>
      </c>
      <c r="V795">
        <v>0.24469559467194302</v>
      </c>
      <c r="W795">
        <v>0.11374366421596502</v>
      </c>
      <c r="X795">
        <v>2.0113147780026479E-2</v>
      </c>
      <c r="Y795">
        <v>5.1338044391259783E-3</v>
      </c>
    </row>
    <row r="796" spans="1:25" x14ac:dyDescent="0.25">
      <c r="A796" s="881"/>
      <c r="B796" s="1131">
        <v>546</v>
      </c>
      <c r="C796" s="885">
        <v>0.96135689298936933</v>
      </c>
      <c r="D796" s="885">
        <v>1.0097019567693384</v>
      </c>
      <c r="E796" s="885">
        <v>1.0170392662281069</v>
      </c>
      <c r="F796" s="885">
        <v>0.96388324412457216</v>
      </c>
      <c r="G796" s="885">
        <v>1.0253914050778452</v>
      </c>
      <c r="H796" s="885">
        <v>1.0410806302566507</v>
      </c>
      <c r="I796" s="885">
        <v>0.96463043085385725</v>
      </c>
      <c r="K796">
        <v>1.979574559329131</v>
      </c>
      <c r="L796">
        <v>0</v>
      </c>
      <c r="M796">
        <v>2.0308462040539966E-3</v>
      </c>
      <c r="N796">
        <v>0.21579613962936411</v>
      </c>
      <c r="O796">
        <v>2.6035125156792977E-2</v>
      </c>
      <c r="P796">
        <v>2.1513586847666522E-2</v>
      </c>
      <c r="Q796">
        <v>3.1132321846983873E-3</v>
      </c>
      <c r="R796">
        <v>2.0191940587622648E-3</v>
      </c>
      <c r="S796">
        <v>0.20977577392967442</v>
      </c>
      <c r="T796">
        <v>1.0568128068876816</v>
      </c>
      <c r="U796">
        <v>3.8820453541315171E-2</v>
      </c>
      <c r="V796">
        <v>0.25223272329899998</v>
      </c>
      <c r="W796">
        <v>0.12750470125860888</v>
      </c>
      <c r="X796">
        <v>2.2486088138810992E-2</v>
      </c>
      <c r="Y796">
        <v>5.4955806008083049E-3</v>
      </c>
    </row>
    <row r="797" spans="1:25" x14ac:dyDescent="0.25">
      <c r="A797" s="881"/>
      <c r="B797" s="1131">
        <v>547</v>
      </c>
      <c r="C797" s="885">
        <v>1.0083715665293618</v>
      </c>
      <c r="D797" s="885">
        <v>1.0152357938068719</v>
      </c>
      <c r="E797" s="885">
        <v>1.0436281933788487</v>
      </c>
      <c r="F797" s="885">
        <v>1.0090481600512407</v>
      </c>
      <c r="G797" s="885">
        <v>1.0368673890530684</v>
      </c>
      <c r="H797" s="885">
        <v>1.0077804155894419</v>
      </c>
      <c r="I797" s="885">
        <v>0.9821228553299518</v>
      </c>
      <c r="K797">
        <v>1.9352271412416493</v>
      </c>
      <c r="L797">
        <v>0</v>
      </c>
      <c r="M797">
        <v>1.7669359306187499E-3</v>
      </c>
      <c r="N797">
        <v>0.20386770456703912</v>
      </c>
      <c r="O797">
        <v>2.475430617206854E-2</v>
      </c>
      <c r="P797">
        <v>2.1628996039718081E-2</v>
      </c>
      <c r="Q797">
        <v>3.0400597024930298E-3</v>
      </c>
      <c r="R797">
        <v>1.756459057079908E-3</v>
      </c>
      <c r="S797">
        <v>0.19985383944049928</v>
      </c>
      <c r="T797">
        <v>1.0544019268076967</v>
      </c>
      <c r="U797">
        <v>3.7010474947609666E-2</v>
      </c>
      <c r="V797">
        <v>0.24478516637309514</v>
      </c>
      <c r="W797">
        <v>0.1183298962389301</v>
      </c>
      <c r="X797">
        <v>2.2784745289239197E-2</v>
      </c>
      <c r="Y797">
        <v>4.7805025367989567E-3</v>
      </c>
    </row>
    <row r="798" spans="1:25" x14ac:dyDescent="0.25">
      <c r="A798" s="881"/>
      <c r="B798" s="1131">
        <v>548</v>
      </c>
      <c r="C798" s="885">
        <v>1.0134355798401868</v>
      </c>
      <c r="D798" s="885">
        <v>0.95703503322511985</v>
      </c>
      <c r="E798" s="885">
        <v>1.0341396091716502</v>
      </c>
      <c r="F798" s="885">
        <v>0.97115991375142452</v>
      </c>
      <c r="G798" s="885">
        <v>1.0124768912419069</v>
      </c>
      <c r="H798" s="885">
        <v>0.96477256862008121</v>
      </c>
      <c r="I798" s="885">
        <v>0.97765265798901235</v>
      </c>
      <c r="K798">
        <v>1.9334008381332781</v>
      </c>
      <c r="L798">
        <v>0</v>
      </c>
      <c r="M798">
        <v>1.7682316690514972E-3</v>
      </c>
      <c r="N798">
        <v>0.19805182609968852</v>
      </c>
      <c r="O798">
        <v>2.5362479452730808E-2</v>
      </c>
      <c r="P798">
        <v>2.157366728876212E-2</v>
      </c>
      <c r="Q798">
        <v>3.0730521357599429E-3</v>
      </c>
      <c r="R798">
        <v>1.7573247249338228E-3</v>
      </c>
      <c r="S798">
        <v>0.1991103991818293</v>
      </c>
      <c r="T798">
        <v>1.0552591018308632</v>
      </c>
      <c r="U798">
        <v>3.682553814303826E-2</v>
      </c>
      <c r="V798">
        <v>0.25144141936282055</v>
      </c>
      <c r="W798">
        <v>0.11568297148145647</v>
      </c>
      <c r="X798">
        <v>2.2248431501115194E-2</v>
      </c>
      <c r="Y798">
        <v>4.7828585993299824E-3</v>
      </c>
    </row>
    <row r="799" spans="1:25" x14ac:dyDescent="0.25">
      <c r="A799" s="881"/>
      <c r="B799" s="1131">
        <v>549</v>
      </c>
      <c r="C799" s="885">
        <v>1.0110039828501209</v>
      </c>
      <c r="D799" s="885">
        <v>1.0235238196160876</v>
      </c>
      <c r="E799" s="885">
        <v>1.0054180692556078</v>
      </c>
      <c r="F799" s="885">
        <v>1.029022453131935</v>
      </c>
      <c r="G799" s="885">
        <v>1.0131560732951523</v>
      </c>
      <c r="H799" s="885">
        <v>1.0007700056442665</v>
      </c>
      <c r="I799" s="885">
        <v>0.98254789752341665</v>
      </c>
      <c r="K799">
        <v>1.9193998171357733</v>
      </c>
      <c r="L799">
        <v>0</v>
      </c>
      <c r="M799">
        <v>1.8896962505378573E-3</v>
      </c>
      <c r="N799">
        <v>0.19362723337260812</v>
      </c>
      <c r="O799">
        <v>2.4590948139937934E-2</v>
      </c>
      <c r="P799">
        <v>2.1036159254927064E-2</v>
      </c>
      <c r="Q799">
        <v>2.9093366679302048E-3</v>
      </c>
      <c r="R799">
        <v>1.8784066868619542E-3</v>
      </c>
      <c r="S799">
        <v>0.19799704426096712</v>
      </c>
      <c r="T799">
        <v>1.0578752101210362</v>
      </c>
      <c r="U799">
        <v>3.6914108385317328E-2</v>
      </c>
      <c r="V799">
        <v>0.24343720525896459</v>
      </c>
      <c r="W799">
        <v>0.11531224584401531</v>
      </c>
      <c r="X799">
        <v>2.0599211608705564E-2</v>
      </c>
      <c r="Y799">
        <v>5.1124037850403337E-3</v>
      </c>
    </row>
    <row r="800" spans="1:25" x14ac:dyDescent="0.25">
      <c r="A800" s="881"/>
      <c r="B800" s="1131">
        <v>550</v>
      </c>
      <c r="C800" s="885">
        <v>1.0121444531670152</v>
      </c>
      <c r="D800" s="885">
        <v>0.98932245303437172</v>
      </c>
      <c r="E800" s="885">
        <v>0.96861662039435203</v>
      </c>
      <c r="F800" s="885">
        <v>1.0213307968579373</v>
      </c>
      <c r="G800" s="885">
        <v>0.99182469082963565</v>
      </c>
      <c r="H800" s="885">
        <v>1.0058449928432023</v>
      </c>
      <c r="I800" s="885">
        <v>1.0191351068877657</v>
      </c>
      <c r="K800">
        <v>1.9344457795200078</v>
      </c>
      <c r="L800">
        <v>0</v>
      </c>
      <c r="M800">
        <v>2.0844076958187233E-3</v>
      </c>
      <c r="N800">
        <v>0.19046036955257137</v>
      </c>
      <c r="O800">
        <v>2.4979598979867432E-2</v>
      </c>
      <c r="P800">
        <v>2.0702700071750429E-2</v>
      </c>
      <c r="Q800">
        <v>2.8405087724991357E-3</v>
      </c>
      <c r="R800">
        <v>2.0720467683745048E-3</v>
      </c>
      <c r="S800">
        <v>0.20888118105102504</v>
      </c>
      <c r="T800">
        <v>1.0612742619841764</v>
      </c>
      <c r="U800">
        <v>3.6872514080515902E-2</v>
      </c>
      <c r="V800">
        <v>0.24743727421527495</v>
      </c>
      <c r="W800">
        <v>0.11634555643103828</v>
      </c>
      <c r="X800">
        <v>1.9024747055251062E-2</v>
      </c>
      <c r="Y800">
        <v>5.6394282534817791E-3</v>
      </c>
    </row>
    <row r="801" spans="1:25" x14ac:dyDescent="0.25">
      <c r="A801" s="881"/>
      <c r="B801" s="1131">
        <v>551</v>
      </c>
      <c r="C801" s="885">
        <v>1.0229120887930616</v>
      </c>
      <c r="D801" s="885">
        <v>1.0224845725538758</v>
      </c>
      <c r="E801" s="885">
        <v>1.0014561122561756</v>
      </c>
      <c r="F801" s="885">
        <v>1.0037908766631118</v>
      </c>
      <c r="G801" s="885">
        <v>0.98585534557193255</v>
      </c>
      <c r="H801" s="885">
        <v>1.0150215853143825</v>
      </c>
      <c r="I801" s="885">
        <v>0.9621065688956848</v>
      </c>
      <c r="K801">
        <v>1.9122485278810744</v>
      </c>
      <c r="L801">
        <v>0</v>
      </c>
      <c r="M801">
        <v>1.9111315411200682E-3</v>
      </c>
      <c r="N801">
        <v>0.19344168021290764</v>
      </c>
      <c r="O801">
        <v>2.431686200635402E-2</v>
      </c>
      <c r="P801">
        <v>2.0885621470558179E-2</v>
      </c>
      <c r="Q801">
        <v>2.8652960757181464E-3</v>
      </c>
      <c r="R801">
        <v>1.89987501271873E-3</v>
      </c>
      <c r="S801">
        <v>0.19305162555621497</v>
      </c>
      <c r="T801">
        <v>1.0582386143389133</v>
      </c>
      <c r="U801">
        <v>3.6484377308465779E-2</v>
      </c>
      <c r="V801">
        <v>0.2419628128073299</v>
      </c>
      <c r="W801">
        <v>0.11551371978704215</v>
      </c>
      <c r="X801">
        <v>2.0328341354978637E-2</v>
      </c>
      <c r="Y801">
        <v>5.1708334909907616E-3</v>
      </c>
    </row>
    <row r="802" spans="1:25" x14ac:dyDescent="0.25">
      <c r="A802" s="881"/>
      <c r="B802" s="1131">
        <v>552</v>
      </c>
      <c r="C802" s="885">
        <v>1.0120249959368506</v>
      </c>
      <c r="D802" s="885">
        <v>0.99627610635135699</v>
      </c>
      <c r="E802" s="885">
        <v>0.97864225009034167</v>
      </c>
      <c r="F802" s="885">
        <v>0.97707318312083413</v>
      </c>
      <c r="G802" s="885">
        <v>1.0058907512682997</v>
      </c>
      <c r="H802" s="885">
        <v>1.0109218358349878</v>
      </c>
      <c r="I802" s="885">
        <v>0.99075263608210118</v>
      </c>
      <c r="K802">
        <v>1.9299526076530358</v>
      </c>
      <c r="L802">
        <v>0</v>
      </c>
      <c r="M802">
        <v>2.044481585377934E-3</v>
      </c>
      <c r="N802">
        <v>0.1927478042761242</v>
      </c>
      <c r="O802">
        <v>2.4895997104146392E-2</v>
      </c>
      <c r="P802">
        <v>2.0758334133113711E-2</v>
      </c>
      <c r="Q802">
        <v>2.8615025156115254E-3</v>
      </c>
      <c r="R802">
        <v>2.0324124397274675E-3</v>
      </c>
      <c r="S802">
        <v>0.20293900928443051</v>
      </c>
      <c r="T802">
        <v>1.0603430653673631</v>
      </c>
      <c r="U802">
        <v>3.687686643190935E-2</v>
      </c>
      <c r="V802">
        <v>0.24659039885563183</v>
      </c>
      <c r="W802">
        <v>0.11692296036088616</v>
      </c>
      <c r="X802">
        <v>1.9497181793112644E-2</v>
      </c>
      <c r="Y802">
        <v>5.5315566763574735E-3</v>
      </c>
    </row>
    <row r="803" spans="1:25" x14ac:dyDescent="0.25">
      <c r="A803" s="881"/>
      <c r="B803" s="1131">
        <v>553</v>
      </c>
      <c r="C803" s="885">
        <v>0.98961135352249607</v>
      </c>
      <c r="D803" s="885">
        <v>0.98739091885419961</v>
      </c>
      <c r="E803" s="885">
        <v>1.0034779410380705</v>
      </c>
      <c r="F803" s="885">
        <v>0.97999209964088385</v>
      </c>
      <c r="G803" s="885">
        <v>1.0216505145744967</v>
      </c>
      <c r="H803" s="885">
        <v>0.97756278842940758</v>
      </c>
      <c r="I803" s="885">
        <v>1.0212063640091555</v>
      </c>
      <c r="K803">
        <v>1.9472993130372314</v>
      </c>
      <c r="L803">
        <v>0</v>
      </c>
      <c r="M803">
        <v>1.9274377723547591E-3</v>
      </c>
      <c r="N803">
        <v>0.1962813102583468</v>
      </c>
      <c r="O803">
        <v>2.5573142064116414E-2</v>
      </c>
      <c r="P803">
        <v>2.130306899505844E-2</v>
      </c>
      <c r="Q803">
        <v>3.0121204900385905E-3</v>
      </c>
      <c r="R803">
        <v>1.9156786195051163E-3</v>
      </c>
      <c r="S803">
        <v>0.21129190044468363</v>
      </c>
      <c r="T803">
        <v>1.0580530888487183</v>
      </c>
      <c r="U803">
        <v>3.7712088152663352E-2</v>
      </c>
      <c r="V803">
        <v>0.25088838434688937</v>
      </c>
      <c r="W803">
        <v>0.11704764625251322</v>
      </c>
      <c r="X803">
        <v>2.0934476638046567E-2</v>
      </c>
      <c r="Y803">
        <v>5.2138456990057274E-3</v>
      </c>
    </row>
    <row r="804" spans="1:25" x14ac:dyDescent="0.25">
      <c r="A804" s="881"/>
      <c r="B804" s="1131">
        <v>554</v>
      </c>
      <c r="C804" s="885">
        <v>0.99437512605563039</v>
      </c>
      <c r="D804" s="885">
        <v>0.96689079863794236</v>
      </c>
      <c r="E804" s="885">
        <v>0.96793353603406829</v>
      </c>
      <c r="F804" s="885">
        <v>0.9956326088730888</v>
      </c>
      <c r="G804" s="885">
        <v>0.99176996634868619</v>
      </c>
      <c r="H804" s="885">
        <v>0.9536482495398283</v>
      </c>
      <c r="I804" s="885">
        <v>1.0176081482553905</v>
      </c>
      <c r="K804">
        <v>1.9339454592297856</v>
      </c>
      <c r="L804">
        <v>0</v>
      </c>
      <c r="M804">
        <v>2.0374878241528373E-3</v>
      </c>
      <c r="N804">
        <v>0.18571817894863318</v>
      </c>
      <c r="O804">
        <v>2.5717172790799023E-2</v>
      </c>
      <c r="P804">
        <v>2.0776249466632576E-2</v>
      </c>
      <c r="Q804">
        <v>2.917623537989624E-3</v>
      </c>
      <c r="R804">
        <v>2.0247642451173826E-3</v>
      </c>
      <c r="S804">
        <v>0.20905348661389042</v>
      </c>
      <c r="T804">
        <v>1.0613378495066934</v>
      </c>
      <c r="U804">
        <v>3.7531420107977394E-2</v>
      </c>
      <c r="V804">
        <v>0.25287901136830404</v>
      </c>
      <c r="W804">
        <v>0.11350294982148652</v>
      </c>
      <c r="X804">
        <v>1.9013499834559258E-2</v>
      </c>
      <c r="Y804">
        <v>5.5107408118554961E-3</v>
      </c>
    </row>
    <row r="805" spans="1:25" x14ac:dyDescent="0.25">
      <c r="A805" s="881"/>
      <c r="B805" s="1131">
        <v>555</v>
      </c>
      <c r="C805" s="885">
        <v>1.0179125640040005</v>
      </c>
      <c r="D805" s="885">
        <v>0.98867903572873872</v>
      </c>
      <c r="E805" s="885">
        <v>1.0285738574791898</v>
      </c>
      <c r="F805" s="885">
        <v>1.010172184696241</v>
      </c>
      <c r="G805" s="885">
        <v>1.0103602627677473</v>
      </c>
      <c r="H805" s="885">
        <v>0.98326031416412285</v>
      </c>
      <c r="I805" s="885">
        <v>0.97630341376996765</v>
      </c>
      <c r="K805">
        <v>1.9238151749359973</v>
      </c>
      <c r="L805">
        <v>0</v>
      </c>
      <c r="M805">
        <v>1.7863605482728851E-3</v>
      </c>
      <c r="N805">
        <v>0.19667572922682786</v>
      </c>
      <c r="O805">
        <v>2.4846061495010206E-2</v>
      </c>
      <c r="P805">
        <v>2.1393787894592904E-2</v>
      </c>
      <c r="Q805">
        <v>3.0008517993796026E-3</v>
      </c>
      <c r="R805">
        <v>1.7755242641945273E-3</v>
      </c>
      <c r="S805">
        <v>0.19682354758475212</v>
      </c>
      <c r="T805">
        <v>1.0557635394211182</v>
      </c>
      <c r="U805">
        <v>3.666357202048464E-2</v>
      </c>
      <c r="V805">
        <v>0.24672040780223184</v>
      </c>
      <c r="W805">
        <v>0.11530804829655909</v>
      </c>
      <c r="X805">
        <v>2.1798073933396771E-2</v>
      </c>
      <c r="Y805">
        <v>4.8323917457211152E-3</v>
      </c>
    </row>
    <row r="806" spans="1:25" x14ac:dyDescent="0.25">
      <c r="A806" s="881"/>
      <c r="B806" s="1131">
        <v>556</v>
      </c>
      <c r="C806" s="885">
        <v>1.0245521999930602</v>
      </c>
      <c r="D806" s="885">
        <v>1.0034025400507776</v>
      </c>
      <c r="E806" s="885">
        <v>1.015321999520006</v>
      </c>
      <c r="F806" s="885">
        <v>0.99916221213466194</v>
      </c>
      <c r="G806" s="885">
        <v>0.99974751214961077</v>
      </c>
      <c r="H806" s="885">
        <v>1.0145064229745036</v>
      </c>
      <c r="I806" s="885">
        <v>1.027918000868534</v>
      </c>
      <c r="K806">
        <v>1.9345082743533273</v>
      </c>
      <c r="L806">
        <v>0</v>
      </c>
      <c r="M806">
        <v>1.8694573713333479E-3</v>
      </c>
      <c r="N806">
        <v>0.19756052640924424</v>
      </c>
      <c r="O806">
        <v>2.4504982706222631E-2</v>
      </c>
      <c r="P806">
        <v>2.1312875432555358E-2</v>
      </c>
      <c r="Q806">
        <v>2.9239794590317802E-3</v>
      </c>
      <c r="R806">
        <v>1.8584550028891051E-3</v>
      </c>
      <c r="S806">
        <v>0.20766092723298385</v>
      </c>
      <c r="T806">
        <v>1.0569694663913611</v>
      </c>
      <c r="U806">
        <v>3.642597283102772E-2</v>
      </c>
      <c r="V806">
        <v>0.24401239389364354</v>
      </c>
      <c r="W806">
        <v>0.11686576000431784</v>
      </c>
      <c r="X806">
        <v>2.1224290483044878E-2</v>
      </c>
      <c r="Y806">
        <v>5.058101878337092E-3</v>
      </c>
    </row>
    <row r="807" spans="1:25" x14ac:dyDescent="0.25">
      <c r="A807" s="881"/>
      <c r="B807" s="1131">
        <v>557</v>
      </c>
      <c r="C807" s="885">
        <v>0.99916852878966544</v>
      </c>
      <c r="D807" s="885">
        <v>1.027283998767559</v>
      </c>
      <c r="E807" s="885">
        <v>0.97792503226455285</v>
      </c>
      <c r="F807" s="885">
        <v>0.95609738577307246</v>
      </c>
      <c r="G807" s="885">
        <v>1.0225214948501951</v>
      </c>
      <c r="H807" s="885">
        <v>1.0279900346384538</v>
      </c>
      <c r="I807" s="885">
        <v>1.0114881699194551</v>
      </c>
      <c r="K807">
        <v>1.9387242146803245</v>
      </c>
      <c r="L807">
        <v>0</v>
      </c>
      <c r="M807">
        <v>2.0772466074254381E-3</v>
      </c>
      <c r="N807">
        <v>0.19541645314156467</v>
      </c>
      <c r="O807">
        <v>2.4837267204337068E-2</v>
      </c>
      <c r="P807">
        <v>2.0804409267017421E-2</v>
      </c>
      <c r="Q807">
        <v>2.8587403737479413E-3</v>
      </c>
      <c r="R807">
        <v>2.0651621339316342E-3</v>
      </c>
      <c r="S807">
        <v>0.20864949358104234</v>
      </c>
      <c r="T807">
        <v>1.0604095524144863</v>
      </c>
      <c r="U807">
        <v>3.7351367187399891E-2</v>
      </c>
      <c r="V807">
        <v>0.24461544562840865</v>
      </c>
      <c r="W807">
        <v>0.1186008730441564</v>
      </c>
      <c r="X807">
        <v>1.9572006763607271E-2</v>
      </c>
      <c r="Y807">
        <v>5.6206905480474228E-3</v>
      </c>
    </row>
    <row r="808" spans="1:25" x14ac:dyDescent="0.25">
      <c r="A808" s="881"/>
      <c r="B808" s="1131">
        <v>558</v>
      </c>
      <c r="C808" s="885">
        <v>1.0312800035664622</v>
      </c>
      <c r="D808" s="885">
        <v>0.99011826944880144</v>
      </c>
      <c r="E808" s="885">
        <v>1.0178686242106685</v>
      </c>
      <c r="F808" s="885">
        <v>1.0185006259532055</v>
      </c>
      <c r="G808" s="885">
        <v>1.0019207479610341</v>
      </c>
      <c r="H808" s="885">
        <v>0.98361515849699188</v>
      </c>
      <c r="I808" s="885">
        <v>0.98039548826480183</v>
      </c>
      <c r="K808">
        <v>1.912552941014692</v>
      </c>
      <c r="L808">
        <v>0</v>
      </c>
      <c r="M808">
        <v>1.802903088949184E-3</v>
      </c>
      <c r="N808">
        <v>0.19200622350390328</v>
      </c>
      <c r="O808">
        <v>2.4506329128276827E-2</v>
      </c>
      <c r="P808">
        <v>2.1181018914422048E-2</v>
      </c>
      <c r="Q808">
        <v>2.9288401978394521E-3</v>
      </c>
      <c r="R808">
        <v>1.791969293979989E-3</v>
      </c>
      <c r="S808">
        <v>0.19499054781391648</v>
      </c>
      <c r="T808">
        <v>1.0567371890766473</v>
      </c>
      <c r="U808">
        <v>3.6188339221019099E-2</v>
      </c>
      <c r="V808">
        <v>0.24472942982100068</v>
      </c>
      <c r="W808">
        <v>0.11338467429632912</v>
      </c>
      <c r="X808">
        <v>2.1034133140611627E-2</v>
      </c>
      <c r="Y808">
        <v>4.8771496956945314E-3</v>
      </c>
    </row>
    <row r="809" spans="1:25" x14ac:dyDescent="0.25">
      <c r="A809" s="881"/>
      <c r="B809" s="1131">
        <v>559</v>
      </c>
      <c r="C809" s="885">
        <v>0.99941753047475879</v>
      </c>
      <c r="D809" s="885">
        <v>1.00387076574658</v>
      </c>
      <c r="E809" s="885">
        <v>0.96711724920930586</v>
      </c>
      <c r="F809" s="885">
        <v>0.9978125325424233</v>
      </c>
      <c r="G809" s="885">
        <v>0.98325946006699916</v>
      </c>
      <c r="H809" s="885">
        <v>1.0005167342737027</v>
      </c>
      <c r="I809" s="885">
        <v>0.97756596373207316</v>
      </c>
      <c r="K809">
        <v>1.9268190218933701</v>
      </c>
      <c r="L809">
        <v>0</v>
      </c>
      <c r="M809">
        <v>2.091215492412811E-3</v>
      </c>
      <c r="N809">
        <v>0.19018384048279754</v>
      </c>
      <c r="O809">
        <v>2.5115468686822916E-2</v>
      </c>
      <c r="P809">
        <v>2.0582067718674258E-2</v>
      </c>
      <c r="Q809">
        <v>2.854488207826896E-3</v>
      </c>
      <c r="R809">
        <v>2.0787355130535987E-3</v>
      </c>
      <c r="S809">
        <v>0.20102996115095093</v>
      </c>
      <c r="T809">
        <v>1.0614138603498213</v>
      </c>
      <c r="U809">
        <v>3.7342061213583515E-2</v>
      </c>
      <c r="V809">
        <v>0.24740858866749021</v>
      </c>
      <c r="W809">
        <v>0.11629860435128919</v>
      </c>
      <c r="X809">
        <v>1.8944928231916278E-2</v>
      </c>
      <c r="Y809">
        <v>5.6576328115541859E-3</v>
      </c>
    </row>
    <row r="810" spans="1:25" x14ac:dyDescent="0.25">
      <c r="A810" s="881"/>
      <c r="B810" s="1131">
        <v>560</v>
      </c>
      <c r="C810" s="885">
        <v>1.0127586067749841</v>
      </c>
      <c r="D810" s="885">
        <v>1.0233221486040598</v>
      </c>
      <c r="E810" s="885">
        <v>0.97118905400681865</v>
      </c>
      <c r="F810" s="885">
        <v>1.0252291003145777</v>
      </c>
      <c r="G810" s="885">
        <v>1.0159213815702557</v>
      </c>
      <c r="H810" s="885">
        <v>1.0261228792170975</v>
      </c>
      <c r="I810" s="885">
        <v>0.9936011476611496</v>
      </c>
      <c r="K810">
        <v>1.9243535663780513</v>
      </c>
      <c r="L810">
        <v>0</v>
      </c>
      <c r="M810">
        <v>2.0787127269794284E-3</v>
      </c>
      <c r="N810">
        <v>0.19148958983436556</v>
      </c>
      <c r="O810">
        <v>2.4550730786792485E-2</v>
      </c>
      <c r="P810">
        <v>2.0597127834243723E-2</v>
      </c>
      <c r="Q810">
        <v>2.8056741325999265E-3</v>
      </c>
      <c r="R810">
        <v>2.0666009275446197E-3</v>
      </c>
      <c r="S810">
        <v>0.20238423060399965</v>
      </c>
      <c r="T810">
        <v>1.0610349591011721</v>
      </c>
      <c r="U810">
        <v>3.6850153976730166E-2</v>
      </c>
      <c r="V810">
        <v>0.24322867322763661</v>
      </c>
      <c r="W810">
        <v>0.11676417479546032</v>
      </c>
      <c r="X810">
        <v>1.9035757414521778E-2</v>
      </c>
      <c r="Y810">
        <v>5.6246064699637813E-3</v>
      </c>
    </row>
    <row r="811" spans="1:25" x14ac:dyDescent="0.25">
      <c r="A811" s="881"/>
      <c r="B811" s="1131">
        <v>561</v>
      </c>
      <c r="C811" s="885">
        <v>0.97949641699652312</v>
      </c>
      <c r="D811" s="885">
        <v>0.9695483563522469</v>
      </c>
      <c r="E811" s="885">
        <v>1.041099779140753</v>
      </c>
      <c r="F811" s="885">
        <v>1.0158293715821121</v>
      </c>
      <c r="G811" s="885">
        <v>0.98529657613958033</v>
      </c>
      <c r="H811" s="885">
        <v>0.9961164988723098</v>
      </c>
      <c r="I811" s="885">
        <v>1.0075356991081224</v>
      </c>
      <c r="K811">
        <v>1.9762550488107535</v>
      </c>
      <c r="L811">
        <v>0</v>
      </c>
      <c r="M811">
        <v>1.849315715716284E-3</v>
      </c>
      <c r="N811">
        <v>0.21169528496044476</v>
      </c>
      <c r="O811">
        <v>2.6072214740635369E-2</v>
      </c>
      <c r="P811">
        <v>2.1952174670944583E-2</v>
      </c>
      <c r="Q811">
        <v>3.1836993783853503E-3</v>
      </c>
      <c r="R811">
        <v>1.8382574456407984E-3</v>
      </c>
      <c r="S811">
        <v>0.21435205968025808</v>
      </c>
      <c r="T811">
        <v>1.0546299925020726</v>
      </c>
      <c r="U811">
        <v>3.8101528452093691E-2</v>
      </c>
      <c r="V811">
        <v>0.25473881559670475</v>
      </c>
      <c r="W811">
        <v>0.12307980875993975</v>
      </c>
      <c r="X811">
        <v>2.3457397553720141E-2</v>
      </c>
      <c r="Y811">
        <v>5.0031307856301579E-3</v>
      </c>
    </row>
    <row r="812" spans="1:25" x14ac:dyDescent="0.25">
      <c r="A812" s="881"/>
      <c r="B812" s="1131">
        <v>562</v>
      </c>
      <c r="C812" s="885">
        <v>1.0377266961251659</v>
      </c>
      <c r="D812" s="885">
        <v>0.97552468214545274</v>
      </c>
      <c r="E812" s="885">
        <v>0.98231255442468846</v>
      </c>
      <c r="F812" s="885">
        <v>1.0000469144283253</v>
      </c>
      <c r="G812" s="885">
        <v>1.0038176921403095</v>
      </c>
      <c r="H812" s="885">
        <v>1.0000208980960856</v>
      </c>
      <c r="I812" s="885">
        <v>1.0055530558944201</v>
      </c>
      <c r="K812">
        <v>1.9189687618259963</v>
      </c>
      <c r="L812">
        <v>0</v>
      </c>
      <c r="M812">
        <v>1.9777274330897159E-3</v>
      </c>
      <c r="N812">
        <v>0.18858826066923542</v>
      </c>
      <c r="O812">
        <v>2.4534186063779304E-2</v>
      </c>
      <c r="P812">
        <v>2.0771045467873537E-2</v>
      </c>
      <c r="Q812">
        <v>2.8262768861534587E-3</v>
      </c>
      <c r="R812">
        <v>1.9659423992961539E-3</v>
      </c>
      <c r="S812">
        <v>0.20174243960377941</v>
      </c>
      <c r="T812">
        <v>1.0600031355078585</v>
      </c>
      <c r="U812">
        <v>3.5963525599051839E-2</v>
      </c>
      <c r="V812">
        <v>0.24568083385428449</v>
      </c>
      <c r="W812">
        <v>0.11410885101814727</v>
      </c>
      <c r="X812">
        <v>1.9411345051480074E-2</v>
      </c>
      <c r="Y812">
        <v>5.3506471381463772E-3</v>
      </c>
    </row>
    <row r="813" spans="1:25" x14ac:dyDescent="0.25">
      <c r="A813" s="881"/>
      <c r="B813" s="1131">
        <v>563</v>
      </c>
      <c r="C813" s="885">
        <v>1.0174789950868952</v>
      </c>
      <c r="D813" s="885">
        <v>0.99214198602539272</v>
      </c>
      <c r="E813" s="885">
        <v>0.9706651256264156</v>
      </c>
      <c r="F813" s="885">
        <v>0.99886609384509528</v>
      </c>
      <c r="G813" s="885">
        <v>1.0167389541226857</v>
      </c>
      <c r="H813" s="885">
        <v>0.97571446843149523</v>
      </c>
      <c r="I813" s="885">
        <v>1.0192344498770913</v>
      </c>
      <c r="K813">
        <v>1.9171408030821768</v>
      </c>
      <c r="L813">
        <v>0</v>
      </c>
      <c r="M813">
        <v>1.9999298507640513E-3</v>
      </c>
      <c r="N813">
        <v>0.18387819330818592</v>
      </c>
      <c r="O813">
        <v>2.4813608678635937E-2</v>
      </c>
      <c r="P813">
        <v>2.0656696266255482E-2</v>
      </c>
      <c r="Q813">
        <v>2.8281119186078668E-3</v>
      </c>
      <c r="R813">
        <v>1.9877012304165571E-3</v>
      </c>
      <c r="S813">
        <v>0.20446813931017246</v>
      </c>
      <c r="T813">
        <v>1.0610836772364309</v>
      </c>
      <c r="U813">
        <v>3.6679195129457859E-2</v>
      </c>
      <c r="V813">
        <v>0.24634875167284587</v>
      </c>
      <c r="W813">
        <v>0.11216402122194619</v>
      </c>
      <c r="X813">
        <v>1.8822769456324176E-2</v>
      </c>
      <c r="Y813">
        <v>5.4098675036593621E-3</v>
      </c>
    </row>
    <row r="814" spans="1:25" x14ac:dyDescent="0.25">
      <c r="A814" s="881"/>
      <c r="B814" s="1131">
        <v>564</v>
      </c>
      <c r="C814" s="885">
        <v>1.0212297580479814</v>
      </c>
      <c r="D814" s="885">
        <v>0.97413943376024914</v>
      </c>
      <c r="E814" s="885">
        <v>1.0056493737798013</v>
      </c>
      <c r="F814" s="885">
        <v>0.99332531447031025</v>
      </c>
      <c r="G814" s="885">
        <v>1.0475890222418951</v>
      </c>
      <c r="H814" s="885">
        <v>1.0302062408625283</v>
      </c>
      <c r="I814" s="885">
        <v>1.0108067482643399</v>
      </c>
      <c r="K814">
        <v>1.9501147663360925</v>
      </c>
      <c r="L814">
        <v>0</v>
      </c>
      <c r="M814">
        <v>1.9725303389087827E-3</v>
      </c>
      <c r="N814">
        <v>0.20229902047215767</v>
      </c>
      <c r="O814">
        <v>2.4948115190722972E-2</v>
      </c>
      <c r="P814">
        <v>2.125288017345078E-2</v>
      </c>
      <c r="Q814">
        <v>2.9421103653152151E-3</v>
      </c>
      <c r="R814">
        <v>1.9611218075492737E-3</v>
      </c>
      <c r="S814">
        <v>0.20927050453332527</v>
      </c>
      <c r="T814">
        <v>1.0578540129876053</v>
      </c>
      <c r="U814">
        <v>3.65444801297726E-2</v>
      </c>
      <c r="V814">
        <v>0.24810378445502626</v>
      </c>
      <c r="W814">
        <v>0.12045762616948701</v>
      </c>
      <c r="X814">
        <v>2.1116113314065935E-2</v>
      </c>
      <c r="Y814">
        <v>5.3375270765190106E-3</v>
      </c>
    </row>
    <row r="815" spans="1:25" x14ac:dyDescent="0.25">
      <c r="A815" s="881"/>
      <c r="B815" s="1131">
        <v>565</v>
      </c>
      <c r="C815" s="885">
        <v>0.9968827059001315</v>
      </c>
      <c r="D815" s="885">
        <v>0.95930014083760551</v>
      </c>
      <c r="E815" s="885">
        <v>0.97541360276879308</v>
      </c>
      <c r="F815" s="885">
        <v>0.95832425102755792</v>
      </c>
      <c r="G815" s="885">
        <v>0.95742465352230854</v>
      </c>
      <c r="H815" s="885">
        <v>1.0193143992497424</v>
      </c>
      <c r="I815" s="885">
        <v>0.98275808095839512</v>
      </c>
      <c r="K815">
        <v>1.9578938627036842</v>
      </c>
      <c r="L815">
        <v>0</v>
      </c>
      <c r="M815">
        <v>2.1469018869277375E-3</v>
      </c>
      <c r="N815">
        <v>0.20039027591624917</v>
      </c>
      <c r="O815">
        <v>2.5753281861862924E-2</v>
      </c>
      <c r="P815">
        <v>2.0890460788438536E-2</v>
      </c>
      <c r="Q815">
        <v>2.9424779243934756E-3</v>
      </c>
      <c r="R815">
        <v>2.1343657018626726E-3</v>
      </c>
      <c r="S815">
        <v>0.20880652521991211</v>
      </c>
      <c r="T815">
        <v>1.0606425224015736</v>
      </c>
      <c r="U815">
        <v>3.7437012779972571E-2</v>
      </c>
      <c r="V815">
        <v>0.25353265595278685</v>
      </c>
      <c r="W815">
        <v>0.12183217618298685</v>
      </c>
      <c r="X815">
        <v>1.9869970013568491E-2</v>
      </c>
      <c r="Y815">
        <v>5.8090398470056724E-3</v>
      </c>
    </row>
    <row r="816" spans="1:25" x14ac:dyDescent="0.25">
      <c r="A816" s="881"/>
      <c r="B816" s="1131">
        <v>566</v>
      </c>
      <c r="C816" s="885">
        <v>1.0274035202854712</v>
      </c>
      <c r="D816" s="885">
        <v>1.0020923041242973</v>
      </c>
      <c r="E816" s="885">
        <v>0.9813203046410055</v>
      </c>
      <c r="F816" s="885">
        <v>1.0333303256289428</v>
      </c>
      <c r="G816" s="885">
        <v>0.9865254563993423</v>
      </c>
      <c r="H816" s="885">
        <v>0.99470226862133992</v>
      </c>
      <c r="I816" s="885">
        <v>1.0166307967819244</v>
      </c>
      <c r="K816">
        <v>1.9156278764789731</v>
      </c>
      <c r="L816">
        <v>0</v>
      </c>
      <c r="M816">
        <v>1.9647931788885223E-3</v>
      </c>
      <c r="N816">
        <v>0.18676855600516878</v>
      </c>
      <c r="O816">
        <v>2.4452779251942676E-2</v>
      </c>
      <c r="P816">
        <v>2.075233707080645E-2</v>
      </c>
      <c r="Q816">
        <v>2.8193648212113151E-3</v>
      </c>
      <c r="R816">
        <v>1.9530005704922794E-3</v>
      </c>
      <c r="S816">
        <v>0.20295249001332383</v>
      </c>
      <c r="T816">
        <v>1.0600949824339383</v>
      </c>
      <c r="U816">
        <v>3.6324880987897684E-2</v>
      </c>
      <c r="V816">
        <v>0.24378889045161498</v>
      </c>
      <c r="W816">
        <v>0.11308553957504901</v>
      </c>
      <c r="X816">
        <v>1.9284424730001224E-2</v>
      </c>
      <c r="Y816">
        <v>5.3154237464149495E-3</v>
      </c>
    </row>
    <row r="817" spans="1:25" x14ac:dyDescent="0.25">
      <c r="A817" s="881"/>
      <c r="B817" s="1131">
        <v>567</v>
      </c>
      <c r="C817" s="885">
        <v>1.003961041565282</v>
      </c>
      <c r="D817" s="885">
        <v>0.98991438652913133</v>
      </c>
      <c r="E817" s="885">
        <v>0.97465144584787466</v>
      </c>
      <c r="F817" s="885">
        <v>0.99982981046049646</v>
      </c>
      <c r="G817" s="885">
        <v>1.0192733676132568</v>
      </c>
      <c r="H817" s="885">
        <v>0.97187329822056578</v>
      </c>
      <c r="I817" s="885">
        <v>0.96771300335443233</v>
      </c>
      <c r="K817">
        <v>1.9163008988740575</v>
      </c>
      <c r="L817">
        <v>0</v>
      </c>
      <c r="M817">
        <v>2.0043035587724634E-3</v>
      </c>
      <c r="N817">
        <v>0.18658031548556336</v>
      </c>
      <c r="O817">
        <v>2.5175744997869717E-2</v>
      </c>
      <c r="P817">
        <v>2.0644724221938245E-2</v>
      </c>
      <c r="Q817">
        <v>2.8806301992492702E-3</v>
      </c>
      <c r="R817">
        <v>1.992001681831787E-3</v>
      </c>
      <c r="S817">
        <v>0.19657299535547956</v>
      </c>
      <c r="T817">
        <v>1.0607132713803153</v>
      </c>
      <c r="U817">
        <v>3.7173066539245909E-2</v>
      </c>
      <c r="V817">
        <v>0.24851414767089264</v>
      </c>
      <c r="W817">
        <v>0.11349628926215298</v>
      </c>
      <c r="X817">
        <v>1.9140443723523679E-2</v>
      </c>
      <c r="Y817">
        <v>5.4215719147681909E-3</v>
      </c>
    </row>
    <row r="818" spans="1:25" x14ac:dyDescent="0.25">
      <c r="A818" s="881"/>
      <c r="B818" s="1131">
        <v>568</v>
      </c>
      <c r="C818" s="885">
        <v>0.99922711009592247</v>
      </c>
      <c r="D818" s="885">
        <v>1.0053679657955168</v>
      </c>
      <c r="E818" s="885">
        <v>0.98395251767609615</v>
      </c>
      <c r="F818" s="885">
        <v>1.0268936575257497</v>
      </c>
      <c r="G818" s="885">
        <v>0.95468101430341235</v>
      </c>
      <c r="H818" s="885">
        <v>0.98771932264633322</v>
      </c>
      <c r="I818" s="885">
        <v>1.0147138959182902</v>
      </c>
      <c r="K818">
        <v>1.9319728344734892</v>
      </c>
      <c r="L818">
        <v>0</v>
      </c>
      <c r="M818">
        <v>1.9917400127348215E-3</v>
      </c>
      <c r="N818">
        <v>0.1908804699580719</v>
      </c>
      <c r="O818">
        <v>2.5101742437083695E-2</v>
      </c>
      <c r="P818">
        <v>2.0909044063763694E-2</v>
      </c>
      <c r="Q818">
        <v>2.9025904206230937E-3</v>
      </c>
      <c r="R818">
        <v>1.9796984377691827E-3</v>
      </c>
      <c r="S818">
        <v>0.20725461564482539</v>
      </c>
      <c r="T818">
        <v>1.0598514171828377</v>
      </c>
      <c r="U818">
        <v>3.7349177403057279E-2</v>
      </c>
      <c r="V818">
        <v>0.24725312154407583</v>
      </c>
      <c r="W818">
        <v>0.11536472915040269</v>
      </c>
      <c r="X818">
        <v>1.9729881703521312E-2</v>
      </c>
      <c r="Y818">
        <v>5.3880865401930962E-3</v>
      </c>
    </row>
    <row r="819" spans="1:25" x14ac:dyDescent="0.25">
      <c r="A819" s="881"/>
      <c r="B819" s="1131">
        <v>569</v>
      </c>
      <c r="C819" s="885">
        <v>1.0033721427771178</v>
      </c>
      <c r="D819" s="885">
        <v>0.99102030566762023</v>
      </c>
      <c r="E819" s="885">
        <v>1.0113395281351412</v>
      </c>
      <c r="F819" s="885">
        <v>0.9906270386802577</v>
      </c>
      <c r="G819" s="885">
        <v>0.99621478982391964</v>
      </c>
      <c r="H819" s="885">
        <v>0.98702834073384871</v>
      </c>
      <c r="I819" s="885">
        <v>0.97884272870894873</v>
      </c>
      <c r="K819">
        <v>1.9322697176578738</v>
      </c>
      <c r="L819">
        <v>0</v>
      </c>
      <c r="M819">
        <v>1.8844314361488453E-3</v>
      </c>
      <c r="N819">
        <v>0.19666183165233636</v>
      </c>
      <c r="O819">
        <v>2.5176583998128665E-2</v>
      </c>
      <c r="P819">
        <v>2.122650947855614E-2</v>
      </c>
      <c r="Q819">
        <v>2.9896101802750377E-3</v>
      </c>
      <c r="R819">
        <v>1.8730420060751045E-3</v>
      </c>
      <c r="S819">
        <v>0.20035139124518953</v>
      </c>
      <c r="T819">
        <v>1.0573332149401569</v>
      </c>
      <c r="U819">
        <v>3.7194884141015024E-2</v>
      </c>
      <c r="V819">
        <v>0.24845553605726109</v>
      </c>
      <c r="W819">
        <v>0.11664864231005903</v>
      </c>
      <c r="X819">
        <v>2.1145100192563507E-2</v>
      </c>
      <c r="Y819">
        <v>5.0978028924050754E-3</v>
      </c>
    </row>
    <row r="820" spans="1:25" x14ac:dyDescent="0.25">
      <c r="A820" s="881"/>
      <c r="B820" s="1131">
        <v>570</v>
      </c>
      <c r="C820" s="885">
        <v>0.99745474023730307</v>
      </c>
      <c r="D820" s="885">
        <v>0.99734139669322697</v>
      </c>
      <c r="E820" s="885">
        <v>0.99107272690870385</v>
      </c>
      <c r="F820" s="885">
        <v>0.98616282303150626</v>
      </c>
      <c r="G820" s="885">
        <v>1.0176639528743068</v>
      </c>
      <c r="H820" s="885">
        <v>0.98242181893799951</v>
      </c>
      <c r="I820" s="885">
        <v>0.9957780768394171</v>
      </c>
      <c r="K820">
        <v>1.931649930968856</v>
      </c>
      <c r="L820">
        <v>0</v>
      </c>
      <c r="M820">
        <v>1.9628634467828789E-3</v>
      </c>
      <c r="N820">
        <v>0.19232487533118001</v>
      </c>
      <c r="O820">
        <v>2.5246299086782983E-2</v>
      </c>
      <c r="P820">
        <v>2.0985977349462594E-2</v>
      </c>
      <c r="Q820">
        <v>2.9387791970696942E-3</v>
      </c>
      <c r="R820">
        <v>1.9509390835229837E-3</v>
      </c>
      <c r="S820">
        <v>0.2039631098773938</v>
      </c>
      <c r="T820">
        <v>1.0591939146743141</v>
      </c>
      <c r="U820">
        <v>3.741554287670041E-2</v>
      </c>
      <c r="V820">
        <v>0.24849972313153693</v>
      </c>
      <c r="W820">
        <v>0.11566783154700661</v>
      </c>
      <c r="X820">
        <v>2.0115989202214954E-2</v>
      </c>
      <c r="Y820">
        <v>5.3098130584535216E-3</v>
      </c>
    </row>
    <row r="821" spans="1:25" x14ac:dyDescent="0.25">
      <c r="A821" s="881"/>
      <c r="B821" s="1131">
        <v>571</v>
      </c>
      <c r="C821" s="885">
        <v>1.0008448061772057</v>
      </c>
      <c r="D821" s="885">
        <v>1.0141186867973895</v>
      </c>
      <c r="E821" s="885">
        <v>1.0285244840369487</v>
      </c>
      <c r="F821" s="885">
        <v>0.98303344660611869</v>
      </c>
      <c r="G821" s="885">
        <v>1.0115047576186285</v>
      </c>
      <c r="H821" s="885">
        <v>1.0091007555038278</v>
      </c>
      <c r="I821" s="885">
        <v>0.965601812583884</v>
      </c>
      <c r="K821">
        <v>1.9352831175385512</v>
      </c>
      <c r="L821">
        <v>0</v>
      </c>
      <c r="M821">
        <v>1.8414856218376466E-3</v>
      </c>
      <c r="N821">
        <v>0.20274340418484968</v>
      </c>
      <c r="O821">
        <v>2.4954036566445414E-2</v>
      </c>
      <c r="P821">
        <v>2.1410308004074275E-2</v>
      </c>
      <c r="Q821">
        <v>3.0190846563168464E-3</v>
      </c>
      <c r="R821">
        <v>1.8305818264190091E-3</v>
      </c>
      <c r="S821">
        <v>0.19819756457940563</v>
      </c>
      <c r="T821">
        <v>1.0557680196837305</v>
      </c>
      <c r="U821">
        <v>3.7288808784914799E-2</v>
      </c>
      <c r="V821">
        <v>0.24595713206646125</v>
      </c>
      <c r="W821">
        <v>0.11886937246694894</v>
      </c>
      <c r="X821">
        <v>2.2104050060444528E-2</v>
      </c>
      <c r="Y821">
        <v>4.9822402803756452E-3</v>
      </c>
    </row>
    <row r="822" spans="1:25" x14ac:dyDescent="0.25">
      <c r="A822" s="881"/>
      <c r="B822" s="1131">
        <v>572</v>
      </c>
      <c r="C822" s="885">
        <v>1.0135393674378641</v>
      </c>
      <c r="D822" s="885">
        <v>0.98203756596120984</v>
      </c>
      <c r="E822" s="885">
        <v>1.0181008620682894</v>
      </c>
      <c r="F822" s="885">
        <v>0.97699372614010793</v>
      </c>
      <c r="G822" s="885">
        <v>1.0156721785048635</v>
      </c>
      <c r="H822" s="885">
        <v>1.0277339672323993</v>
      </c>
      <c r="I822" s="885">
        <v>1.0253744317740345</v>
      </c>
      <c r="K822">
        <v>1.9572297993798544</v>
      </c>
      <c r="L822">
        <v>0</v>
      </c>
      <c r="M822">
        <v>1.9235986498232671E-3</v>
      </c>
      <c r="N822">
        <v>0.20506235571027351</v>
      </c>
      <c r="O822">
        <v>2.5036828913570737E-2</v>
      </c>
      <c r="P822">
        <v>2.1487579481103414E-2</v>
      </c>
      <c r="Q822">
        <v>2.991214010184083E-3</v>
      </c>
      <c r="R822">
        <v>1.9124400586188238E-3</v>
      </c>
      <c r="S822">
        <v>0.2128469274227005</v>
      </c>
      <c r="T822">
        <v>1.0567160193002616</v>
      </c>
      <c r="U822">
        <v>3.682176716555103E-2</v>
      </c>
      <c r="V822">
        <v>0.24816316664997398</v>
      </c>
      <c r="W822">
        <v>0.12107565859385908</v>
      </c>
      <c r="X822">
        <v>2.1834409319715385E-2</v>
      </c>
      <c r="Y822">
        <v>5.2050314038645466E-3</v>
      </c>
    </row>
    <row r="823" spans="1:25" x14ac:dyDescent="0.25">
      <c r="A823" s="881"/>
      <c r="B823" s="1131">
        <v>573</v>
      </c>
      <c r="C823" s="885">
        <v>1.0146258025134927</v>
      </c>
      <c r="D823" s="885">
        <v>0.97691355574309224</v>
      </c>
      <c r="E823" s="885">
        <v>0.96977976077751438</v>
      </c>
      <c r="F823" s="885">
        <v>0.97124162412057158</v>
      </c>
      <c r="G823" s="885">
        <v>0.99348854852808544</v>
      </c>
      <c r="H823" s="885">
        <v>0.99786137323303992</v>
      </c>
      <c r="I823" s="885">
        <v>1.0020697259516829</v>
      </c>
      <c r="K823">
        <v>1.9309404274226321</v>
      </c>
      <c r="L823">
        <v>0</v>
      </c>
      <c r="M823">
        <v>2.0707006174911849E-3</v>
      </c>
      <c r="N823">
        <v>0.18988733387106388</v>
      </c>
      <c r="O823">
        <v>2.5075054077801015E-2</v>
      </c>
      <c r="P823">
        <v>2.0686764636495318E-2</v>
      </c>
      <c r="Q823">
        <v>2.852226933773727E-3</v>
      </c>
      <c r="R823">
        <v>2.0583336322794882E-3</v>
      </c>
      <c r="S823">
        <v>0.20526784630456477</v>
      </c>
      <c r="T823">
        <v>1.0611660281304141</v>
      </c>
      <c r="U823">
        <v>3.6782339369316977E-2</v>
      </c>
      <c r="V823">
        <v>0.24866842971661346</v>
      </c>
      <c r="W823">
        <v>0.11590121459885211</v>
      </c>
      <c r="X823">
        <v>1.9063451151381357E-2</v>
      </c>
      <c r="Y823">
        <v>5.6021056175652433E-3</v>
      </c>
    </row>
    <row r="824" spans="1:25" x14ac:dyDescent="0.25">
      <c r="A824" s="881"/>
      <c r="B824" s="1131">
        <v>574</v>
      </c>
      <c r="C824" s="885">
        <v>0.99271919634419736</v>
      </c>
      <c r="D824" s="885">
        <v>0.97190906087872764</v>
      </c>
      <c r="E824" s="885">
        <v>0.97106206029027176</v>
      </c>
      <c r="F824" s="885">
        <v>1.0344489454435732</v>
      </c>
      <c r="G824" s="885">
        <v>1.008838901972352</v>
      </c>
      <c r="H824" s="885">
        <v>1.0154850558514816</v>
      </c>
      <c r="I824" s="885">
        <v>1.0155062480621597</v>
      </c>
      <c r="K824">
        <v>1.960216171546129</v>
      </c>
      <c r="L824">
        <v>0</v>
      </c>
      <c r="M824">
        <v>2.1534754383061476E-3</v>
      </c>
      <c r="N824">
        <v>0.19829016791223256</v>
      </c>
      <c r="O824">
        <v>2.5693863482567678E-2</v>
      </c>
      <c r="P824">
        <v>2.0896450603129862E-2</v>
      </c>
      <c r="Q824">
        <v>2.9253874958084171E-3</v>
      </c>
      <c r="R824">
        <v>2.1408418477697954E-3</v>
      </c>
      <c r="S824">
        <v>0.21496481811008264</v>
      </c>
      <c r="T824">
        <v>1.0610467667953858</v>
      </c>
      <c r="U824">
        <v>3.7594025317887678E-2</v>
      </c>
      <c r="V824">
        <v>0.25245861679574672</v>
      </c>
      <c r="W824">
        <v>0.12092166972134089</v>
      </c>
      <c r="X824">
        <v>1.9610373121178849E-2</v>
      </c>
      <c r="Y824">
        <v>5.8266657813039338E-3</v>
      </c>
    </row>
    <row r="825" spans="1:25" x14ac:dyDescent="0.25">
      <c r="A825" s="881"/>
      <c r="B825" s="1131">
        <v>575</v>
      </c>
      <c r="C825" s="885">
        <v>0.9619745040509986</v>
      </c>
      <c r="D825" s="885">
        <v>1.0138516895265615</v>
      </c>
      <c r="E825" s="885">
        <v>1.0142008039596173</v>
      </c>
      <c r="F825" s="885">
        <v>1.0315540295007206</v>
      </c>
      <c r="G825" s="885">
        <v>1.0234433444488493</v>
      </c>
      <c r="H825" s="885">
        <v>1.0107899739503334</v>
      </c>
      <c r="I825" s="885">
        <v>0.98788783892718246</v>
      </c>
      <c r="K825">
        <v>1.968218496814311</v>
      </c>
      <c r="L825">
        <v>0</v>
      </c>
      <c r="M825">
        <v>1.9783239028759287E-3</v>
      </c>
      <c r="N825">
        <v>0.2083327137649916</v>
      </c>
      <c r="O825">
        <v>2.5965726723979791E-2</v>
      </c>
      <c r="P825">
        <v>2.1482579152026463E-2</v>
      </c>
      <c r="Q825">
        <v>3.0970440871420529E-3</v>
      </c>
      <c r="R825">
        <v>1.9666296497396784E-3</v>
      </c>
      <c r="S825">
        <v>0.21116513899162084</v>
      </c>
      <c r="T825">
        <v>1.057071810826554</v>
      </c>
      <c r="U825">
        <v>3.8795529864623486E-2</v>
      </c>
      <c r="V825">
        <v>0.25161624022762613</v>
      </c>
      <c r="W825">
        <v>0.12333159593941354</v>
      </c>
      <c r="X825">
        <v>2.2019293882167452E-2</v>
      </c>
      <c r="Y825">
        <v>5.3525176073016024E-3</v>
      </c>
    </row>
    <row r="826" spans="1:25" x14ac:dyDescent="0.25">
      <c r="A826" s="881"/>
      <c r="B826" s="1131">
        <v>576</v>
      </c>
      <c r="C826" s="885">
        <v>1.0025289650415148</v>
      </c>
      <c r="D826" s="885">
        <v>1.0075821303587014</v>
      </c>
      <c r="E826" s="885">
        <v>0.97454062608502512</v>
      </c>
      <c r="F826" s="885">
        <v>1.0108713475157065</v>
      </c>
      <c r="G826" s="885">
        <v>0.99427107560191852</v>
      </c>
      <c r="H826" s="885">
        <v>0.99599209853242021</v>
      </c>
      <c r="I826" s="885">
        <v>0.99903474648075974</v>
      </c>
      <c r="K826">
        <v>1.9270841786838084</v>
      </c>
      <c r="L826">
        <v>0</v>
      </c>
      <c r="M826">
        <v>2.0395305080409391E-3</v>
      </c>
      <c r="N826">
        <v>0.18982099609707084</v>
      </c>
      <c r="O826">
        <v>2.4991863949732466E-2</v>
      </c>
      <c r="P826">
        <v>2.071657561440475E-2</v>
      </c>
      <c r="Q826">
        <v>2.8627975821421568E-3</v>
      </c>
      <c r="R826">
        <v>2.0273005624233047E-3</v>
      </c>
      <c r="S826">
        <v>0.20400627930959908</v>
      </c>
      <c r="T826">
        <v>1.0607235603546441</v>
      </c>
      <c r="U826">
        <v>3.7226166926131093E-2</v>
      </c>
      <c r="V826">
        <v>0.24651461291198873</v>
      </c>
      <c r="W826">
        <v>0.1154764995089846</v>
      </c>
      <c r="X826">
        <v>1.9239412543263359E-2</v>
      </c>
      <c r="Y826">
        <v>5.5176438314654417E-3</v>
      </c>
    </row>
    <row r="827" spans="1:25" x14ac:dyDescent="0.25">
      <c r="A827" s="881"/>
      <c r="B827" s="1131">
        <v>577</v>
      </c>
      <c r="C827" s="885">
        <v>1.0053174446808377</v>
      </c>
      <c r="D827" s="885">
        <v>1.0089284510605112</v>
      </c>
      <c r="E827" s="885">
        <v>0.99319637356063284</v>
      </c>
      <c r="F827" s="885">
        <v>0.96902600799878646</v>
      </c>
      <c r="G827" s="885">
        <v>0.99638694001020822</v>
      </c>
      <c r="H827" s="885">
        <v>0.99923874328017015</v>
      </c>
      <c r="I827" s="885">
        <v>0.999167892012365</v>
      </c>
      <c r="K827">
        <v>1.9295675719403897</v>
      </c>
      <c r="L827">
        <v>0</v>
      </c>
      <c r="M827">
        <v>1.9607916449565295E-3</v>
      </c>
      <c r="N827">
        <v>0.19341511836905084</v>
      </c>
      <c r="O827">
        <v>2.4906094544667325E-2</v>
      </c>
      <c r="P827">
        <v>2.0974425832925737E-2</v>
      </c>
      <c r="Q827">
        <v>2.907737572475737E-3</v>
      </c>
      <c r="R827">
        <v>1.949070975024848E-3</v>
      </c>
      <c r="S827">
        <v>0.20366813421995786</v>
      </c>
      <c r="T827">
        <v>1.0589981919620246</v>
      </c>
      <c r="U827">
        <v>3.712291157223982E-2</v>
      </c>
      <c r="V827">
        <v>0.2459634664367806</v>
      </c>
      <c r="W827">
        <v>0.11615368851859567</v>
      </c>
      <c r="X827">
        <v>2.0164794898660771E-2</v>
      </c>
      <c r="Y827">
        <v>5.3047286829433988E-3</v>
      </c>
    </row>
    <row r="828" spans="1:25" x14ac:dyDescent="0.25">
      <c r="A828" s="881"/>
      <c r="B828" s="1131">
        <v>578</v>
      </c>
      <c r="C828" s="885">
        <v>1.0021434734558139</v>
      </c>
      <c r="D828" s="885">
        <v>0.98300574662624363</v>
      </c>
      <c r="E828" s="885">
        <v>1.0192260291561102</v>
      </c>
      <c r="F828" s="885">
        <v>0.98751489633425904</v>
      </c>
      <c r="G828" s="885">
        <v>0.97525785793995068</v>
      </c>
      <c r="H828" s="885">
        <v>1.0004406116849065</v>
      </c>
      <c r="I828" s="885">
        <v>0.97991683704862709</v>
      </c>
      <c r="K828">
        <v>1.9441573644703085</v>
      </c>
      <c r="L828">
        <v>0</v>
      </c>
      <c r="M828">
        <v>1.8883896232810256E-3</v>
      </c>
      <c r="N828">
        <v>0.20198165484128039</v>
      </c>
      <c r="O828">
        <v>2.5309157547305717E-2</v>
      </c>
      <c r="P828">
        <v>2.1392710183601595E-2</v>
      </c>
      <c r="Q828">
        <v>3.0273460591975429E-3</v>
      </c>
      <c r="R828">
        <v>1.8771356522727129E-3</v>
      </c>
      <c r="S828">
        <v>0.20290672718248476</v>
      </c>
      <c r="T828">
        <v>1.0566134838900632</v>
      </c>
      <c r="U828">
        <v>3.7240486606394473E-2</v>
      </c>
      <c r="V828">
        <v>0.24965155499293751</v>
      </c>
      <c r="W828">
        <v>0.11916611607902644</v>
      </c>
      <c r="X828">
        <v>2.1770436611140587E-2</v>
      </c>
      <c r="Y828">
        <v>5.1089444478848584E-3</v>
      </c>
    </row>
    <row r="829" spans="1:25" x14ac:dyDescent="0.25">
      <c r="A829" s="881"/>
      <c r="B829" s="1131">
        <v>579</v>
      </c>
      <c r="C829" s="885">
        <v>0.96484519479250141</v>
      </c>
      <c r="D829" s="885">
        <v>1.0397842193674129</v>
      </c>
      <c r="E829" s="885">
        <v>0.99938497773543344</v>
      </c>
      <c r="F829" s="885">
        <v>1.0108151689673517</v>
      </c>
      <c r="G829" s="885">
        <v>0.99848096543942899</v>
      </c>
      <c r="H829" s="885">
        <v>1.0012673610167346</v>
      </c>
      <c r="I829" s="885">
        <v>0.98780736712979433</v>
      </c>
      <c r="K829">
        <v>1.9481865006711028</v>
      </c>
      <c r="L829">
        <v>0</v>
      </c>
      <c r="M829">
        <v>1.9909111180162818E-3</v>
      </c>
      <c r="N829">
        <v>0.20020490027644594</v>
      </c>
      <c r="O829">
        <v>2.5567994913184615E-2</v>
      </c>
      <c r="P829">
        <v>2.1160631809294256E-2</v>
      </c>
      <c r="Q829">
        <v>3.0099262388904274E-3</v>
      </c>
      <c r="R829">
        <v>1.9790099627385693E-3</v>
      </c>
      <c r="S829">
        <v>0.20713343768253298</v>
      </c>
      <c r="T829">
        <v>1.0584288293427033</v>
      </c>
      <c r="U829">
        <v>3.8680102054032564E-2</v>
      </c>
      <c r="V829">
        <v>0.24801852499177851</v>
      </c>
      <c r="W829">
        <v>0.1197218719340572</v>
      </c>
      <c r="X829">
        <v>2.0885969845343338E-2</v>
      </c>
      <c r="Y829">
        <v>5.3862127381155006E-3</v>
      </c>
    </row>
    <row r="830" spans="1:25" x14ac:dyDescent="0.25">
      <c r="A830" s="881"/>
      <c r="B830" s="1131">
        <v>580</v>
      </c>
      <c r="C830" s="885">
        <v>1.0001901290265436</v>
      </c>
      <c r="D830" s="885">
        <v>1.0215423274127065</v>
      </c>
      <c r="E830" s="885">
        <v>1.0253685285541259</v>
      </c>
      <c r="F830" s="885">
        <v>1.0202763066943727</v>
      </c>
      <c r="G830" s="885">
        <v>0.95269066106138378</v>
      </c>
      <c r="H830" s="885">
        <v>0.99015315126979553</v>
      </c>
      <c r="I830" s="885">
        <v>1.0094898787379012</v>
      </c>
      <c r="K830">
        <v>1.9331059451448891</v>
      </c>
      <c r="L830">
        <v>0</v>
      </c>
      <c r="M830">
        <v>1.8136596816645111E-3</v>
      </c>
      <c r="N830">
        <v>0.19770958965501376</v>
      </c>
      <c r="O830">
        <v>2.4880601535928859E-2</v>
      </c>
      <c r="P830">
        <v>2.1445232040365938E-2</v>
      </c>
      <c r="Q830">
        <v>3.0023206385684379E-3</v>
      </c>
      <c r="R830">
        <v>1.8027096565963496E-3</v>
      </c>
      <c r="S830">
        <v>0.20473498850192365</v>
      </c>
      <c r="T830">
        <v>1.0560545964916397</v>
      </c>
      <c r="U830">
        <v>3.7313216275429224E-2</v>
      </c>
      <c r="V830">
        <v>0.24515696403593087</v>
      </c>
      <c r="W830">
        <v>0.11616395377525743</v>
      </c>
      <c r="X830">
        <v>2.1749050797722116E-2</v>
      </c>
      <c r="Y830">
        <v>4.9063814221766778E-3</v>
      </c>
    </row>
    <row r="831" spans="1:25" x14ac:dyDescent="0.25">
      <c r="A831" s="881"/>
      <c r="B831" s="1131">
        <v>581</v>
      </c>
      <c r="C831" s="885">
        <v>1.0138839000295661</v>
      </c>
      <c r="D831" s="885">
        <v>0.98221685690558291</v>
      </c>
      <c r="E831" s="885">
        <v>1.0328421649677615</v>
      </c>
      <c r="F831" s="885">
        <v>0.98377944652649296</v>
      </c>
      <c r="G831" s="885">
        <v>1.0175423217881829</v>
      </c>
      <c r="H831" s="885">
        <v>0.98402226264097059</v>
      </c>
      <c r="I831" s="885">
        <v>0.98648283205559861</v>
      </c>
      <c r="K831">
        <v>1.9326732339115007</v>
      </c>
      <c r="L831">
        <v>0</v>
      </c>
      <c r="M831">
        <v>1.7845026941305147E-3</v>
      </c>
      <c r="N831">
        <v>0.19909305347942161</v>
      </c>
      <c r="O831">
        <v>2.5026053860602884E-2</v>
      </c>
      <c r="P831">
        <v>2.1525314618223806E-2</v>
      </c>
      <c r="Q831">
        <v>3.0339721333883947E-3</v>
      </c>
      <c r="R831">
        <v>1.7736910078421412E-3</v>
      </c>
      <c r="S831">
        <v>0.20034454974615243</v>
      </c>
      <c r="T831">
        <v>1.0553765839094593</v>
      </c>
      <c r="U831">
        <v>3.6809254590026083E-2</v>
      </c>
      <c r="V831">
        <v>0.24809738171216636</v>
      </c>
      <c r="W831">
        <v>0.11639206482912752</v>
      </c>
      <c r="X831">
        <v>2.2158414492958235E-2</v>
      </c>
      <c r="Y831">
        <v>4.827402226262714E-3</v>
      </c>
    </row>
    <row r="832" spans="1:25" x14ac:dyDescent="0.25">
      <c r="A832" s="881"/>
      <c r="B832" s="1131">
        <v>582</v>
      </c>
      <c r="C832" s="885">
        <v>1.0118958471441037</v>
      </c>
      <c r="D832" s="885">
        <v>1.0184934369430767</v>
      </c>
      <c r="E832" s="885">
        <v>0.98858730587539212</v>
      </c>
      <c r="F832" s="885">
        <v>1.009526670485035</v>
      </c>
      <c r="G832" s="885">
        <v>0.99860669643305666</v>
      </c>
      <c r="H832" s="885">
        <v>0.98802895671797286</v>
      </c>
      <c r="I832" s="885">
        <v>0.98846310646249658</v>
      </c>
      <c r="K832">
        <v>1.9132451646519431</v>
      </c>
      <c r="L832">
        <v>0</v>
      </c>
      <c r="M832">
        <v>1.9359128686299424E-3</v>
      </c>
      <c r="N832">
        <v>0.18822691985085468</v>
      </c>
      <c r="O832">
        <v>2.4629093946869709E-2</v>
      </c>
      <c r="P832">
        <v>2.0802724226147307E-2</v>
      </c>
      <c r="Q832">
        <v>2.8639124055996946E-3</v>
      </c>
      <c r="R832">
        <v>1.9242020123540662E-3</v>
      </c>
      <c r="S832">
        <v>0.19821457592042102</v>
      </c>
      <c r="T832">
        <v>1.0594232024796502</v>
      </c>
      <c r="U832">
        <v>3.6881573045533113E-2</v>
      </c>
      <c r="V832">
        <v>0.24391098679120848</v>
      </c>
      <c r="W832">
        <v>0.11339729987485525</v>
      </c>
      <c r="X832">
        <v>1.9669543402475512E-2</v>
      </c>
      <c r="Y832">
        <v>5.2370435646048718E-3</v>
      </c>
    </row>
    <row r="833" spans="1:25" x14ac:dyDescent="0.25">
      <c r="A833" s="881"/>
      <c r="B833" s="1131">
        <v>583</v>
      </c>
      <c r="C833" s="885">
        <v>1.0224804014826314</v>
      </c>
      <c r="D833" s="885">
        <v>0.99340524522100793</v>
      </c>
      <c r="E833" s="885">
        <v>1.0021447165216002</v>
      </c>
      <c r="F833" s="885">
        <v>1.0163448847744168</v>
      </c>
      <c r="G833" s="885">
        <v>0.97497887145866791</v>
      </c>
      <c r="H833" s="885">
        <v>1.0124417439679796</v>
      </c>
      <c r="I833" s="885">
        <v>0.98054148712884703</v>
      </c>
      <c r="K833">
        <v>1.926681920459693</v>
      </c>
      <c r="L833">
        <v>0</v>
      </c>
      <c r="M833">
        <v>1.9316534720762559E-3</v>
      </c>
      <c r="N833">
        <v>0.19593749362224583</v>
      </c>
      <c r="O833">
        <v>2.4676671064594969E-2</v>
      </c>
      <c r="P833">
        <v>2.1028291992144312E-2</v>
      </c>
      <c r="Q833">
        <v>2.9038778568813285E-3</v>
      </c>
      <c r="R833">
        <v>1.9202697827206466E-3</v>
      </c>
      <c r="S833">
        <v>0.19920548372945987</v>
      </c>
      <c r="T833">
        <v>1.0581754092766322</v>
      </c>
      <c r="U833">
        <v>3.6499780872866747E-2</v>
      </c>
      <c r="V833">
        <v>0.24550958352362709</v>
      </c>
      <c r="W833">
        <v>0.11694904826088405</v>
      </c>
      <c r="X833">
        <v>2.0581322617911204E-2</v>
      </c>
      <c r="Y833">
        <v>5.226341331801854E-3</v>
      </c>
    </row>
    <row r="834" spans="1:25" x14ac:dyDescent="0.25">
      <c r="A834" s="881"/>
      <c r="B834" s="1131">
        <v>584</v>
      </c>
      <c r="C834" s="885">
        <v>0.97966091189897542</v>
      </c>
      <c r="D834" s="885">
        <v>0.99339147072810441</v>
      </c>
      <c r="E834" s="885">
        <v>1.0096249188069413</v>
      </c>
      <c r="F834" s="885">
        <v>1.0010660691994357</v>
      </c>
      <c r="G834" s="885">
        <v>1.0045750539127329</v>
      </c>
      <c r="H834" s="885">
        <v>0.99218278103308488</v>
      </c>
      <c r="I834" s="885">
        <v>0.99660927387392506</v>
      </c>
      <c r="K834">
        <v>1.9550931937070559</v>
      </c>
      <c r="L834">
        <v>0</v>
      </c>
      <c r="M834">
        <v>1.9448472589814333E-3</v>
      </c>
      <c r="N834">
        <v>0.20189410745420683</v>
      </c>
      <c r="O834">
        <v>2.5755427789172697E-2</v>
      </c>
      <c r="P834">
        <v>2.1379103294270729E-2</v>
      </c>
      <c r="Q834">
        <v>3.0536197027931982E-3</v>
      </c>
      <c r="R834">
        <v>1.9331518004053639E-3</v>
      </c>
      <c r="S834">
        <v>0.20922826630658464</v>
      </c>
      <c r="T834">
        <v>1.0574900135761776</v>
      </c>
      <c r="U834">
        <v>3.8095130822944814E-2</v>
      </c>
      <c r="V834">
        <v>0.25157920478077822</v>
      </c>
      <c r="W834">
        <v>0.11989168360171885</v>
      </c>
      <c r="X834">
        <v>2.1476929899599997E-2</v>
      </c>
      <c r="Y834">
        <v>5.2614019373836661E-3</v>
      </c>
    </row>
    <row r="835" spans="1:25" x14ac:dyDescent="0.25">
      <c r="A835" s="881"/>
      <c r="B835" s="1131">
        <v>585</v>
      </c>
      <c r="C835" s="885">
        <v>0.98796802540617956</v>
      </c>
      <c r="D835" s="885">
        <v>0.9893343704926244</v>
      </c>
      <c r="E835" s="885">
        <v>0.99001866078266332</v>
      </c>
      <c r="F835" s="885">
        <v>0.99269652182528978</v>
      </c>
      <c r="G835" s="885">
        <v>0.98531343008199546</v>
      </c>
      <c r="H835" s="885">
        <v>1.0171348567684078</v>
      </c>
      <c r="I835" s="885">
        <v>0.99321710547714348</v>
      </c>
      <c r="K835">
        <v>1.956454224095606</v>
      </c>
      <c r="L835">
        <v>0</v>
      </c>
      <c r="M835">
        <v>2.0645078822851132E-3</v>
      </c>
      <c r="N835">
        <v>0.20166417235162773</v>
      </c>
      <c r="O835">
        <v>2.5590718446459639E-2</v>
      </c>
      <c r="P835">
        <v>2.1085530527294866E-2</v>
      </c>
      <c r="Q835">
        <v>2.9740234690637918E-3</v>
      </c>
      <c r="R835">
        <v>2.0524008466827393E-3</v>
      </c>
      <c r="S835">
        <v>0.20970411282633258</v>
      </c>
      <c r="T835">
        <v>1.0592911262226326</v>
      </c>
      <c r="U835">
        <v>3.7774816230083462E-2</v>
      </c>
      <c r="V835">
        <v>0.25087996357989939</v>
      </c>
      <c r="W835">
        <v>0.12137274897405598</v>
      </c>
      <c r="X835">
        <v>2.0543159972845008E-2</v>
      </c>
      <c r="Y835">
        <v>5.5859585309131418E-3</v>
      </c>
    </row>
    <row r="836" spans="1:25" x14ac:dyDescent="0.25">
      <c r="A836" s="881"/>
      <c r="B836" s="1131">
        <v>586</v>
      </c>
      <c r="C836" s="885">
        <v>1.0120391583308808</v>
      </c>
      <c r="D836" s="885">
        <v>0.99993638745552982</v>
      </c>
      <c r="E836" s="885">
        <v>1.0247955509784794</v>
      </c>
      <c r="F836" s="885">
        <v>1.0146974218517653</v>
      </c>
      <c r="G836" s="885">
        <v>0.98572674330387766</v>
      </c>
      <c r="H836" s="885">
        <v>0.98325851505995643</v>
      </c>
      <c r="I836" s="885">
        <v>1.0024670530379662</v>
      </c>
      <c r="K836">
        <v>1.9282450248345679</v>
      </c>
      <c r="L836">
        <v>0</v>
      </c>
      <c r="M836">
        <v>1.8010150728146373E-3</v>
      </c>
      <c r="N836">
        <v>0.1959755821868352</v>
      </c>
      <c r="O836">
        <v>2.4850486070582076E-2</v>
      </c>
      <c r="P836">
        <v>2.1409551113713912E-2</v>
      </c>
      <c r="Q836">
        <v>2.9925416990222316E-3</v>
      </c>
      <c r="R836">
        <v>1.7900812762588268E-3</v>
      </c>
      <c r="S836">
        <v>0.20221687643301126</v>
      </c>
      <c r="T836">
        <v>1.0561066675740314</v>
      </c>
      <c r="U836">
        <v>3.6876350380026693E-2</v>
      </c>
      <c r="V836">
        <v>0.2461378959770176</v>
      </c>
      <c r="W836">
        <v>0.11518951117988795</v>
      </c>
      <c r="X836">
        <v>2.1628484883152433E-2</v>
      </c>
      <c r="Y836">
        <v>4.8720111338424006E-3</v>
      </c>
    </row>
    <row r="837" spans="1:25" x14ac:dyDescent="0.25">
      <c r="A837" s="881"/>
      <c r="B837" s="1131">
        <v>587</v>
      </c>
      <c r="C837" s="885">
        <v>0.98269483222782827</v>
      </c>
      <c r="D837" s="885">
        <v>1.0198065549122499</v>
      </c>
      <c r="E837" s="885">
        <v>1.008466687852954</v>
      </c>
      <c r="F837" s="885">
        <v>0.97409931889808721</v>
      </c>
      <c r="G837" s="885">
        <v>0.98128948336413524</v>
      </c>
      <c r="H837" s="885">
        <v>1.0084064685692851</v>
      </c>
      <c r="I837" s="885">
        <v>0.99510619344399964</v>
      </c>
      <c r="K837">
        <v>1.9486207307917214</v>
      </c>
      <c r="L837">
        <v>0</v>
      </c>
      <c r="M837">
        <v>1.9499142227343232E-3</v>
      </c>
      <c r="N837">
        <v>0.20170996179749406</v>
      </c>
      <c r="O837">
        <v>2.5344826429534766E-2</v>
      </c>
      <c r="P837">
        <v>2.1284387344831793E-2</v>
      </c>
      <c r="Q837">
        <v>3.0069393276780268E-3</v>
      </c>
      <c r="R837">
        <v>1.9383560054762998E-3</v>
      </c>
      <c r="S837">
        <v>0.20742328170390328</v>
      </c>
      <c r="T837">
        <v>1.0575959971146218</v>
      </c>
      <c r="U837">
        <v>3.797751792009476E-2</v>
      </c>
      <c r="V837">
        <v>0.24783349470899457</v>
      </c>
      <c r="W837">
        <v>0.11987670034405815</v>
      </c>
      <c r="X837">
        <v>2.1303616249747758E-2</v>
      </c>
      <c r="Y837">
        <v>5.2755660680210131E-3</v>
      </c>
    </row>
    <row r="838" spans="1:25" x14ac:dyDescent="0.25">
      <c r="A838" s="881"/>
      <c r="B838" s="1131">
        <v>588</v>
      </c>
      <c r="C838" s="885">
        <v>0.9994382075735545</v>
      </c>
      <c r="D838" s="885">
        <v>0.98466644642312673</v>
      </c>
      <c r="E838" s="885">
        <v>0.99536866917677314</v>
      </c>
      <c r="F838" s="885">
        <v>0.98524828508065276</v>
      </c>
      <c r="G838" s="885">
        <v>0.99417550705857805</v>
      </c>
      <c r="H838" s="885">
        <v>0.97575923155369948</v>
      </c>
      <c r="I838" s="885">
        <v>1.0123543440387286</v>
      </c>
      <c r="K838">
        <v>1.936690332495183</v>
      </c>
      <c r="L838">
        <v>0</v>
      </c>
      <c r="M838">
        <v>1.9404290356851359E-3</v>
      </c>
      <c r="N838">
        <v>0.19267914805769001</v>
      </c>
      <c r="O838">
        <v>2.5356421048660104E-2</v>
      </c>
      <c r="P838">
        <v>2.1113205416955154E-2</v>
      </c>
      <c r="Q838">
        <v>2.9617667070065191E-3</v>
      </c>
      <c r="R838">
        <v>1.9285710271401307E-3</v>
      </c>
      <c r="S838">
        <v>0.20747815097929323</v>
      </c>
      <c r="T838">
        <v>1.0587981670990003</v>
      </c>
      <c r="U838">
        <v>3.7341288654076488E-2</v>
      </c>
      <c r="V838">
        <v>0.24982376642459292</v>
      </c>
      <c r="W838">
        <v>0.1155391576280788</v>
      </c>
      <c r="X838">
        <v>2.0362183905764736E-2</v>
      </c>
      <c r="Y838">
        <v>5.2489345826072006E-3</v>
      </c>
    </row>
    <row r="839" spans="1:25" x14ac:dyDescent="0.25">
      <c r="A839" s="881"/>
      <c r="B839" s="1131">
        <v>589</v>
      </c>
      <c r="C839" s="885">
        <v>0.99446224941469452</v>
      </c>
      <c r="D839" s="885">
        <v>0.97759817358521861</v>
      </c>
      <c r="E839" s="885">
        <v>0.99558777317219893</v>
      </c>
      <c r="F839" s="885">
        <v>0.96455129447960064</v>
      </c>
      <c r="G839" s="885">
        <v>0.99110827891772268</v>
      </c>
      <c r="H839" s="885">
        <v>1.0291740032077743</v>
      </c>
      <c r="I839" s="885">
        <v>1.0193215854899957</v>
      </c>
      <c r="K839">
        <v>1.9684099096000471</v>
      </c>
      <c r="L839">
        <v>0</v>
      </c>
      <c r="M839">
        <v>2.0633019398129324E-3</v>
      </c>
      <c r="N839">
        <v>0.20508586097913831</v>
      </c>
      <c r="O839">
        <v>2.5574573496020613E-2</v>
      </c>
      <c r="P839">
        <v>2.1260460978065276E-2</v>
      </c>
      <c r="Q839">
        <v>2.9863949498203941E-3</v>
      </c>
      <c r="R839">
        <v>2.0513534775708914E-3</v>
      </c>
      <c r="S839">
        <v>0.21625138320219225</v>
      </c>
      <c r="T839">
        <v>1.0587780022093134</v>
      </c>
      <c r="U839">
        <v>3.7528132036065032E-2</v>
      </c>
      <c r="V839">
        <v>0.25145420655728806</v>
      </c>
      <c r="W839">
        <v>0.12296029157791052</v>
      </c>
      <c r="X839">
        <v>2.095944413901786E-2</v>
      </c>
      <c r="Y839">
        <v>5.5831079374558251E-3</v>
      </c>
    </row>
    <row r="840" spans="1:25" x14ac:dyDescent="0.25">
      <c r="A840" s="881"/>
      <c r="B840" s="1131">
        <v>590</v>
      </c>
      <c r="C840" s="885">
        <v>0.96185325431235646</v>
      </c>
      <c r="D840" s="885">
        <v>1.005129779499059</v>
      </c>
      <c r="E840" s="885">
        <v>0.99709496743943127</v>
      </c>
      <c r="F840" s="885">
        <v>0.97670114932428298</v>
      </c>
      <c r="G840" s="885">
        <v>0.9912209535664005</v>
      </c>
      <c r="H840" s="885">
        <v>0.9998944112286221</v>
      </c>
      <c r="I840" s="885">
        <v>0.99128976771703758</v>
      </c>
      <c r="K840">
        <v>1.9640919663359211</v>
      </c>
      <c r="L840">
        <v>0</v>
      </c>
      <c r="M840">
        <v>2.0377796657686381E-3</v>
      </c>
      <c r="N840">
        <v>0.20346420773018933</v>
      </c>
      <c r="O840">
        <v>2.6080154389690621E-2</v>
      </c>
      <c r="P840">
        <v>2.1254483422774292E-2</v>
      </c>
      <c r="Q840">
        <v>3.0559931163973097E-3</v>
      </c>
      <c r="R840">
        <v>2.0256099575807853E-3</v>
      </c>
      <c r="S840">
        <v>0.21162692117302065</v>
      </c>
      <c r="T840">
        <v>1.0586393406050019</v>
      </c>
      <c r="U840">
        <v>3.8800420369318966E-2</v>
      </c>
      <c r="V840">
        <v>0.25274329196230216</v>
      </c>
      <c r="W840">
        <v>0.12186195987490972</v>
      </c>
      <c r="X840">
        <v>2.1064320838111057E-2</v>
      </c>
      <c r="Y840">
        <v>5.5130425623918398E-3</v>
      </c>
    </row>
    <row r="841" spans="1:25" x14ac:dyDescent="0.25">
      <c r="A841" s="881"/>
      <c r="B841" s="1131">
        <v>591</v>
      </c>
      <c r="C841" s="885">
        <v>1.0243795897391064</v>
      </c>
      <c r="D841" s="885">
        <v>1.0346165890472314</v>
      </c>
      <c r="E841" s="885">
        <v>0.99313350774982412</v>
      </c>
      <c r="F841" s="885">
        <v>0.97919894212667158</v>
      </c>
      <c r="G841" s="885">
        <v>0.99850373881760368</v>
      </c>
      <c r="H841" s="885">
        <v>1.0195413312643788</v>
      </c>
      <c r="I841" s="885">
        <v>1.0062309100777762</v>
      </c>
      <c r="K841">
        <v>1.91589389853476</v>
      </c>
      <c r="L841">
        <v>0</v>
      </c>
      <c r="M841">
        <v>1.9394670133941866E-3</v>
      </c>
      <c r="N841">
        <v>0.19129515323999957</v>
      </c>
      <c r="O841">
        <v>2.4141211839457267E-2</v>
      </c>
      <c r="P841">
        <v>2.0851681023828179E-2</v>
      </c>
      <c r="Q841">
        <v>2.8231575659441485E-3</v>
      </c>
      <c r="R841">
        <v>1.9280850462218228E-3</v>
      </c>
      <c r="S841">
        <v>0.20097303649872375</v>
      </c>
      <c r="T841">
        <v>1.0590039833759117</v>
      </c>
      <c r="U841">
        <v>3.6432110688989668E-2</v>
      </c>
      <c r="V841">
        <v>0.24037655060717231</v>
      </c>
      <c r="W841">
        <v>0.11488552815973271</v>
      </c>
      <c r="X841">
        <v>1.9875255599419318E-2</v>
      </c>
      <c r="Y841">
        <v>5.2476119027511335E-3</v>
      </c>
    </row>
    <row r="842" spans="1:25" x14ac:dyDescent="0.25">
      <c r="A842" s="881"/>
      <c r="B842" s="1131">
        <v>592</v>
      </c>
      <c r="C842" s="885">
        <v>0.96252923001863067</v>
      </c>
      <c r="D842" s="885">
        <v>1.0319131587986807</v>
      </c>
      <c r="E842" s="885">
        <v>1.0069845008311908</v>
      </c>
      <c r="F842" s="885">
        <v>1.0090633715578621</v>
      </c>
      <c r="G842" s="885">
        <v>1.0189052972985202</v>
      </c>
      <c r="H842" s="885">
        <v>1.0225674957606981</v>
      </c>
      <c r="I842" s="885">
        <v>0.98401131656974561</v>
      </c>
      <c r="K842">
        <v>1.9633093537745923</v>
      </c>
      <c r="L842">
        <v>0</v>
      </c>
      <c r="M842">
        <v>2.0132970088084334E-3</v>
      </c>
      <c r="N842">
        <v>0.20732515061298176</v>
      </c>
      <c r="O842">
        <v>2.5725627470115447E-2</v>
      </c>
      <c r="P842">
        <v>2.1325538684778138E-2</v>
      </c>
      <c r="Q842">
        <v>3.0500737398762067E-3</v>
      </c>
      <c r="R842">
        <v>2.0015188332899582E-3</v>
      </c>
      <c r="S842">
        <v>0.20972276381865781</v>
      </c>
      <c r="T842">
        <v>1.057731700494015</v>
      </c>
      <c r="U842">
        <v>3.8773171179637349E-2</v>
      </c>
      <c r="V842">
        <v>0.2493057011916352</v>
      </c>
      <c r="W842">
        <v>0.12333817144032577</v>
      </c>
      <c r="X842">
        <v>2.1575758854377378E-2</v>
      </c>
      <c r="Y842">
        <v>5.4474744637091968E-3</v>
      </c>
    </row>
    <row r="843" spans="1:25" x14ac:dyDescent="0.25">
      <c r="A843" s="881"/>
      <c r="B843" s="1131">
        <v>593</v>
      </c>
      <c r="C843" s="885">
        <v>0.99153195794456472</v>
      </c>
      <c r="D843" s="885">
        <v>1.0009837024013271</v>
      </c>
      <c r="E843" s="885">
        <v>1.0095288213339209</v>
      </c>
      <c r="F843" s="885">
        <v>1.0244222789694934</v>
      </c>
      <c r="G843" s="885">
        <v>0.99931318207221054</v>
      </c>
      <c r="H843" s="885">
        <v>0.99007694991606954</v>
      </c>
      <c r="I843" s="885">
        <v>0.99355802128778736</v>
      </c>
      <c r="K843">
        <v>1.9412185749715392</v>
      </c>
      <c r="L843">
        <v>0</v>
      </c>
      <c r="M843">
        <v>1.9106619496414719E-3</v>
      </c>
      <c r="N843">
        <v>0.19828290392007458</v>
      </c>
      <c r="O843">
        <v>2.535131329480448E-2</v>
      </c>
      <c r="P843">
        <v>2.1278545590890829E-2</v>
      </c>
      <c r="Q843">
        <v>3.0070157645495912E-3</v>
      </c>
      <c r="R843">
        <v>1.8991415443015784E-3</v>
      </c>
      <c r="S843">
        <v>0.20515778449316918</v>
      </c>
      <c r="T843">
        <v>1.0574988049519884</v>
      </c>
      <c r="U843">
        <v>3.7639039570929761E-2</v>
      </c>
      <c r="V843">
        <v>0.2488914953040095</v>
      </c>
      <c r="W843">
        <v>0.11775491745524994</v>
      </c>
      <c r="X843">
        <v>2.1199437799463428E-2</v>
      </c>
      <c r="Y843">
        <v>5.1688372317470746E-3</v>
      </c>
    </row>
    <row r="844" spans="1:25" x14ac:dyDescent="0.25">
      <c r="A844" s="881"/>
      <c r="B844" s="1131">
        <v>594</v>
      </c>
      <c r="C844" s="885">
        <v>1.0013035613130947</v>
      </c>
      <c r="D844" s="885">
        <v>0.97617948985753322</v>
      </c>
      <c r="E844" s="885">
        <v>0.99554992179263269</v>
      </c>
      <c r="F844" s="885">
        <v>1.0005033778724288</v>
      </c>
      <c r="G844" s="885">
        <v>0.99116379129327803</v>
      </c>
      <c r="H844" s="885">
        <v>1.020176344847757</v>
      </c>
      <c r="I844" s="885">
        <v>0.98128055994625296</v>
      </c>
      <c r="K844">
        <v>1.9515963224275343</v>
      </c>
      <c r="L844">
        <v>0</v>
      </c>
      <c r="M844">
        <v>2.0329153915486955E-3</v>
      </c>
      <c r="N844">
        <v>0.20203147143569497</v>
      </c>
      <c r="O844">
        <v>2.5418162123759216E-2</v>
      </c>
      <c r="P844">
        <v>2.1106019110360422E-2</v>
      </c>
      <c r="Q844">
        <v>2.9677137177595856E-3</v>
      </c>
      <c r="R844">
        <v>2.0210402734770015E-3</v>
      </c>
      <c r="S844">
        <v>0.20599395889473879</v>
      </c>
      <c r="T844">
        <v>1.0587814856676625</v>
      </c>
      <c r="U844">
        <v>3.727172462262654E-2</v>
      </c>
      <c r="V844">
        <v>0.25065506829399459</v>
      </c>
      <c r="W844">
        <v>0.12113216343141499</v>
      </c>
      <c r="X844">
        <v>2.0749824858935735E-2</v>
      </c>
      <c r="Y844">
        <v>5.5006053886573003E-3</v>
      </c>
    </row>
    <row r="845" spans="1:25" x14ac:dyDescent="0.25">
      <c r="A845" s="881"/>
      <c r="B845" s="1131">
        <v>595</v>
      </c>
      <c r="C845" s="885">
        <v>0.99136141996369187</v>
      </c>
      <c r="D845" s="885">
        <v>1.0055294736221703</v>
      </c>
      <c r="E845" s="885">
        <v>1.0103165992352654</v>
      </c>
      <c r="F845" s="885">
        <v>1.0090148570309705</v>
      </c>
      <c r="G845" s="885">
        <v>1.0037597887811818</v>
      </c>
      <c r="H845" s="885">
        <v>0.95739079800079285</v>
      </c>
      <c r="I845" s="885">
        <v>0.96188530202788125</v>
      </c>
      <c r="K845">
        <v>1.9188421986104285</v>
      </c>
      <c r="L845">
        <v>0</v>
      </c>
      <c r="M845">
        <v>1.8407061821936977E-3</v>
      </c>
      <c r="N845">
        <v>0.19145146536215854</v>
      </c>
      <c r="O845">
        <v>2.5298895319291567E-2</v>
      </c>
      <c r="P845">
        <v>2.1143378155325309E-2</v>
      </c>
      <c r="Q845">
        <v>3.0041097888003064E-3</v>
      </c>
      <c r="R845">
        <v>1.8292250626187974E-3</v>
      </c>
      <c r="S845">
        <v>0.19503875283998609</v>
      </c>
      <c r="T845">
        <v>1.0574267465556946</v>
      </c>
      <c r="U845">
        <v>3.7645514389982759E-2</v>
      </c>
      <c r="V845">
        <v>0.24834581836388203</v>
      </c>
      <c r="W845">
        <v>0.11363706096159536</v>
      </c>
      <c r="X845">
        <v>2.0883390376717149E-2</v>
      </c>
      <c r="Y845">
        <v>4.9785476165685348E-3</v>
      </c>
    </row>
    <row r="846" spans="1:25" x14ac:dyDescent="0.25">
      <c r="A846" s="881"/>
      <c r="B846" s="1131">
        <v>596</v>
      </c>
      <c r="C846" s="885">
        <v>1.0243580462521631</v>
      </c>
      <c r="D846" s="885">
        <v>1.0065503923081436</v>
      </c>
      <c r="E846" s="885">
        <v>1.0219161363350009</v>
      </c>
      <c r="F846" s="885">
        <v>0.98856487267121151</v>
      </c>
      <c r="G846" s="885">
        <v>1.0298316808651167</v>
      </c>
      <c r="H846" s="885">
        <v>0.97285926125090405</v>
      </c>
      <c r="I846" s="885">
        <v>1.0179124438359435</v>
      </c>
      <c r="K846">
        <v>1.9148279971467017</v>
      </c>
      <c r="L846">
        <v>0</v>
      </c>
      <c r="M846">
        <v>1.7655199945329951E-3</v>
      </c>
      <c r="N846">
        <v>0.19038990096200595</v>
      </c>
      <c r="O846">
        <v>2.4471681890526786E-2</v>
      </c>
      <c r="P846">
        <v>2.1313659962478953E-2</v>
      </c>
      <c r="Q846">
        <v>2.9398661171339876E-3</v>
      </c>
      <c r="R846">
        <v>1.7546821703983573E-3</v>
      </c>
      <c r="S846">
        <v>0.20120842556537583</v>
      </c>
      <c r="T846">
        <v>1.0563685375891887</v>
      </c>
      <c r="U846">
        <v>3.643287690028052E-2</v>
      </c>
      <c r="V846">
        <v>0.24365995010108407</v>
      </c>
      <c r="W846">
        <v>0.11212352338451866</v>
      </c>
      <c r="X846">
        <v>2.1154746061238367E-2</v>
      </c>
      <c r="Y846">
        <v>4.7756664370023141E-3</v>
      </c>
    </row>
    <row r="847" spans="1:25" x14ac:dyDescent="0.25">
      <c r="A847" s="881"/>
      <c r="B847" s="1131">
        <v>597</v>
      </c>
      <c r="C847" s="885">
        <v>0.99780193376418191</v>
      </c>
      <c r="D847" s="885">
        <v>1.0188484725802172</v>
      </c>
      <c r="E847" s="885">
        <v>0.99661335812583507</v>
      </c>
      <c r="F847" s="885">
        <v>0.99403613142638514</v>
      </c>
      <c r="G847" s="885">
        <v>0.98402329781209763</v>
      </c>
      <c r="H847" s="885">
        <v>1.0426282056153846</v>
      </c>
      <c r="I847" s="885">
        <v>1.0038637851224159</v>
      </c>
      <c r="K847">
        <v>1.9515579735505812</v>
      </c>
      <c r="L847">
        <v>0</v>
      </c>
      <c r="M847">
        <v>2.0367150434244577E-3</v>
      </c>
      <c r="N847">
        <v>0.20310227431902797</v>
      </c>
      <c r="O847">
        <v>2.4972681304360794E-2</v>
      </c>
      <c r="P847">
        <v>2.1106744160772715E-2</v>
      </c>
      <c r="Q847">
        <v>2.9275549603893789E-3</v>
      </c>
      <c r="R847">
        <v>2.0250393220527766E-3</v>
      </c>
      <c r="S847">
        <v>0.20962163395952896</v>
      </c>
      <c r="T847">
        <v>1.0586836389626368</v>
      </c>
      <c r="U847">
        <v>3.7402523825672454E-2</v>
      </c>
      <c r="V847">
        <v>0.24581239631990473</v>
      </c>
      <c r="W847">
        <v>0.12168536645652958</v>
      </c>
      <c r="X847">
        <v>2.0743345522535227E-2</v>
      </c>
      <c r="Y847">
        <v>5.5114894805945534E-3</v>
      </c>
    </row>
    <row r="848" spans="1:25" x14ac:dyDescent="0.25">
      <c r="A848" s="881"/>
      <c r="B848" s="1131">
        <v>598</v>
      </c>
      <c r="C848" s="885">
        <v>1.0085891028518552</v>
      </c>
      <c r="D848" s="885">
        <v>1.0083297345549873</v>
      </c>
      <c r="E848" s="885">
        <v>1.0288139598199273</v>
      </c>
      <c r="F848" s="885">
        <v>1.0051055144886019</v>
      </c>
      <c r="G848" s="885">
        <v>0.9813390584288797</v>
      </c>
      <c r="H848" s="885">
        <v>0.9745304609428086</v>
      </c>
      <c r="I848" s="885">
        <v>0.96632798466371927</v>
      </c>
      <c r="K848">
        <v>1.9170806185388287</v>
      </c>
      <c r="L848">
        <v>0</v>
      </c>
      <c r="M848">
        <v>1.7686565654897626E-3</v>
      </c>
      <c r="N848">
        <v>0.19485945680858149</v>
      </c>
      <c r="O848">
        <v>2.4832590928200893E-2</v>
      </c>
      <c r="P848">
        <v>2.134680950760592E-2</v>
      </c>
      <c r="Q848">
        <v>3.004058861003548E-3</v>
      </c>
      <c r="R848">
        <v>1.7578167834829189E-3</v>
      </c>
      <c r="S848">
        <v>0.19400272528323417</v>
      </c>
      <c r="T848">
        <v>1.0557417533287521</v>
      </c>
      <c r="U848">
        <v>3.7002492388021231E-2</v>
      </c>
      <c r="V848">
        <v>0.24558601097404395</v>
      </c>
      <c r="W848">
        <v>0.11422479838906346</v>
      </c>
      <c r="X848">
        <v>2.1706564031834109E-2</v>
      </c>
      <c r="Y848">
        <v>4.784197820493565E-3</v>
      </c>
    </row>
    <row r="849" spans="1:25" x14ac:dyDescent="0.25">
      <c r="A849" s="881"/>
      <c r="B849" s="1131">
        <v>599</v>
      </c>
      <c r="C849" s="885">
        <v>0.98766403901337496</v>
      </c>
      <c r="D849" s="885">
        <v>0.99242519083198732</v>
      </c>
      <c r="E849" s="885">
        <v>0.96753496234472458</v>
      </c>
      <c r="F849" s="885">
        <v>1.0209087432511454</v>
      </c>
      <c r="G849" s="885">
        <v>0.97686042008258223</v>
      </c>
      <c r="H849" s="885">
        <v>0.98449436018474323</v>
      </c>
      <c r="I849" s="885">
        <v>0.99361589193143862</v>
      </c>
      <c r="K849">
        <v>1.9367992288689224</v>
      </c>
      <c r="L849">
        <v>0</v>
      </c>
      <c r="M849">
        <v>2.0922277448118375E-3</v>
      </c>
      <c r="N849">
        <v>0.19050624224011428</v>
      </c>
      <c r="O849">
        <v>2.5559050709108178E-2</v>
      </c>
      <c r="P849">
        <v>2.0704735038703043E-2</v>
      </c>
      <c r="Q849">
        <v>2.9038215959904783E-3</v>
      </c>
      <c r="R849">
        <v>2.0795486051082388E-3</v>
      </c>
      <c r="S849">
        <v>0.20621635712790132</v>
      </c>
      <c r="T849">
        <v>1.0613749605985257</v>
      </c>
      <c r="U849">
        <v>3.7786442683686194E-2</v>
      </c>
      <c r="V849">
        <v>0.2505316429687714</v>
      </c>
      <c r="W849">
        <v>0.11646169173407302</v>
      </c>
      <c r="X849">
        <v>1.9107117531659668E-2</v>
      </c>
      <c r="Y849">
        <v>5.6598457800911915E-3</v>
      </c>
    </row>
    <row r="850" spans="1:25" x14ac:dyDescent="0.25">
      <c r="A850" s="881"/>
      <c r="B850" s="1131">
        <v>600</v>
      </c>
      <c r="C850" s="885">
        <v>0.99298784572410137</v>
      </c>
      <c r="D850" s="885">
        <v>1.0164163024726967</v>
      </c>
      <c r="E850" s="885">
        <v>0.96046518169678552</v>
      </c>
      <c r="F850" s="885">
        <v>0.99929019302351285</v>
      </c>
      <c r="G850" s="885">
        <v>1.0006156328417819</v>
      </c>
      <c r="H850" s="885">
        <v>0.95632419396226909</v>
      </c>
      <c r="I850" s="885">
        <v>0.99492996984472448</v>
      </c>
      <c r="K850">
        <v>1.910426046786428</v>
      </c>
      <c r="L850">
        <v>0</v>
      </c>
      <c r="M850">
        <v>2.0275319299476414E-3</v>
      </c>
      <c r="N850">
        <v>0.18055422230464108</v>
      </c>
      <c r="O850">
        <v>2.512338391187208E-2</v>
      </c>
      <c r="P850">
        <v>2.0470317140735082E-2</v>
      </c>
      <c r="Q850">
        <v>2.8384186780132633E-3</v>
      </c>
      <c r="R850">
        <v>2.0148620031624439E-3</v>
      </c>
      <c r="S850">
        <v>0.20031139646346308</v>
      </c>
      <c r="T850">
        <v>1.0620342459582646</v>
      </c>
      <c r="U850">
        <v>3.7583854386155531E-2</v>
      </c>
      <c r="V850">
        <v>0.24678048245001147</v>
      </c>
      <c r="W850">
        <v>0.11092671563789419</v>
      </c>
      <c r="X850">
        <v>1.8331889608634619E-2</v>
      </c>
      <c r="Y850">
        <v>5.4837901735273363E-3</v>
      </c>
    </row>
    <row r="851" spans="1:25" x14ac:dyDescent="0.25">
      <c r="A851" s="881"/>
      <c r="B851" s="1131">
        <v>601</v>
      </c>
      <c r="C851" s="885">
        <v>1.0114603932721167</v>
      </c>
      <c r="D851" s="885">
        <v>1.0064198033787786</v>
      </c>
      <c r="E851" s="885">
        <v>1.0125305870956061</v>
      </c>
      <c r="F851" s="885">
        <v>1.0019979015886831</v>
      </c>
      <c r="G851" s="885">
        <v>1.0090190685693452</v>
      </c>
      <c r="H851" s="885">
        <v>0.96555499705757164</v>
      </c>
      <c r="I851" s="885">
        <v>1.0117042047641001</v>
      </c>
      <c r="K851">
        <v>1.9179491644132871</v>
      </c>
      <c r="L851">
        <v>0</v>
      </c>
      <c r="M851">
        <v>1.8102434000807771E-3</v>
      </c>
      <c r="N851">
        <v>0.18959328599838138</v>
      </c>
      <c r="O851">
        <v>2.4785323263211253E-2</v>
      </c>
      <c r="P851">
        <v>2.1217834787305431E-2</v>
      </c>
      <c r="Q851">
        <v>2.9498231203704804E-3</v>
      </c>
      <c r="R851">
        <v>1.7990470739546892E-3</v>
      </c>
      <c r="S851">
        <v>0.20180632969031886</v>
      </c>
      <c r="T851">
        <v>1.0572243618061896</v>
      </c>
      <c r="U851">
        <v>3.6897451298299626E-2</v>
      </c>
      <c r="V851">
        <v>0.24542134517909478</v>
      </c>
      <c r="W851">
        <v>0.11236512966717367</v>
      </c>
      <c r="X851">
        <v>2.0803062849470779E-2</v>
      </c>
      <c r="Y851">
        <v>4.896413079596121E-3</v>
      </c>
    </row>
    <row r="852" spans="1:25" x14ac:dyDescent="0.25">
      <c r="A852" s="881"/>
      <c r="B852" s="1131">
        <v>602</v>
      </c>
      <c r="C852" s="885">
        <v>1.0073947363776783</v>
      </c>
      <c r="D852" s="885">
        <v>1.0105322301526509</v>
      </c>
      <c r="E852" s="885">
        <v>1.0230544077317003</v>
      </c>
      <c r="F852" s="885">
        <v>1.0296993761801125</v>
      </c>
      <c r="G852" s="885">
        <v>0.96637818698272504</v>
      </c>
      <c r="H852" s="885">
        <v>0.97173268178473793</v>
      </c>
      <c r="I852" s="885">
        <v>1.0225824311232496</v>
      </c>
      <c r="K852">
        <v>1.9262496110585836</v>
      </c>
      <c r="L852">
        <v>0</v>
      </c>
      <c r="M852">
        <v>1.785376783042738E-3</v>
      </c>
      <c r="N852">
        <v>0.19321138489580258</v>
      </c>
      <c r="O852">
        <v>2.4835229891675518E-2</v>
      </c>
      <c r="P852">
        <v>2.1417118684285572E-2</v>
      </c>
      <c r="Q852">
        <v>2.9877329781093807E-3</v>
      </c>
      <c r="R852">
        <v>1.7744013687550329E-3</v>
      </c>
      <c r="S852">
        <v>0.20504871415572734</v>
      </c>
      <c r="T852">
        <v>1.0562649780841173</v>
      </c>
      <c r="U852">
        <v>3.7046362516356533E-2</v>
      </c>
      <c r="V852">
        <v>0.24548350406955841</v>
      </c>
      <c r="W852">
        <v>0.11369792631127935</v>
      </c>
      <c r="X852">
        <v>2.1438299291460388E-2</v>
      </c>
      <c r="Y852">
        <v>4.8293355944971925E-3</v>
      </c>
    </row>
    <row r="853" spans="1:25" x14ac:dyDescent="0.25">
      <c r="A853" s="881"/>
      <c r="B853" s="1131">
        <v>603</v>
      </c>
      <c r="C853" s="885">
        <v>0.96542867053683301</v>
      </c>
      <c r="D853" s="885">
        <v>1.0134514012921565</v>
      </c>
      <c r="E853" s="885">
        <v>0.97715964980638259</v>
      </c>
      <c r="F853" s="885">
        <v>0.97303559622166524</v>
      </c>
      <c r="G853" s="885">
        <v>1.0137179608548998</v>
      </c>
      <c r="H853" s="885">
        <v>0.97505971947065773</v>
      </c>
      <c r="I853" s="885">
        <v>0.97828756897386393</v>
      </c>
      <c r="K853">
        <v>1.9400342698692732</v>
      </c>
      <c r="L853">
        <v>0</v>
      </c>
      <c r="M853">
        <v>2.0561285306272743E-3</v>
      </c>
      <c r="N853">
        <v>0.19290877626589764</v>
      </c>
      <c r="O853">
        <v>2.5877873462196922E-2</v>
      </c>
      <c r="P853">
        <v>2.0846308775348883E-2</v>
      </c>
      <c r="Q853">
        <v>2.9734070629967575E-3</v>
      </c>
      <c r="R853">
        <v>2.0435293225688662E-3</v>
      </c>
      <c r="S853">
        <v>0.20476264536843131</v>
      </c>
      <c r="T853">
        <v>1.0604805263800665</v>
      </c>
      <c r="U853">
        <v>3.8656724976030309E-2</v>
      </c>
      <c r="V853">
        <v>0.25115301192049633</v>
      </c>
      <c r="W853">
        <v>0.11714123384216069</v>
      </c>
      <c r="X853">
        <v>1.9684547856930863E-2</v>
      </c>
      <c r="Y853">
        <v>5.561813166772317E-3</v>
      </c>
    </row>
    <row r="854" spans="1:25" x14ac:dyDescent="0.25">
      <c r="A854" s="881"/>
      <c r="B854" s="1131">
        <v>604</v>
      </c>
      <c r="C854" s="885">
        <v>1.003896541651224</v>
      </c>
      <c r="D854" s="885">
        <v>0.96466114586525598</v>
      </c>
      <c r="E854" s="885">
        <v>0.99742181501269234</v>
      </c>
      <c r="F854" s="885">
        <v>0.99646713363907002</v>
      </c>
      <c r="G854" s="885">
        <v>0.99225604869169837</v>
      </c>
      <c r="H854" s="885">
        <v>0.98518203687286421</v>
      </c>
      <c r="I854" s="885">
        <v>0.99879597739816373</v>
      </c>
      <c r="K854">
        <v>1.9433179425096245</v>
      </c>
      <c r="L854">
        <v>0</v>
      </c>
      <c r="M854">
        <v>1.9619428394795527E-3</v>
      </c>
      <c r="N854">
        <v>0.19607736816893515</v>
      </c>
      <c r="O854">
        <v>2.5502526963949279E-2</v>
      </c>
      <c r="P854">
        <v>2.1156992196333126E-2</v>
      </c>
      <c r="Q854">
        <v>2.9806825059448126E-3</v>
      </c>
      <c r="R854">
        <v>1.9500851026994222E-3</v>
      </c>
      <c r="S854">
        <v>0.20669105441370264</v>
      </c>
      <c r="T854">
        <v>1.0586092823543565</v>
      </c>
      <c r="U854">
        <v>3.717545489252496E-2</v>
      </c>
      <c r="V854">
        <v>0.25179552523168125</v>
      </c>
      <c r="W854">
        <v>0.11741140713599361</v>
      </c>
      <c r="X854">
        <v>2.0622017578816355E-2</v>
      </c>
      <c r="Y854">
        <v>5.307488804166492E-3</v>
      </c>
    </row>
    <row r="855" spans="1:25" x14ac:dyDescent="0.25">
      <c r="A855" s="881"/>
      <c r="B855" s="1131">
        <v>605</v>
      </c>
      <c r="C855" s="885">
        <v>0.99608565794347526</v>
      </c>
      <c r="D855" s="885">
        <v>0.98656508277751243</v>
      </c>
      <c r="E855" s="885">
        <v>1.0238276405630156</v>
      </c>
      <c r="F855" s="885">
        <v>0.99454925872408118</v>
      </c>
      <c r="G855" s="885">
        <v>1.0102636059398762</v>
      </c>
      <c r="H855" s="885">
        <v>0.98347890336399602</v>
      </c>
      <c r="I855" s="885">
        <v>1.0064410670009749</v>
      </c>
      <c r="K855">
        <v>1.9463429634027081</v>
      </c>
      <c r="L855">
        <v>0</v>
      </c>
      <c r="M855">
        <v>1.8462824873103922E-3</v>
      </c>
      <c r="N855">
        <v>0.20029975162113642</v>
      </c>
      <c r="O855">
        <v>2.5417467330489676E-2</v>
      </c>
      <c r="P855">
        <v>2.1532754287758506E-2</v>
      </c>
      <c r="Q855">
        <v>3.0550048148478399E-3</v>
      </c>
      <c r="R855">
        <v>1.8350868683977473E-3</v>
      </c>
      <c r="S855">
        <v>0.20757197578552097</v>
      </c>
      <c r="T855">
        <v>1.0561946585559159</v>
      </c>
      <c r="U855">
        <v>3.7466969133928371E-2</v>
      </c>
      <c r="V855">
        <v>0.2500635011063409</v>
      </c>
      <c r="W855">
        <v>0.11780783744687881</v>
      </c>
      <c r="X855">
        <v>2.1949737419245469E-2</v>
      </c>
      <c r="Y855">
        <v>4.9945015195550823E-3</v>
      </c>
    </row>
    <row r="856" spans="1:25" x14ac:dyDescent="0.25">
      <c r="A856" s="881"/>
      <c r="B856" s="1131">
        <v>606</v>
      </c>
      <c r="C856" s="885">
        <v>1.0258242178110666</v>
      </c>
      <c r="D856" s="885">
        <v>0.9994320246940952</v>
      </c>
      <c r="E856" s="885">
        <v>0.99540007310596201</v>
      </c>
      <c r="F856" s="885">
        <v>1.0303344049646703</v>
      </c>
      <c r="G856" s="885">
        <v>1.0167210561158992</v>
      </c>
      <c r="H856" s="885">
        <v>1.0262210251517245</v>
      </c>
      <c r="I856" s="885">
        <v>1.0337446491101057</v>
      </c>
      <c r="K856">
        <v>1.9373322491793439</v>
      </c>
      <c r="L856">
        <v>0</v>
      </c>
      <c r="M856">
        <v>1.9735574161983552E-3</v>
      </c>
      <c r="N856">
        <v>0.1960459256840342</v>
      </c>
      <c r="O856">
        <v>2.4522668078354303E-2</v>
      </c>
      <c r="P856">
        <v>2.1062107982006643E-2</v>
      </c>
      <c r="Q856">
        <v>2.8674546831483471E-3</v>
      </c>
      <c r="R856">
        <v>1.9620781261454998E-3</v>
      </c>
      <c r="S856">
        <v>0.21015420154796</v>
      </c>
      <c r="T856">
        <v>1.0587952767733433</v>
      </c>
      <c r="U856">
        <v>3.6380804774283945E-2</v>
      </c>
      <c r="V856">
        <v>0.24431770076249404</v>
      </c>
      <c r="W856">
        <v>0.11755549601697358</v>
      </c>
      <c r="X856">
        <v>2.0301962306307767E-2</v>
      </c>
      <c r="Y856">
        <v>5.3401298604875986E-3</v>
      </c>
    </row>
    <row r="857" spans="1:25" x14ac:dyDescent="0.25">
      <c r="A857" s="881"/>
      <c r="B857" s="1131">
        <v>607</v>
      </c>
      <c r="C857" s="885">
        <v>1.0106408519612584</v>
      </c>
      <c r="D857" s="885">
        <v>1.0109677607249763</v>
      </c>
      <c r="E857" s="885">
        <v>1.0233654872741733</v>
      </c>
      <c r="F857" s="885">
        <v>1.0240081021191016</v>
      </c>
      <c r="G857" s="885">
        <v>1.0263733069768273</v>
      </c>
      <c r="H857" s="885">
        <v>0.99865840560460317</v>
      </c>
      <c r="I857" s="885">
        <v>0.98091127232317943</v>
      </c>
      <c r="K857">
        <v>1.9268592581061059</v>
      </c>
      <c r="L857">
        <v>0</v>
      </c>
      <c r="M857">
        <v>1.8273634258166383E-3</v>
      </c>
      <c r="N857">
        <v>0.1979792582835162</v>
      </c>
      <c r="O857">
        <v>2.4750188909799908E-2</v>
      </c>
      <c r="P857">
        <v>2.1324224100586028E-2</v>
      </c>
      <c r="Q857">
        <v>2.978510741719714E-3</v>
      </c>
      <c r="R857">
        <v>1.8164324553166453E-3</v>
      </c>
      <c r="S857">
        <v>0.19865284879987827</v>
      </c>
      <c r="T857">
        <v>1.0562366850009561</v>
      </c>
      <c r="U857">
        <v>3.6927371903176832E-2</v>
      </c>
      <c r="V857">
        <v>0.24498558858724617</v>
      </c>
      <c r="W857">
        <v>0.11647924944296222</v>
      </c>
      <c r="X857">
        <v>2.1612532950190624E-2</v>
      </c>
      <c r="Y857">
        <v>4.9437303565739409E-3</v>
      </c>
    </row>
    <row r="858" spans="1:25" x14ac:dyDescent="0.25">
      <c r="A858" s="881"/>
      <c r="B858" s="1131">
        <v>608</v>
      </c>
      <c r="C858" s="885">
        <v>0.98961487080296739</v>
      </c>
      <c r="D858" s="885">
        <v>0.98235901631024436</v>
      </c>
      <c r="E858" s="885">
        <v>1.0404910527767166</v>
      </c>
      <c r="F858" s="885">
        <v>1.0296216878158251</v>
      </c>
      <c r="G858" s="885">
        <v>1.0235826895083175</v>
      </c>
      <c r="H858" s="885">
        <v>0.98008023940822619</v>
      </c>
      <c r="I858" s="885">
        <v>0.98318752787710439</v>
      </c>
      <c r="K858">
        <v>1.9501083914172981</v>
      </c>
      <c r="L858">
        <v>0</v>
      </c>
      <c r="M858">
        <v>1.7915560060600352E-3</v>
      </c>
      <c r="N858">
        <v>0.20467524865522513</v>
      </c>
      <c r="O858">
        <v>2.5637944348441501E-2</v>
      </c>
      <c r="P858">
        <v>2.1749629317334544E-2</v>
      </c>
      <c r="Q858">
        <v>3.1316928610593507E-3</v>
      </c>
      <c r="R858">
        <v>1.7806578180020933E-3</v>
      </c>
      <c r="S858">
        <v>0.20415861978142086</v>
      </c>
      <c r="T858">
        <v>1.0546849377178384</v>
      </c>
      <c r="U858">
        <v>3.7711954116691274E-2</v>
      </c>
      <c r="V858">
        <v>0.25154353476709529</v>
      </c>
      <c r="W858">
        <v>0.1190465443061731</v>
      </c>
      <c r="X858">
        <v>2.293282014716622E-2</v>
      </c>
      <c r="Y858">
        <v>4.8463635869097519E-3</v>
      </c>
    </row>
    <row r="859" spans="1:25" x14ac:dyDescent="0.25">
      <c r="A859" s="881"/>
      <c r="B859" s="1131">
        <v>609</v>
      </c>
      <c r="C859" s="885">
        <v>0.97347991807499423</v>
      </c>
      <c r="D859" s="885">
        <v>0.98577777654092136</v>
      </c>
      <c r="E859" s="885">
        <v>1.0133228017839253</v>
      </c>
      <c r="F859" s="885">
        <v>1.0168094483780941</v>
      </c>
      <c r="G859" s="885">
        <v>0.98917409023164671</v>
      </c>
      <c r="H859" s="885">
        <v>1.0344761659387551</v>
      </c>
      <c r="I859" s="885">
        <v>0.99407160835255959</v>
      </c>
      <c r="K859">
        <v>1.9824700335499428</v>
      </c>
      <c r="L859">
        <v>0</v>
      </c>
      <c r="M859">
        <v>2.0324975590094055E-3</v>
      </c>
      <c r="N859">
        <v>0.21348582415630679</v>
      </c>
      <c r="O859">
        <v>2.6018000478030229E-2</v>
      </c>
      <c r="P859">
        <v>2.1544460741379241E-2</v>
      </c>
      <c r="Q859">
        <v>3.0944978024276676E-3</v>
      </c>
      <c r="R859">
        <v>2.02078099213372E-3</v>
      </c>
      <c r="S859">
        <v>0.21516634383696714</v>
      </c>
      <c r="T859">
        <v>1.0571519904791382</v>
      </c>
      <c r="U859">
        <v>3.8337011280844713E-2</v>
      </c>
      <c r="V859">
        <v>0.25349148451749398</v>
      </c>
      <c r="W859">
        <v>0.1264574270664291</v>
      </c>
      <c r="X859">
        <v>2.2234810047489322E-2</v>
      </c>
      <c r="Y859">
        <v>5.499899710312962E-3</v>
      </c>
    </row>
    <row r="860" spans="1:25" x14ac:dyDescent="0.25">
      <c r="A860" s="881"/>
      <c r="B860" s="1131">
        <v>610</v>
      </c>
      <c r="C860" s="885">
        <v>1.0194382076520647</v>
      </c>
      <c r="D860" s="885">
        <v>1.0037553233567238</v>
      </c>
      <c r="E860" s="885">
        <v>1.0255616803823178</v>
      </c>
      <c r="F860" s="885">
        <v>1.0301461434201313</v>
      </c>
      <c r="G860" s="885">
        <v>1.0129500989196598</v>
      </c>
      <c r="H860" s="885">
        <v>1.0456792512698261</v>
      </c>
      <c r="I860" s="885">
        <v>0.97823687039669249</v>
      </c>
      <c r="K860">
        <v>1.9432946177255854</v>
      </c>
      <c r="L860">
        <v>0</v>
      </c>
      <c r="M860">
        <v>1.8947965811201509E-3</v>
      </c>
      <c r="N860">
        <v>0.20674646334967714</v>
      </c>
      <c r="O860">
        <v>2.4623628663804104E-2</v>
      </c>
      <c r="P860">
        <v>2.1387720863243656E-2</v>
      </c>
      <c r="Q860">
        <v>2.9682639986079538E-3</v>
      </c>
      <c r="R860">
        <v>1.883977258208151E-3</v>
      </c>
      <c r="S860">
        <v>0.2016052023006154</v>
      </c>
      <c r="T860">
        <v>1.0560370461258815</v>
      </c>
      <c r="U860">
        <v>3.6608703029555635E-2</v>
      </c>
      <c r="V860">
        <v>0.24465617778538437</v>
      </c>
      <c r="W860">
        <v>0.12145778321897203</v>
      </c>
      <c r="X860">
        <v>2.2086882668846879E-2</v>
      </c>
      <c r="Y860">
        <v>5.1275650439063297E-3</v>
      </c>
    </row>
    <row r="861" spans="1:25" x14ac:dyDescent="0.25">
      <c r="A861" s="881"/>
      <c r="B861" s="1131">
        <v>611</v>
      </c>
      <c r="C861" s="885">
        <v>1.0089290150860899</v>
      </c>
      <c r="D861" s="885">
        <v>1.0081068351130844</v>
      </c>
      <c r="E861" s="885">
        <v>0.98421235936981577</v>
      </c>
      <c r="F861" s="885">
        <v>1.031249657442731</v>
      </c>
      <c r="G861" s="885">
        <v>1.0015402825173927</v>
      </c>
      <c r="H861" s="885">
        <v>1.0069325943042438</v>
      </c>
      <c r="I861" s="885">
        <v>1.0054471233030298</v>
      </c>
      <c r="K861">
        <v>1.9300275144167827</v>
      </c>
      <c r="L861">
        <v>0</v>
      </c>
      <c r="M861">
        <v>2.0071610813221152E-3</v>
      </c>
      <c r="N861">
        <v>0.19253623985244181</v>
      </c>
      <c r="O861">
        <v>2.4826938422191743E-2</v>
      </c>
      <c r="P861">
        <v>2.0855699121332269E-2</v>
      </c>
      <c r="Q861">
        <v>2.8721136140616977E-3</v>
      </c>
      <c r="R861">
        <v>1.9952555808889598E-3</v>
      </c>
      <c r="S861">
        <v>0.20506357403749392</v>
      </c>
      <c r="T861">
        <v>1.059827387964543</v>
      </c>
      <c r="U861">
        <v>3.6990026099836606E-2</v>
      </c>
      <c r="V861">
        <v>0.2455670886516168</v>
      </c>
      <c r="W861">
        <v>0.1163445277682964</v>
      </c>
      <c r="X861">
        <v>1.9725396430046796E-2</v>
      </c>
      <c r="Y861">
        <v>5.4304279553542799E-3</v>
      </c>
    </row>
    <row r="862" spans="1:25" x14ac:dyDescent="0.25">
      <c r="A862" s="881"/>
      <c r="B862" s="1131">
        <v>612</v>
      </c>
      <c r="C862" s="885">
        <v>1.017307685044494</v>
      </c>
      <c r="D862" s="885">
        <v>1.0205951375541016</v>
      </c>
      <c r="E862" s="885">
        <v>1.037345165013525</v>
      </c>
      <c r="F862" s="885">
        <v>1.0211987317270328</v>
      </c>
      <c r="G862" s="885">
        <v>0.99042633837780614</v>
      </c>
      <c r="H862" s="885">
        <v>1.0032767825560223</v>
      </c>
      <c r="I862" s="885">
        <v>1.0005658077705599</v>
      </c>
      <c r="K862">
        <v>1.9270842972368536</v>
      </c>
      <c r="L862">
        <v>0</v>
      </c>
      <c r="M862">
        <v>1.7623707586106926E-3</v>
      </c>
      <c r="N862">
        <v>0.19941071042925312</v>
      </c>
      <c r="O862">
        <v>2.4473154941462915E-2</v>
      </c>
      <c r="P862">
        <v>2.1523275810817689E-2</v>
      </c>
      <c r="Q862">
        <v>2.988113548126778E-3</v>
      </c>
      <c r="R862">
        <v>1.7518702449677097E-3</v>
      </c>
      <c r="S862">
        <v>0.20088846291458062</v>
      </c>
      <c r="T862">
        <v>1.0549691252011411</v>
      </c>
      <c r="U862">
        <v>3.6685371741082107E-2</v>
      </c>
      <c r="V862">
        <v>0.24293190690031088</v>
      </c>
      <c r="W862">
        <v>0.11622775753892024</v>
      </c>
      <c r="X862">
        <v>2.2228905421867826E-2</v>
      </c>
      <c r="Y862">
        <v>4.7680133029310611E-3</v>
      </c>
    </row>
    <row r="863" spans="1:25" x14ac:dyDescent="0.25">
      <c r="A863" s="881"/>
      <c r="B863" s="1131">
        <v>613</v>
      </c>
      <c r="C863" s="885">
        <v>0.98451985135004094</v>
      </c>
      <c r="D863" s="885">
        <v>1.0381137389750721</v>
      </c>
      <c r="E863" s="885">
        <v>1.0079272018742766</v>
      </c>
      <c r="F863" s="885">
        <v>0.99864740757137016</v>
      </c>
      <c r="G863" s="885">
        <v>0.98602785138521587</v>
      </c>
      <c r="H863" s="885">
        <v>1.0083520704962943</v>
      </c>
      <c r="I863" s="885">
        <v>1.0053564713492504</v>
      </c>
      <c r="K863">
        <v>1.9420818212329647</v>
      </c>
      <c r="L863">
        <v>0</v>
      </c>
      <c r="M863">
        <v>1.9314062494430366E-3</v>
      </c>
      <c r="N863">
        <v>0.19945902865602411</v>
      </c>
      <c r="O863">
        <v>2.5076889141825598E-2</v>
      </c>
      <c r="P863">
        <v>2.1242690905967331E-2</v>
      </c>
      <c r="Q863">
        <v>2.9771896649384505E-3</v>
      </c>
      <c r="R863">
        <v>1.9199431735181564E-3</v>
      </c>
      <c r="S863">
        <v>0.20747088074253375</v>
      </c>
      <c r="T863">
        <v>1.0576453804686032</v>
      </c>
      <c r="U863">
        <v>3.7907118429090808E-2</v>
      </c>
      <c r="V863">
        <v>0.24538922650254519</v>
      </c>
      <c r="W863">
        <v>0.1185824813544635</v>
      </c>
      <c r="X863">
        <v>2.111694603367744E-2</v>
      </c>
      <c r="Y863">
        <v>5.2254524092193687E-3</v>
      </c>
    </row>
    <row r="864" spans="1:25" x14ac:dyDescent="0.25">
      <c r="A864" s="881"/>
      <c r="B864" s="1131">
        <v>614</v>
      </c>
      <c r="C864" s="885">
        <v>1.0089844579584921</v>
      </c>
      <c r="D864" s="885">
        <v>0.96065273218682379</v>
      </c>
      <c r="E864" s="885">
        <v>1.0186627550102234</v>
      </c>
      <c r="F864" s="885">
        <v>1.0350166598901838</v>
      </c>
      <c r="G864" s="885">
        <v>1.0140869849464917</v>
      </c>
      <c r="H864" s="885">
        <v>1.0483842844567017</v>
      </c>
      <c r="I864" s="885">
        <v>0.98635773347689881</v>
      </c>
      <c r="K864">
        <v>1.9707676096159283</v>
      </c>
      <c r="L864">
        <v>0</v>
      </c>
      <c r="M864">
        <v>1.9904126265117604E-3</v>
      </c>
      <c r="N864">
        <v>0.21258200773935199</v>
      </c>
      <c r="O864">
        <v>2.5426556898781073E-2</v>
      </c>
      <c r="P864">
        <v>2.1504113250294395E-2</v>
      </c>
      <c r="Q864">
        <v>3.0347535025484827E-3</v>
      </c>
      <c r="R864">
        <v>1.9791113594031231E-3</v>
      </c>
      <c r="S864">
        <v>0.20985667349267814</v>
      </c>
      <c r="T864">
        <v>1.0566648083436445</v>
      </c>
      <c r="U864">
        <v>3.6987993528094759E-2</v>
      </c>
      <c r="V864">
        <v>0.25159253134266868</v>
      </c>
      <c r="W864">
        <v>0.12546787804726398</v>
      </c>
      <c r="X864">
        <v>2.2275106031298942E-2</v>
      </c>
      <c r="Y864">
        <v>5.3864887064110139E-3</v>
      </c>
    </row>
    <row r="865" spans="1:25" x14ac:dyDescent="0.25">
      <c r="A865" s="881"/>
      <c r="B865" s="1131">
        <v>615</v>
      </c>
      <c r="C865" s="885">
        <v>1.0195142857455681</v>
      </c>
      <c r="D865" s="885">
        <v>1.03001063107741</v>
      </c>
      <c r="E865" s="885">
        <v>1.0177045960537132</v>
      </c>
      <c r="F865" s="885">
        <v>1.0263374724871219</v>
      </c>
      <c r="G865" s="885">
        <v>0.9754905488850929</v>
      </c>
      <c r="H865" s="885">
        <v>1.0156632777371835</v>
      </c>
      <c r="I865" s="885">
        <v>1.0050534672817482</v>
      </c>
      <c r="K865">
        <v>1.9241177803517404</v>
      </c>
      <c r="L865">
        <v>0</v>
      </c>
      <c r="M865">
        <v>1.8473867672937556E-3</v>
      </c>
      <c r="N865">
        <v>0.19667810795011656</v>
      </c>
      <c r="O865">
        <v>2.4309813680614942E-2</v>
      </c>
      <c r="P865">
        <v>2.1233551707044829E-2</v>
      </c>
      <c r="Q865">
        <v>2.91285495214408E-3</v>
      </c>
      <c r="R865">
        <v>1.8365071043373196E-3</v>
      </c>
      <c r="S865">
        <v>0.20172647053704093</v>
      </c>
      <c r="T865">
        <v>1.0567521424283997</v>
      </c>
      <c r="U865">
        <v>3.6605971218563835E-2</v>
      </c>
      <c r="V865">
        <v>0.24154457733605686</v>
      </c>
      <c r="W865">
        <v>0.11615641926795355</v>
      </c>
      <c r="X865">
        <v>2.121038400315885E-2</v>
      </c>
      <c r="Y865">
        <v>4.9983669336019455E-3</v>
      </c>
    </row>
    <row r="866" spans="1:25" x14ac:dyDescent="0.25">
      <c r="A866" s="881"/>
      <c r="B866" s="1131">
        <v>616</v>
      </c>
      <c r="C866" s="885">
        <v>0.99613877511064131</v>
      </c>
      <c r="D866" s="885">
        <v>1.0052553480395932</v>
      </c>
      <c r="E866" s="885">
        <v>0.9841628890075198</v>
      </c>
      <c r="F866" s="885">
        <v>0.99813143490273926</v>
      </c>
      <c r="G866" s="885">
        <v>0.96579331828293469</v>
      </c>
      <c r="H866" s="885">
        <v>1.046947400877873</v>
      </c>
      <c r="I866" s="885">
        <v>0.99911824360294155</v>
      </c>
      <c r="K866">
        <v>1.9565135723956975</v>
      </c>
      <c r="L866">
        <v>0</v>
      </c>
      <c r="M866">
        <v>2.1169004890502856E-3</v>
      </c>
      <c r="N866">
        <v>0.20307819874535538</v>
      </c>
      <c r="O866">
        <v>2.5180960751227482E-2</v>
      </c>
      <c r="P866">
        <v>2.0966315026764635E-2</v>
      </c>
      <c r="Q866">
        <v>2.9123492399218786E-3</v>
      </c>
      <c r="R866">
        <v>2.1048263433485984E-3</v>
      </c>
      <c r="S866">
        <v>0.21070863126485048</v>
      </c>
      <c r="T866">
        <v>1.0598319626023869</v>
      </c>
      <c r="U866">
        <v>3.74649712805043E-2</v>
      </c>
      <c r="V866">
        <v>0.24770229290108195</v>
      </c>
      <c r="W866">
        <v>0.12271895322479733</v>
      </c>
      <c r="X866">
        <v>2.0232368053729532E-2</v>
      </c>
      <c r="Y866">
        <v>5.7286434507772786E-3</v>
      </c>
    </row>
    <row r="867" spans="1:25" x14ac:dyDescent="0.25">
      <c r="A867" s="881"/>
      <c r="B867" s="1131">
        <v>617</v>
      </c>
      <c r="C867" s="885">
        <v>1.0021104291190686</v>
      </c>
      <c r="D867" s="885">
        <v>1.0227165643632932</v>
      </c>
      <c r="E867" s="885">
        <v>1.0278820101944575</v>
      </c>
      <c r="F867" s="885">
        <v>0.99211678002635606</v>
      </c>
      <c r="G867" s="885">
        <v>1.0417562842096055</v>
      </c>
      <c r="H867" s="885">
        <v>0.9996794638129779</v>
      </c>
      <c r="I867" s="885">
        <v>1.0066616231873833</v>
      </c>
      <c r="K867">
        <v>1.9352868745694891</v>
      </c>
      <c r="L867">
        <v>0</v>
      </c>
      <c r="M867">
        <v>1.8168833315935246E-3</v>
      </c>
      <c r="N867">
        <v>0.19962424442070206</v>
      </c>
      <c r="O867">
        <v>2.4818849191006003E-2</v>
      </c>
      <c r="P867">
        <v>2.1473173905872795E-2</v>
      </c>
      <c r="Q867">
        <v>3.0025727233900603E-3</v>
      </c>
      <c r="R867">
        <v>1.8060175192628838E-3</v>
      </c>
      <c r="S867">
        <v>0.2046208649411389</v>
      </c>
      <c r="T867">
        <v>1.0558263279752498</v>
      </c>
      <c r="U867">
        <v>3.7241714601976797E-2</v>
      </c>
      <c r="V867">
        <v>0.24475386412878825</v>
      </c>
      <c r="W867">
        <v>0.11709105833917299</v>
      </c>
      <c r="X867">
        <v>2.1929685820604245E-2</v>
      </c>
      <c r="Y867">
        <v>4.9153843339183505E-3</v>
      </c>
    </row>
    <row r="868" spans="1:25" x14ac:dyDescent="0.25">
      <c r="A868" s="881"/>
      <c r="B868" s="1131">
        <v>618</v>
      </c>
      <c r="C868" s="885">
        <v>0.98391588560186349</v>
      </c>
      <c r="D868" s="885">
        <v>1.0258980826128543</v>
      </c>
      <c r="E868" s="885">
        <v>1.0390358965912356</v>
      </c>
      <c r="F868" s="885">
        <v>1.0151712782309026</v>
      </c>
      <c r="G868" s="885">
        <v>0.98444512501114667</v>
      </c>
      <c r="H868" s="885">
        <v>0.98072712503670811</v>
      </c>
      <c r="I868" s="885">
        <v>1.0039634241205033</v>
      </c>
      <c r="K868">
        <v>1.9412485223832259</v>
      </c>
      <c r="L868">
        <v>0</v>
      </c>
      <c r="M868">
        <v>1.7703297857049167E-3</v>
      </c>
      <c r="N868">
        <v>0.20133651313599654</v>
      </c>
      <c r="O868">
        <v>2.523909339819113E-2</v>
      </c>
      <c r="P868">
        <v>2.1687397872962269E-2</v>
      </c>
      <c r="Q868">
        <v>3.0878694414253915E-3</v>
      </c>
      <c r="R868">
        <v>1.7595354875846424E-3</v>
      </c>
      <c r="S868">
        <v>0.20561850292568071</v>
      </c>
      <c r="T868">
        <v>1.0548163427491348</v>
      </c>
      <c r="U868">
        <v>3.793038728924264E-2</v>
      </c>
      <c r="V868">
        <v>0.24692544761006499</v>
      </c>
      <c r="W868">
        <v>0.11721809277068913</v>
      </c>
      <c r="X868">
        <v>2.2610793921470456E-2</v>
      </c>
      <c r="Y868">
        <v>4.7888755664878E-3</v>
      </c>
    </row>
    <row r="869" spans="1:25" x14ac:dyDescent="0.25">
      <c r="A869" s="881"/>
      <c r="B869" s="1131">
        <v>619</v>
      </c>
      <c r="C869" s="885">
        <v>0.98305494331550203</v>
      </c>
      <c r="D869" s="885">
        <v>0.96010590582320077</v>
      </c>
      <c r="E869" s="885">
        <v>0.99376873027260493</v>
      </c>
      <c r="F869" s="885">
        <v>1.0256594749604233</v>
      </c>
      <c r="G869" s="885">
        <v>0.97788494422571048</v>
      </c>
      <c r="H869" s="885">
        <v>1.0002709634149327</v>
      </c>
      <c r="I869" s="885">
        <v>1.0325900807751913</v>
      </c>
      <c r="K869">
        <v>1.9746530108005984</v>
      </c>
      <c r="L869">
        <v>0</v>
      </c>
      <c r="M869">
        <v>2.0547528033223851E-3</v>
      </c>
      <c r="N869">
        <v>0.20305045530619328</v>
      </c>
      <c r="O869">
        <v>2.6104617234403542E-2</v>
      </c>
      <c r="P869">
        <v>2.1349811263294566E-2</v>
      </c>
      <c r="Q869">
        <v>3.0388235350556E-3</v>
      </c>
      <c r="R869">
        <v>2.042525547402101E-3</v>
      </c>
      <c r="S869">
        <v>0.22032844800685936</v>
      </c>
      <c r="T869">
        <v>1.0589454715724353</v>
      </c>
      <c r="U869">
        <v>3.7963606057509348E-2</v>
      </c>
      <c r="V869">
        <v>0.25548495433018253</v>
      </c>
      <c r="W869">
        <v>0.12189213842334004</v>
      </c>
      <c r="X869">
        <v>2.0947831105581245E-2</v>
      </c>
      <c r="Y869">
        <v>5.5590812216627762E-3</v>
      </c>
    </row>
    <row r="870" spans="1:25" x14ac:dyDescent="0.25">
      <c r="A870" s="881"/>
      <c r="B870" s="1131">
        <v>620</v>
      </c>
      <c r="C870" s="885">
        <v>1.0114031163885202</v>
      </c>
      <c r="D870" s="885">
        <v>0.97556111700611226</v>
      </c>
      <c r="E870" s="885">
        <v>0.97135272663360217</v>
      </c>
      <c r="F870" s="885">
        <v>1.024700512628677</v>
      </c>
      <c r="G870" s="885">
        <v>0.98582186960796681</v>
      </c>
      <c r="H870" s="885">
        <v>0.98225919460995637</v>
      </c>
      <c r="I870" s="885">
        <v>0.97281047789197561</v>
      </c>
      <c r="K870">
        <v>1.9214517620015614</v>
      </c>
      <c r="L870">
        <v>0</v>
      </c>
      <c r="M870">
        <v>2.0394892761805171E-3</v>
      </c>
      <c r="N870">
        <v>0.18792685969370404</v>
      </c>
      <c r="O870">
        <v>2.5172265286087809E-2</v>
      </c>
      <c r="P870">
        <v>2.0629341931709101E-2</v>
      </c>
      <c r="Q870">
        <v>2.8676101141236025E-3</v>
      </c>
      <c r="R870">
        <v>2.0271164209945702E-3</v>
      </c>
      <c r="S870">
        <v>0.19849942825912104</v>
      </c>
      <c r="T870">
        <v>1.061019741974782</v>
      </c>
      <c r="U870">
        <v>3.6899540842012454E-2</v>
      </c>
      <c r="V870">
        <v>0.24929790108610925</v>
      </c>
      <c r="W870">
        <v>0.11457864324830166</v>
      </c>
      <c r="X870">
        <v>1.9055659761597545E-2</v>
      </c>
      <c r="Y870">
        <v>5.5171426591986306E-3</v>
      </c>
    </row>
    <row r="871" spans="1:25" x14ac:dyDescent="0.25">
      <c r="A871" s="881"/>
      <c r="B871" s="1131">
        <v>621</v>
      </c>
      <c r="C871" s="885">
        <v>1.0074044332776715</v>
      </c>
      <c r="D871" s="885">
        <v>0.99053978045705848</v>
      </c>
      <c r="E871" s="885">
        <v>0.99925911408359946</v>
      </c>
      <c r="F871" s="885">
        <v>0.99182441186143477</v>
      </c>
      <c r="G871" s="885">
        <v>0.97391850500361854</v>
      </c>
      <c r="H871" s="885">
        <v>1.0051574677748516</v>
      </c>
      <c r="I871" s="885">
        <v>1.028264297917961</v>
      </c>
      <c r="K871">
        <v>1.9452076705779715</v>
      </c>
      <c r="L871">
        <v>0</v>
      </c>
      <c r="M871">
        <v>1.9611237829685181E-3</v>
      </c>
      <c r="N871">
        <v>0.19714081748641302</v>
      </c>
      <c r="O871">
        <v>2.5081839244013807E-2</v>
      </c>
      <c r="P871">
        <v>2.1195878367133117E-2</v>
      </c>
      <c r="Q871">
        <v>2.942416763775929E-3</v>
      </c>
      <c r="R871">
        <v>1.9494850012659918E-3</v>
      </c>
      <c r="S871">
        <v>0.21155286295930167</v>
      </c>
      <c r="T871">
        <v>1.0584403941685649</v>
      </c>
      <c r="U871">
        <v>3.7046005921864175E-2</v>
      </c>
      <c r="V871">
        <v>0.24795142228536293</v>
      </c>
      <c r="W871">
        <v>0.11789971852252772</v>
      </c>
      <c r="X871">
        <v>2.0662098114829209E-2</v>
      </c>
      <c r="Y871">
        <v>5.3058555258880778E-3</v>
      </c>
    </row>
    <row r="872" spans="1:25" x14ac:dyDescent="0.25">
      <c r="A872" s="881"/>
      <c r="B872" s="1131">
        <v>622</v>
      </c>
      <c r="C872" s="885">
        <v>0.99767487475029515</v>
      </c>
      <c r="D872" s="885">
        <v>1.0088769630405257</v>
      </c>
      <c r="E872" s="885">
        <v>0.97545275030436984</v>
      </c>
      <c r="F872" s="885">
        <v>1.0122491340345605</v>
      </c>
      <c r="G872" s="885">
        <v>0.98774639705373557</v>
      </c>
      <c r="H872" s="885">
        <v>1.0090587219064857</v>
      </c>
      <c r="I872" s="885">
        <v>1.0083744675206263</v>
      </c>
      <c r="K872">
        <v>1.9378658064304926</v>
      </c>
      <c r="L872">
        <v>0</v>
      </c>
      <c r="M872">
        <v>2.071057548890253E-3</v>
      </c>
      <c r="N872">
        <v>0.19331902560952244</v>
      </c>
      <c r="O872">
        <v>2.5097517935998483E-2</v>
      </c>
      <c r="P872">
        <v>2.0794457383451266E-2</v>
      </c>
      <c r="Q872">
        <v>2.8778308095974989E-3</v>
      </c>
      <c r="R872">
        <v>2.058798283435883E-3</v>
      </c>
      <c r="S872">
        <v>0.20812423671968197</v>
      </c>
      <c r="T872">
        <v>1.0606388890486056</v>
      </c>
      <c r="U872">
        <v>3.7407287228975961E-2</v>
      </c>
      <c r="V872">
        <v>0.247036129376764</v>
      </c>
      <c r="W872">
        <v>0.11752983347594288</v>
      </c>
      <c r="X872">
        <v>1.9449487862565708E-2</v>
      </c>
      <c r="Y872">
        <v>5.6033702448407396E-3</v>
      </c>
    </row>
    <row r="873" spans="1:25" x14ac:dyDescent="0.25">
      <c r="A873" s="881"/>
      <c r="B873" s="1131">
        <v>623</v>
      </c>
      <c r="C873" s="885">
        <v>1.0068328313623782</v>
      </c>
      <c r="D873" s="885">
        <v>0.99314801477472203</v>
      </c>
      <c r="E873" s="885">
        <v>1.0176614036170506</v>
      </c>
      <c r="F873" s="885">
        <v>0.99341241992118856</v>
      </c>
      <c r="G873" s="885">
        <v>1.0002310994958279</v>
      </c>
      <c r="H873" s="885">
        <v>1.0163700463101584</v>
      </c>
      <c r="I873" s="885">
        <v>0.99228097324059239</v>
      </c>
      <c r="K873">
        <v>1.9456776257066624</v>
      </c>
      <c r="L873">
        <v>0</v>
      </c>
      <c r="M873">
        <v>1.906124555646169E-3</v>
      </c>
      <c r="N873">
        <v>0.20290812059842242</v>
      </c>
      <c r="O873">
        <v>2.5063396189476578E-2</v>
      </c>
      <c r="P873">
        <v>2.1371638613542077E-2</v>
      </c>
      <c r="Q873">
        <v>2.9954398099151219E-3</v>
      </c>
      <c r="R873">
        <v>1.8949349324470376E-3</v>
      </c>
      <c r="S873">
        <v>0.20514096347831837</v>
      </c>
      <c r="T873">
        <v>1.0567560801693197</v>
      </c>
      <c r="U873">
        <v>3.7067037782645168E-2</v>
      </c>
      <c r="V873">
        <v>0.24770037670222869</v>
      </c>
      <c r="W873">
        <v>0.11983931012670429</v>
      </c>
      <c r="X873">
        <v>2.1689063638298749E-2</v>
      </c>
      <c r="Y873">
        <v>5.1573882209882379E-3</v>
      </c>
    </row>
    <row r="874" spans="1:25" x14ac:dyDescent="0.25">
      <c r="A874" s="881"/>
      <c r="B874" s="1131">
        <v>624</v>
      </c>
      <c r="C874" s="885">
        <v>1.011645963890782</v>
      </c>
      <c r="D874" s="885">
        <v>0.99120574897180369</v>
      </c>
      <c r="E874" s="885">
        <v>1.0036514659482136</v>
      </c>
      <c r="F874" s="885">
        <v>1.0088349995515711</v>
      </c>
      <c r="G874" s="885">
        <v>0.975517612074563</v>
      </c>
      <c r="H874" s="885">
        <v>1.0301416652017985</v>
      </c>
      <c r="I874" s="885">
        <v>0.99701150547121564</v>
      </c>
      <c r="K874">
        <v>1.9468732754060185</v>
      </c>
      <c r="L874">
        <v>0</v>
      </c>
      <c r="M874">
        <v>1.9823507118195325E-3</v>
      </c>
      <c r="N874">
        <v>0.20204533823699272</v>
      </c>
      <c r="O874">
        <v>2.4968360015855003E-2</v>
      </c>
      <c r="P874">
        <v>2.1182104687358455E-2</v>
      </c>
      <c r="Q874">
        <v>2.9421930482607349E-3</v>
      </c>
      <c r="R874">
        <v>1.9708707494139766E-3</v>
      </c>
      <c r="S874">
        <v>0.20670258122358234</v>
      </c>
      <c r="T874">
        <v>1.058037173414089</v>
      </c>
      <c r="U874">
        <v>3.6890683038346084E-2</v>
      </c>
      <c r="V874">
        <v>0.24727488964534902</v>
      </c>
      <c r="W874">
        <v>0.12047061680814283</v>
      </c>
      <c r="X874">
        <v>2.100675476790885E-2</v>
      </c>
      <c r="Y874">
        <v>5.364060482536911E-3</v>
      </c>
    </row>
    <row r="875" spans="1:25" x14ac:dyDescent="0.25">
      <c r="A875" s="881"/>
      <c r="B875" s="1131">
        <v>625</v>
      </c>
      <c r="C875" s="885">
        <v>0.98598235887804142</v>
      </c>
      <c r="D875" s="885">
        <v>0.98824835144441736</v>
      </c>
      <c r="E875" s="885">
        <v>1.0187263837655827</v>
      </c>
      <c r="F875" s="885">
        <v>0.99917418000721936</v>
      </c>
      <c r="G875" s="885">
        <v>1.0177187903239</v>
      </c>
      <c r="H875" s="885">
        <v>1.0209876403890945</v>
      </c>
      <c r="I875" s="885">
        <v>0.97805183895101833</v>
      </c>
      <c r="K875">
        <v>1.9630286847739771</v>
      </c>
      <c r="L875">
        <v>0</v>
      </c>
      <c r="M875">
        <v>1.9556676624139561E-3</v>
      </c>
      <c r="N875">
        <v>0.20887799126367934</v>
      </c>
      <c r="O875">
        <v>2.5656221842292895E-2</v>
      </c>
      <c r="P875">
        <v>2.1479235099747428E-2</v>
      </c>
      <c r="Q875">
        <v>3.0684800086292646E-3</v>
      </c>
      <c r="R875">
        <v>1.9442430581847344E-3</v>
      </c>
      <c r="S875">
        <v>0.20741168076283117</v>
      </c>
      <c r="T875">
        <v>1.0566590099928654</v>
      </c>
      <c r="U875">
        <v>3.7850890804358842E-2</v>
      </c>
      <c r="V875">
        <v>0.25131004326672096</v>
      </c>
      <c r="W875">
        <v>0.12327643525023942</v>
      </c>
      <c r="X875">
        <v>2.2158532402014562E-2</v>
      </c>
      <c r="Y875">
        <v>5.2915886848269676E-3</v>
      </c>
    </row>
    <row r="876" spans="1:25" x14ac:dyDescent="0.25">
      <c r="A876" s="881"/>
      <c r="B876" s="1131">
        <v>626</v>
      </c>
      <c r="C876" s="885">
        <v>1.0096634750297944</v>
      </c>
      <c r="D876" s="885">
        <v>0.99661874964290642</v>
      </c>
      <c r="E876" s="885">
        <v>0.96417492017111939</v>
      </c>
      <c r="F876" s="885">
        <v>1.0215045411197627</v>
      </c>
      <c r="G876" s="885">
        <v>1.0083237623242267</v>
      </c>
      <c r="H876" s="885">
        <v>1.0368210684910548</v>
      </c>
      <c r="I876" s="885">
        <v>0.98730566309248946</v>
      </c>
      <c r="K876">
        <v>1.9388140432944549</v>
      </c>
      <c r="L876">
        <v>0</v>
      </c>
      <c r="M876">
        <v>2.1661185314236142E-3</v>
      </c>
      <c r="N876">
        <v>0.19523782340173007</v>
      </c>
      <c r="O876">
        <v>2.4949977624910122E-2</v>
      </c>
      <c r="P876">
        <v>2.0582928814405762E-2</v>
      </c>
      <c r="Q876">
        <v>2.8257154187591961E-3</v>
      </c>
      <c r="R876">
        <v>2.1536504488076933E-3</v>
      </c>
      <c r="S876">
        <v>0.20524118559545598</v>
      </c>
      <c r="T876">
        <v>1.06168805728675</v>
      </c>
      <c r="U876">
        <v>3.6963118428955354E-2</v>
      </c>
      <c r="V876">
        <v>0.24687361800236102</v>
      </c>
      <c r="W876">
        <v>0.11963562562162848</v>
      </c>
      <c r="X876">
        <v>1.896693461113955E-2</v>
      </c>
      <c r="Y876">
        <v>5.8615265709748947E-3</v>
      </c>
    </row>
    <row r="877" spans="1:25" x14ac:dyDescent="0.25">
      <c r="A877" s="881"/>
      <c r="B877" s="1131">
        <v>627</v>
      </c>
      <c r="C877" s="885">
        <v>0.99553497159915394</v>
      </c>
      <c r="D877" s="885">
        <v>0.99735360601510548</v>
      </c>
      <c r="E877" s="885">
        <v>0.99830810468941367</v>
      </c>
      <c r="F877" s="885">
        <v>0.99940618137394632</v>
      </c>
      <c r="G877" s="885">
        <v>0.97204572277922574</v>
      </c>
      <c r="H877" s="885">
        <v>0.99863910680403001</v>
      </c>
      <c r="I877" s="885">
        <v>1.0131163522344839</v>
      </c>
      <c r="K877">
        <v>1.945210203795859</v>
      </c>
      <c r="L877">
        <v>0</v>
      </c>
      <c r="M877">
        <v>1.9688957703483281E-3</v>
      </c>
      <c r="N877">
        <v>0.19732905854059443</v>
      </c>
      <c r="O877">
        <v>2.529483018436603E-2</v>
      </c>
      <c r="P877">
        <v>2.1172412034575882E-2</v>
      </c>
      <c r="Q877">
        <v>2.9659869636385673E-3</v>
      </c>
      <c r="R877">
        <v>1.9571289903021929E-3</v>
      </c>
      <c r="S877">
        <v>0.20958582759418273</v>
      </c>
      <c r="T877">
        <v>1.0585277964326889</v>
      </c>
      <c r="U877">
        <v>3.7487694220292737E-2</v>
      </c>
      <c r="V877">
        <v>0.24877227055017559</v>
      </c>
      <c r="W877">
        <v>0.11808917896147472</v>
      </c>
      <c r="X877">
        <v>2.0670255149709819E-2</v>
      </c>
      <c r="Y877">
        <v>5.3266599442043094E-3</v>
      </c>
    </row>
    <row r="878" spans="1:25" x14ac:dyDescent="0.25">
      <c r="A878" s="881"/>
      <c r="B878" s="1131">
        <v>628</v>
      </c>
      <c r="C878" s="885">
        <v>1.0080919320029111</v>
      </c>
      <c r="D878" s="885">
        <v>0.95813429341050371</v>
      </c>
      <c r="E878" s="885">
        <v>1.0042756564034609</v>
      </c>
      <c r="F878" s="885">
        <v>1.0026956672201661</v>
      </c>
      <c r="G878" s="885">
        <v>1.041382462097044</v>
      </c>
      <c r="H878" s="885">
        <v>0.99063550102668607</v>
      </c>
      <c r="I878" s="885">
        <v>0.99185605459752868</v>
      </c>
      <c r="K878">
        <v>1.9452434554305669</v>
      </c>
      <c r="L878">
        <v>0</v>
      </c>
      <c r="M878">
        <v>1.9429849591792855E-3</v>
      </c>
      <c r="N878">
        <v>0.19837468843571918</v>
      </c>
      <c r="O878">
        <v>2.5482348592633906E-2</v>
      </c>
      <c r="P878">
        <v>2.1243343170969844E-2</v>
      </c>
      <c r="Q878">
        <v>2.9974603635699961E-3</v>
      </c>
      <c r="R878">
        <v>1.9313120359388024E-3</v>
      </c>
      <c r="S878">
        <v>0.20559670783045036</v>
      </c>
      <c r="T878">
        <v>1.0579799333427571</v>
      </c>
      <c r="U878">
        <v>3.7020741279783512E-2</v>
      </c>
      <c r="V878">
        <v>0.25206239993757928</v>
      </c>
      <c r="W878">
        <v>0.11823160460458994</v>
      </c>
      <c r="X878">
        <v>2.1009506090770649E-2</v>
      </c>
      <c r="Y878">
        <v>5.2563947049838787E-3</v>
      </c>
    </row>
    <row r="879" spans="1:25" x14ac:dyDescent="0.25">
      <c r="A879" s="881"/>
      <c r="B879" s="1131">
        <v>629</v>
      </c>
      <c r="C879" s="885">
        <v>0.99094482028109077</v>
      </c>
      <c r="D879" s="885">
        <v>0.98513020823607023</v>
      </c>
      <c r="E879" s="885">
        <v>1.0084831620573869</v>
      </c>
      <c r="F879" s="885">
        <v>0.99369486163599707</v>
      </c>
      <c r="G879" s="885">
        <v>1.0160792145020796</v>
      </c>
      <c r="H879" s="885">
        <v>0.99882432102037544</v>
      </c>
      <c r="I879" s="885">
        <v>1.0076568748665964</v>
      </c>
      <c r="K879">
        <v>1.9547882527508793</v>
      </c>
      <c r="L879">
        <v>0</v>
      </c>
      <c r="M879">
        <v>1.9482798150189187E-3</v>
      </c>
      <c r="N879">
        <v>0.20154258555133783</v>
      </c>
      <c r="O879">
        <v>2.5567778366052327E-2</v>
      </c>
      <c r="P879">
        <v>2.1367697131430198E-2</v>
      </c>
      <c r="Q879">
        <v>3.0261413347662971E-3</v>
      </c>
      <c r="R879">
        <v>1.9366483839552287E-3</v>
      </c>
      <c r="S879">
        <v>0.21063160160293376</v>
      </c>
      <c r="T879">
        <v>1.0575944892810403</v>
      </c>
      <c r="U879">
        <v>3.7661340810410206E-2</v>
      </c>
      <c r="V879">
        <v>0.2509898507111113</v>
      </c>
      <c r="W879">
        <v>0.119775886047439</v>
      </c>
      <c r="X879">
        <v>2.1371594860264204E-2</v>
      </c>
      <c r="Y879">
        <v>5.2709184851579419E-3</v>
      </c>
    </row>
    <row r="880" spans="1:25" x14ac:dyDescent="0.25">
      <c r="A880" s="881"/>
      <c r="B880" s="1131">
        <v>630</v>
      </c>
      <c r="C880" s="885">
        <v>1.0453215304413574</v>
      </c>
      <c r="D880" s="885">
        <v>0.98969000842181154</v>
      </c>
      <c r="E880" s="885">
        <v>1.0036801726548474</v>
      </c>
      <c r="F880" s="885">
        <v>0.99797410098679606</v>
      </c>
      <c r="G880" s="885">
        <v>0.96125391792807591</v>
      </c>
      <c r="H880" s="885">
        <v>1.0185321479449674</v>
      </c>
      <c r="I880" s="885">
        <v>1.0329423807557936</v>
      </c>
      <c r="K880">
        <v>1.9254380568394316</v>
      </c>
      <c r="L880">
        <v>0</v>
      </c>
      <c r="M880">
        <v>1.8981905679956411E-3</v>
      </c>
      <c r="N880">
        <v>0.19347211001477715</v>
      </c>
      <c r="O880">
        <v>2.4182327415982675E-2</v>
      </c>
      <c r="P880">
        <v>2.1100294468398579E-2</v>
      </c>
      <c r="Q880">
        <v>2.8493462228574291E-3</v>
      </c>
      <c r="R880">
        <v>1.887073871521586E-3</v>
      </c>
      <c r="S880">
        <v>0.20623192763017548</v>
      </c>
      <c r="T880">
        <v>1.0580345405927962</v>
      </c>
      <c r="U880">
        <v>3.5702230858250285E-2</v>
      </c>
      <c r="V880">
        <v>0.24292562206479629</v>
      </c>
      <c r="W880">
        <v>0.11535652338851145</v>
      </c>
      <c r="X880">
        <v>2.045825787481317E-2</v>
      </c>
      <c r="Y880">
        <v>5.1359930045471961E-3</v>
      </c>
    </row>
    <row r="881" spans="1:25" x14ac:dyDescent="0.25">
      <c r="A881" s="881"/>
      <c r="B881" s="1131">
        <v>631</v>
      </c>
      <c r="C881" s="885">
        <v>0.98332544901141328</v>
      </c>
      <c r="D881" s="885">
        <v>1.0268730477778574</v>
      </c>
      <c r="E881" s="885">
        <v>0.9976246760560008</v>
      </c>
      <c r="F881" s="885">
        <v>0.98505382065691438</v>
      </c>
      <c r="G881" s="885">
        <v>1.0019126304523138</v>
      </c>
      <c r="H881" s="885">
        <v>0.99390921920399811</v>
      </c>
      <c r="I881" s="885">
        <v>1.0340350681391552</v>
      </c>
      <c r="K881">
        <v>1.945000724340241</v>
      </c>
      <c r="L881">
        <v>0</v>
      </c>
      <c r="M881">
        <v>1.9583494632330915E-3</v>
      </c>
      <c r="N881">
        <v>0.19584715132140615</v>
      </c>
      <c r="O881">
        <v>2.5242419170575649E-2</v>
      </c>
      <c r="P881">
        <v>2.1192333896462068E-2</v>
      </c>
      <c r="Q881">
        <v>2.9637953376024512E-3</v>
      </c>
      <c r="R881">
        <v>1.9465663472157562E-3</v>
      </c>
      <c r="S881">
        <v>0.21319714739526596</v>
      </c>
      <c r="T881">
        <v>1.0585906285081585</v>
      </c>
      <c r="U881">
        <v>3.7953162544950785E-2</v>
      </c>
      <c r="V881">
        <v>0.246888847718752</v>
      </c>
      <c r="W881">
        <v>0.11725724765475599</v>
      </c>
      <c r="X881">
        <v>2.0581861996630712E-2</v>
      </c>
      <c r="Y881">
        <v>5.2979119116973849E-3</v>
      </c>
    </row>
    <row r="882" spans="1:25" x14ac:dyDescent="0.25">
      <c r="A882" s="881"/>
      <c r="B882" s="1131">
        <v>632</v>
      </c>
      <c r="C882" s="885">
        <v>1.0116167956127997</v>
      </c>
      <c r="D882" s="885">
        <v>1.0320151331925647</v>
      </c>
      <c r="E882" s="885">
        <v>1.0184032643652379</v>
      </c>
      <c r="F882" s="885">
        <v>1.0040652593503747</v>
      </c>
      <c r="G882" s="885">
        <v>0.98691730695188995</v>
      </c>
      <c r="H882" s="885">
        <v>1.0124769247390473</v>
      </c>
      <c r="I882" s="885">
        <v>1.0300132253947407</v>
      </c>
      <c r="K882">
        <v>1.9330336231436076</v>
      </c>
      <c r="L882">
        <v>0</v>
      </c>
      <c r="M882">
        <v>1.8514581006891595E-3</v>
      </c>
      <c r="N882">
        <v>0.19753605594158014</v>
      </c>
      <c r="O882">
        <v>2.4476128327515875E-2</v>
      </c>
      <c r="P882">
        <v>2.1343478842314998E-2</v>
      </c>
      <c r="Q882">
        <v>2.9352155452606137E-3</v>
      </c>
      <c r="R882">
        <v>1.8405186920822762E-3</v>
      </c>
      <c r="S882">
        <v>0.20784173578738657</v>
      </c>
      <c r="T882">
        <v>1.0566884568031811</v>
      </c>
      <c r="U882">
        <v>3.6891746719477571E-2</v>
      </c>
      <c r="V882">
        <v>0.24236521422027554</v>
      </c>
      <c r="W882">
        <v>0.11660805429510823</v>
      </c>
      <c r="X882">
        <v>2.1349190917087906E-2</v>
      </c>
      <c r="Y882">
        <v>5.0092851530241719E-3</v>
      </c>
    </row>
    <row r="883" spans="1:25" x14ac:dyDescent="0.25">
      <c r="A883" s="881"/>
      <c r="B883" s="1131">
        <v>633</v>
      </c>
      <c r="C883" s="885">
        <v>0.97728576184711202</v>
      </c>
      <c r="D883" s="885">
        <v>1.0006455481700045</v>
      </c>
      <c r="E883" s="885">
        <v>0.96444374296504209</v>
      </c>
      <c r="F883" s="885">
        <v>0.98089445407126741</v>
      </c>
      <c r="G883" s="885">
        <v>1.0012872960618864</v>
      </c>
      <c r="H883" s="885">
        <v>1.0067204296185015</v>
      </c>
      <c r="I883" s="885">
        <v>1.0109216912955774</v>
      </c>
      <c r="K883">
        <v>1.954130287391747</v>
      </c>
      <c r="L883">
        <v>0</v>
      </c>
      <c r="M883">
        <v>2.16736279633144E-3</v>
      </c>
      <c r="N883">
        <v>0.19547968352914052</v>
      </c>
      <c r="O883">
        <v>2.5725168833223584E-2</v>
      </c>
      <c r="P883">
        <v>2.076854741549224E-2</v>
      </c>
      <c r="Q883">
        <v>2.9151328544835819E-3</v>
      </c>
      <c r="R883">
        <v>2.154510953007231E-3</v>
      </c>
      <c r="S883">
        <v>0.21356065113380979</v>
      </c>
      <c r="T883">
        <v>1.0616629916894071</v>
      </c>
      <c r="U883">
        <v>3.8187715464492178E-2</v>
      </c>
      <c r="V883">
        <v>0.25100515100432774</v>
      </c>
      <c r="W883">
        <v>0.11976124032360973</v>
      </c>
      <c r="X883">
        <v>1.9212988407340124E-2</v>
      </c>
      <c r="Y883">
        <v>5.8638685797409041E-3</v>
      </c>
    </row>
    <row r="884" spans="1:25" x14ac:dyDescent="0.25">
      <c r="A884" s="881"/>
      <c r="B884" s="1131">
        <v>634</v>
      </c>
      <c r="C884" s="885">
        <v>1.0387453495620596</v>
      </c>
      <c r="D884" s="885">
        <v>1.0133047275550278</v>
      </c>
      <c r="E884" s="885">
        <v>1.0166744487704016</v>
      </c>
      <c r="F884" s="885">
        <v>0.99988403564422779</v>
      </c>
      <c r="G884" s="885">
        <v>1.0101793447300436</v>
      </c>
      <c r="H884" s="885">
        <v>1.0022126599194043</v>
      </c>
      <c r="I884" s="885">
        <v>0.98417910668635122</v>
      </c>
      <c r="K884">
        <v>1.9067249577455334</v>
      </c>
      <c r="L884">
        <v>0</v>
      </c>
      <c r="M884">
        <v>1.8075852453132775E-3</v>
      </c>
      <c r="N884">
        <v>0.19181177924097836</v>
      </c>
      <c r="O884">
        <v>2.4053082558320792E-2</v>
      </c>
      <c r="P884">
        <v>2.1095396539661391E-2</v>
      </c>
      <c r="Q884">
        <v>2.8758888245843934E-3</v>
      </c>
      <c r="R884">
        <v>1.7968092156789572E-3</v>
      </c>
      <c r="S884">
        <v>0.19405545633835861</v>
      </c>
      <c r="T884">
        <v>1.056846078114001</v>
      </c>
      <c r="U884">
        <v>3.5928257697280024E-2</v>
      </c>
      <c r="V884">
        <v>0.24096369188277381</v>
      </c>
      <c r="W884">
        <v>0.11336133321462667</v>
      </c>
      <c r="X884">
        <v>2.0854446997502302E-2</v>
      </c>
      <c r="Y884">
        <v>4.8903223670793607E-3</v>
      </c>
    </row>
    <row r="885" spans="1:25" x14ac:dyDescent="0.25">
      <c r="A885" s="881"/>
      <c r="B885" s="1131">
        <v>635</v>
      </c>
      <c r="C885" s="885">
        <v>1.0086552889150497</v>
      </c>
      <c r="D885" s="885">
        <v>1.0039116262793153</v>
      </c>
      <c r="E885" s="885">
        <v>0.96165994642640695</v>
      </c>
      <c r="F885" s="885">
        <v>0.99421275699244538</v>
      </c>
      <c r="G885" s="885">
        <v>1.0039468288932343</v>
      </c>
      <c r="H885" s="885">
        <v>1.0026997887631219</v>
      </c>
      <c r="I885" s="885">
        <v>0.97793893122703091</v>
      </c>
      <c r="K885">
        <v>1.9199787083471158</v>
      </c>
      <c r="L885">
        <v>0</v>
      </c>
      <c r="M885">
        <v>2.1004090490434049E-3</v>
      </c>
      <c r="N885">
        <v>0.18779814664544262</v>
      </c>
      <c r="O885">
        <v>2.4884947842437683E-2</v>
      </c>
      <c r="P885">
        <v>2.0460064861685549E-2</v>
      </c>
      <c r="Q885">
        <v>2.8125155291128627E-3</v>
      </c>
      <c r="R885">
        <v>2.0879014596271043E-3</v>
      </c>
      <c r="S885">
        <v>0.19947488845664643</v>
      </c>
      <c r="T885">
        <v>1.0619226938496782</v>
      </c>
      <c r="U885">
        <v>3.700006435405713E-2</v>
      </c>
      <c r="V885">
        <v>0.24611174965042024</v>
      </c>
      <c r="W885">
        <v>0.1152802554419277</v>
      </c>
      <c r="X885">
        <v>1.8563309808546986E-2</v>
      </c>
      <c r="Y885">
        <v>5.6825794965737909E-3</v>
      </c>
    </row>
    <row r="886" spans="1:25" x14ac:dyDescent="0.25">
      <c r="A886" s="881"/>
      <c r="B886" s="1131">
        <v>636</v>
      </c>
      <c r="C886" s="885">
        <v>1.0193706198261725</v>
      </c>
      <c r="D886" s="885">
        <v>0.98385812793524896</v>
      </c>
      <c r="E886" s="885">
        <v>1.0044735423514222</v>
      </c>
      <c r="F886" s="885">
        <v>0.99254344061211741</v>
      </c>
      <c r="G886" s="885">
        <v>0.9743621120562892</v>
      </c>
      <c r="H886" s="885">
        <v>1.0029119394302977</v>
      </c>
      <c r="I886" s="885">
        <v>0.97835751160564077</v>
      </c>
      <c r="K886">
        <v>1.928734778858356</v>
      </c>
      <c r="L886">
        <v>0</v>
      </c>
      <c r="M886">
        <v>1.919072383564933E-3</v>
      </c>
      <c r="N886">
        <v>0.1960662140292759</v>
      </c>
      <c r="O886">
        <v>2.4870740886894713E-2</v>
      </c>
      <c r="P886">
        <v>2.1087081049205172E-2</v>
      </c>
      <c r="Q886">
        <v>2.9315778657759586E-3</v>
      </c>
      <c r="R886">
        <v>1.9076630486188223E-3</v>
      </c>
      <c r="S886">
        <v>0.19932277283671435</v>
      </c>
      <c r="T886">
        <v>1.0579617897996874</v>
      </c>
      <c r="U886">
        <v>3.6611130314194135E-2</v>
      </c>
      <c r="V886">
        <v>0.24712435089890802</v>
      </c>
      <c r="W886">
        <v>0.11683997730918329</v>
      </c>
      <c r="X886">
        <v>2.0738523246078094E-2</v>
      </c>
      <c r="Y886">
        <v>5.1920299573854668E-3</v>
      </c>
    </row>
    <row r="887" spans="1:25" x14ac:dyDescent="0.25">
      <c r="A887" s="881"/>
      <c r="B887" s="1131">
        <v>637</v>
      </c>
      <c r="C887" s="885">
        <v>1.0161667154928189</v>
      </c>
      <c r="D887" s="885">
        <v>1.005364887161641</v>
      </c>
      <c r="E887" s="885">
        <v>1.0293402262857492</v>
      </c>
      <c r="F887" s="885">
        <v>0.98041292138255731</v>
      </c>
      <c r="G887" s="885">
        <v>1.0076927764118424</v>
      </c>
      <c r="H887" s="885">
        <v>1.0050521818010008</v>
      </c>
      <c r="I887" s="885">
        <v>0.99520686374924916</v>
      </c>
      <c r="K887">
        <v>1.9319188653623893</v>
      </c>
      <c r="L887">
        <v>0</v>
      </c>
      <c r="M887">
        <v>1.8110667698124758E-3</v>
      </c>
      <c r="N887">
        <v>0.19989586951735397</v>
      </c>
      <c r="O887">
        <v>2.4683331152465335E-2</v>
      </c>
      <c r="P887">
        <v>2.1446868938926666E-2</v>
      </c>
      <c r="Q887">
        <v>2.9869460260313128E-3</v>
      </c>
      <c r="R887">
        <v>1.8003063316783029E-3</v>
      </c>
      <c r="S887">
        <v>0.20159542043005571</v>
      </c>
      <c r="T887">
        <v>1.0556940095443121</v>
      </c>
      <c r="U887">
        <v>3.67265627105463E-2</v>
      </c>
      <c r="V887">
        <v>0.24490597308535855</v>
      </c>
      <c r="W887">
        <v>0.11713575387637232</v>
      </c>
      <c r="X887">
        <v>2.1959050155095205E-2</v>
      </c>
      <c r="Y887">
        <v>4.8998403640056008E-3</v>
      </c>
    </row>
    <row r="888" spans="1:25" x14ac:dyDescent="0.25">
      <c r="A888" s="881"/>
      <c r="B888" s="1131">
        <v>638</v>
      </c>
      <c r="C888" s="885">
        <v>1.0055438033845523</v>
      </c>
      <c r="D888" s="885">
        <v>1.0104430376574902</v>
      </c>
      <c r="E888" s="885">
        <v>0.98015383210064677</v>
      </c>
      <c r="F888" s="885">
        <v>1.00018473353757</v>
      </c>
      <c r="G888" s="885">
        <v>1.008218218859017</v>
      </c>
      <c r="H888" s="885">
        <v>1.0140994257176921</v>
      </c>
      <c r="I888" s="885">
        <v>0.97893407623717887</v>
      </c>
      <c r="K888">
        <v>1.9283034375999368</v>
      </c>
      <c r="L888">
        <v>0</v>
      </c>
      <c r="M888">
        <v>2.0432757645012542E-3</v>
      </c>
      <c r="N888">
        <v>0.19354602933178672</v>
      </c>
      <c r="O888">
        <v>2.4882030343495152E-2</v>
      </c>
      <c r="P888">
        <v>2.0743705706845351E-2</v>
      </c>
      <c r="Q888">
        <v>2.8671124956544162E-3</v>
      </c>
      <c r="R888">
        <v>2.0312397791132355E-3</v>
      </c>
      <c r="S888">
        <v>0.20081826196908675</v>
      </c>
      <c r="T888">
        <v>1.0602030050145939</v>
      </c>
      <c r="U888">
        <v>3.7114554806365177E-2</v>
      </c>
      <c r="V888">
        <v>0.2457501219886393</v>
      </c>
      <c r="W888">
        <v>0.11728403999382728</v>
      </c>
      <c r="X888">
        <v>1.9578246854299278E-2</v>
      </c>
      <c r="Y888">
        <v>5.5283650807330005E-3</v>
      </c>
    </row>
    <row r="889" spans="1:25" x14ac:dyDescent="0.25">
      <c r="A889" s="881"/>
      <c r="B889" s="1131">
        <v>639</v>
      </c>
      <c r="C889" s="885">
        <v>0.9935613991257487</v>
      </c>
      <c r="D889" s="885">
        <v>1.0057763769475083</v>
      </c>
      <c r="E889" s="885">
        <v>1.0020923285122842</v>
      </c>
      <c r="F889" s="885">
        <v>1.0163907546631268</v>
      </c>
      <c r="G889" s="885">
        <v>1.012301177755599</v>
      </c>
      <c r="H889" s="885">
        <v>0.99963558947044573</v>
      </c>
      <c r="I889" s="885">
        <v>1.0104148236547164</v>
      </c>
      <c r="K889">
        <v>1.9439509131543977</v>
      </c>
      <c r="L889">
        <v>0</v>
      </c>
      <c r="M889">
        <v>1.9509700545944542E-3</v>
      </c>
      <c r="N889">
        <v>0.1978485806283857</v>
      </c>
      <c r="O889">
        <v>2.5239812455653876E-2</v>
      </c>
      <c r="P889">
        <v>2.1206429919423331E-2</v>
      </c>
      <c r="Q889">
        <v>2.9725544526829771E-3</v>
      </c>
      <c r="R889">
        <v>1.9393152423325872E-3</v>
      </c>
      <c r="S889">
        <v>0.20873762452038536</v>
      </c>
      <c r="T889">
        <v>1.0581802171762611</v>
      </c>
      <c r="U889">
        <v>3.7562158346485304E-2</v>
      </c>
      <c r="V889">
        <v>0.24800237446630857</v>
      </c>
      <c r="W889">
        <v>0.11809394403377589</v>
      </c>
      <c r="X889">
        <v>2.0840695172766707E-2</v>
      </c>
      <c r="Y889">
        <v>5.278176794531483E-3</v>
      </c>
    </row>
    <row r="890" spans="1:25" x14ac:dyDescent="0.25">
      <c r="A890" s="881"/>
      <c r="B890" s="1131">
        <v>640</v>
      </c>
      <c r="C890" s="885">
        <v>1.0073384963290537</v>
      </c>
      <c r="D890" s="885">
        <v>0.98087986164639673</v>
      </c>
      <c r="E890" s="885">
        <v>1.0258120113009974</v>
      </c>
      <c r="F890" s="885">
        <v>0.97879879682119209</v>
      </c>
      <c r="G890" s="885">
        <v>1.0014813131361284</v>
      </c>
      <c r="H890" s="885">
        <v>0.99798185569694375</v>
      </c>
      <c r="I890" s="885">
        <v>0.98746710538753413</v>
      </c>
      <c r="K890">
        <v>1.9429912674773875</v>
      </c>
      <c r="L890">
        <v>0</v>
      </c>
      <c r="M890">
        <v>1.8501179448769903E-3</v>
      </c>
      <c r="N890">
        <v>0.20197493208374873</v>
      </c>
      <c r="O890">
        <v>2.5205699013045101E-2</v>
      </c>
      <c r="P890">
        <v>2.1485031810156943E-2</v>
      </c>
      <c r="Q890">
        <v>3.0342867759473669E-3</v>
      </c>
      <c r="R890">
        <v>1.8390665628186789E-3</v>
      </c>
      <c r="S890">
        <v>0.20337219395847525</v>
      </c>
      <c r="T890">
        <v>1.0560143024650668</v>
      </c>
      <c r="U890">
        <v>3.7048430827293616E-2</v>
      </c>
      <c r="V890">
        <v>0.24918721987912504</v>
      </c>
      <c r="W890">
        <v>0.11863467934579933</v>
      </c>
      <c r="X890">
        <v>2.2040209764922609E-2</v>
      </c>
      <c r="Y890">
        <v>5.0053329358629422E-3</v>
      </c>
    </row>
    <row r="891" spans="1:25" x14ac:dyDescent="0.25">
      <c r="A891" s="881"/>
      <c r="B891" s="1131">
        <v>641</v>
      </c>
      <c r="C891" s="885">
        <v>1.0371157581282353</v>
      </c>
      <c r="D891" s="885">
        <v>0.97701050157970026</v>
      </c>
      <c r="E891" s="885">
        <v>0.96511510606754569</v>
      </c>
      <c r="F891" s="885">
        <v>0.96060561194791783</v>
      </c>
      <c r="G891" s="885">
        <v>0.97507924997915874</v>
      </c>
      <c r="H891" s="885">
        <v>0.96196922178021937</v>
      </c>
      <c r="I891" s="885">
        <v>0.97213198000718704</v>
      </c>
      <c r="K891">
        <v>1.8931021621542898</v>
      </c>
      <c r="L891">
        <v>0</v>
      </c>
      <c r="M891">
        <v>1.9720134975287321E-3</v>
      </c>
      <c r="N891">
        <v>0.17818590663219025</v>
      </c>
      <c r="O891">
        <v>2.4530090285987481E-2</v>
      </c>
      <c r="P891">
        <v>2.0381971497043839E-2</v>
      </c>
      <c r="Q891">
        <v>2.7769679670941192E-3</v>
      </c>
      <c r="R891">
        <v>1.9597963881182443E-3</v>
      </c>
      <c r="S891">
        <v>0.19136397780566031</v>
      </c>
      <c r="T891">
        <v>1.0616004045856966</v>
      </c>
      <c r="U891">
        <v>3.5984710779317294E-2</v>
      </c>
      <c r="V891">
        <v>0.24557602962651828</v>
      </c>
      <c r="W891">
        <v>0.10911476302272818</v>
      </c>
      <c r="X891">
        <v>1.8265637339710164E-2</v>
      </c>
      <c r="Y891">
        <v>5.3339197217521462E-3</v>
      </c>
    </row>
    <row r="892" spans="1:25" x14ac:dyDescent="0.25">
      <c r="A892" s="881"/>
      <c r="B892" s="1131">
        <v>642</v>
      </c>
      <c r="C892" s="885">
        <v>0.9868160556227944</v>
      </c>
      <c r="D892" s="885">
        <v>1.0314831460983207</v>
      </c>
      <c r="E892" s="885">
        <v>0.99022106522117337</v>
      </c>
      <c r="F892" s="885">
        <v>0.96293255089359486</v>
      </c>
      <c r="G892" s="885">
        <v>1.0370195022879853</v>
      </c>
      <c r="H892" s="885">
        <v>0.97000432063233588</v>
      </c>
      <c r="I892" s="885">
        <v>1.0026741665600689</v>
      </c>
      <c r="K892">
        <v>1.9222425769728564</v>
      </c>
      <c r="L892">
        <v>0</v>
      </c>
      <c r="M892">
        <v>1.9301221215345143E-3</v>
      </c>
      <c r="N892">
        <v>0.18859858412965946</v>
      </c>
      <c r="O892">
        <v>2.5097641541410011E-2</v>
      </c>
      <c r="P892">
        <v>2.0932192534084418E-2</v>
      </c>
      <c r="Q892">
        <v>2.9257765423261911E-3</v>
      </c>
      <c r="R892">
        <v>1.9182189989821036E-3</v>
      </c>
      <c r="S892">
        <v>0.20315788060204926</v>
      </c>
      <c r="T892">
        <v>1.05927245606495</v>
      </c>
      <c r="U892">
        <v>3.7818913046934022E-2</v>
      </c>
      <c r="V892">
        <v>0.24584576127602814</v>
      </c>
      <c r="W892">
        <v>0.11349332096304772</v>
      </c>
      <c r="X892">
        <v>1.9891193620414128E-2</v>
      </c>
      <c r="Y892">
        <v>5.2207597745062163E-3</v>
      </c>
    </row>
    <row r="893" spans="1:25" x14ac:dyDescent="0.25">
      <c r="A893" s="881"/>
      <c r="B893" s="1131">
        <v>643</v>
      </c>
      <c r="C893" s="885">
        <v>0.97377080680129102</v>
      </c>
      <c r="D893" s="885">
        <v>0.99531173388946059</v>
      </c>
      <c r="E893" s="885">
        <v>1.0198128733833576</v>
      </c>
      <c r="F893" s="885">
        <v>1.0038171703310881</v>
      </c>
      <c r="G893" s="885">
        <v>1.0156876107313526</v>
      </c>
      <c r="H893" s="885">
        <v>0.99274144466662784</v>
      </c>
      <c r="I893" s="885">
        <v>1.0017046291929699</v>
      </c>
      <c r="K893">
        <v>1.9624484863989804</v>
      </c>
      <c r="L893">
        <v>0</v>
      </c>
      <c r="M893">
        <v>1.9142339400595827E-3</v>
      </c>
      <c r="N893">
        <v>0.20510895800051171</v>
      </c>
      <c r="O893">
        <v>2.5886439712233984E-2</v>
      </c>
      <c r="P893">
        <v>2.1569784509258078E-2</v>
      </c>
      <c r="Q893">
        <v>3.1009060068171211E-3</v>
      </c>
      <c r="R893">
        <v>1.9027275110360523E-3</v>
      </c>
      <c r="S893">
        <v>0.21144073769142135</v>
      </c>
      <c r="T893">
        <v>1.0565600249678513</v>
      </c>
      <c r="U893">
        <v>3.8325559094864674E-2</v>
      </c>
      <c r="V893">
        <v>0.25220692195331496</v>
      </c>
      <c r="W893">
        <v>0.12096325188398449</v>
      </c>
      <c r="X893">
        <v>2.2118811956657814E-2</v>
      </c>
      <c r="Y893">
        <v>5.1785970510846938E-3</v>
      </c>
    </row>
    <row r="894" spans="1:25" x14ac:dyDescent="0.25">
      <c r="A894" s="881"/>
      <c r="B894" s="1131">
        <v>644</v>
      </c>
      <c r="C894" s="885">
        <v>1.0062399626655094</v>
      </c>
      <c r="D894" s="885">
        <v>0.98724954853403379</v>
      </c>
      <c r="E894" s="885">
        <v>0.99824617312070341</v>
      </c>
      <c r="F894" s="885">
        <v>1.0017827247311375</v>
      </c>
      <c r="G894" s="885">
        <v>1.0067641955762006</v>
      </c>
      <c r="H894" s="885">
        <v>1.0067459760673052</v>
      </c>
      <c r="I894" s="885">
        <v>0.99600440829218873</v>
      </c>
      <c r="K894">
        <v>1.9411362943019159</v>
      </c>
      <c r="L894">
        <v>0</v>
      </c>
      <c r="M894">
        <v>1.9739452712562726E-3</v>
      </c>
      <c r="N894">
        <v>0.19780742750729172</v>
      </c>
      <c r="O894">
        <v>2.5152319120847411E-2</v>
      </c>
      <c r="P894">
        <v>2.1108788884902259E-2</v>
      </c>
      <c r="Q894">
        <v>2.9469930847789896E-3</v>
      </c>
      <c r="R894">
        <v>1.9622515913109598E-3</v>
      </c>
      <c r="S894">
        <v>0.20562722715365239</v>
      </c>
      <c r="T894">
        <v>1.0585334894584866</v>
      </c>
      <c r="U894">
        <v>3.7088877390693324E-2</v>
      </c>
      <c r="V894">
        <v>0.24852804993012567</v>
      </c>
      <c r="W894">
        <v>0.11838047549890246</v>
      </c>
      <c r="X894">
        <v>2.0633737976693094E-2</v>
      </c>
      <c r="Y894">
        <v>5.3406019754852025E-3</v>
      </c>
    </row>
    <row r="895" spans="1:25" x14ac:dyDescent="0.25">
      <c r="A895" s="881"/>
      <c r="B895" s="1131">
        <v>645</v>
      </c>
      <c r="C895" s="885">
        <v>1.0300708425080447</v>
      </c>
      <c r="D895" s="885">
        <v>0.98929167382231453</v>
      </c>
      <c r="E895" s="885">
        <v>0.99167219019033137</v>
      </c>
      <c r="F895" s="885">
        <v>1.0161174117077929</v>
      </c>
      <c r="G895" s="885">
        <v>0.99434871318906681</v>
      </c>
      <c r="H895" s="885">
        <v>0.99175531228104219</v>
      </c>
      <c r="I895" s="885">
        <v>0.96855502910078251</v>
      </c>
      <c r="K895">
        <v>1.9096887595287344</v>
      </c>
      <c r="L895">
        <v>0</v>
      </c>
      <c r="M895">
        <v>1.9240549370684828E-3</v>
      </c>
      <c r="N895">
        <v>0.18888600323069107</v>
      </c>
      <c r="O895">
        <v>2.454525596665293E-2</v>
      </c>
      <c r="P895">
        <v>2.0792014406948726E-2</v>
      </c>
      <c r="Q895">
        <v>2.8572857455220813E-3</v>
      </c>
      <c r="R895">
        <v>1.9124828567413901E-3</v>
      </c>
      <c r="S895">
        <v>0.19371447884721021</v>
      </c>
      <c r="T895">
        <v>1.0591386482724492</v>
      </c>
      <c r="U895">
        <v>3.6230819338646969E-2</v>
      </c>
      <c r="V895">
        <v>0.24498984548291231</v>
      </c>
      <c r="W895">
        <v>0.11355276036402602</v>
      </c>
      <c r="X895">
        <v>1.9788072067757366E-2</v>
      </c>
      <c r="Y895">
        <v>5.2051478862457767E-3</v>
      </c>
    </row>
    <row r="896" spans="1:25" x14ac:dyDescent="0.25">
      <c r="A896" s="881"/>
      <c r="B896" s="1131">
        <v>646</v>
      </c>
      <c r="C896" s="885">
        <v>1.0165160958331696</v>
      </c>
      <c r="D896" s="885">
        <v>1.0252996679966164</v>
      </c>
      <c r="E896" s="885">
        <v>0.97323112544064816</v>
      </c>
      <c r="F896" s="885">
        <v>1.0359636328586816</v>
      </c>
      <c r="G896" s="885">
        <v>0.9769255461557157</v>
      </c>
      <c r="H896" s="885">
        <v>0.97982405892974755</v>
      </c>
      <c r="I896" s="885">
        <v>1.0043161828538059</v>
      </c>
      <c r="K896">
        <v>1.9043272300397467</v>
      </c>
      <c r="L896">
        <v>0</v>
      </c>
      <c r="M896">
        <v>1.9672615023525043E-3</v>
      </c>
      <c r="N896">
        <v>0.18232950787482058</v>
      </c>
      <c r="O896">
        <v>2.4436694431276294E-2</v>
      </c>
      <c r="P896">
        <v>2.0570588932062428E-2</v>
      </c>
      <c r="Q896">
        <v>2.7988422338181278E-3</v>
      </c>
      <c r="R896">
        <v>1.9552558697591015E-3</v>
      </c>
      <c r="S896">
        <v>0.19905805219464329</v>
      </c>
      <c r="T896">
        <v>1.0608451759321915</v>
      </c>
      <c r="U896">
        <v>3.6713939655159122E-2</v>
      </c>
      <c r="V896">
        <v>0.24248790183450375</v>
      </c>
      <c r="W896">
        <v>0.11102036295951025</v>
      </c>
      <c r="X896">
        <v>1.8756607696791848E-2</v>
      </c>
      <c r="Y896">
        <v>5.3215619275600338E-3</v>
      </c>
    </row>
    <row r="897" spans="1:25" x14ac:dyDescent="0.25">
      <c r="A897" s="881"/>
      <c r="B897" s="1131">
        <v>647</v>
      </c>
      <c r="C897" s="885">
        <v>0.98532711306193554</v>
      </c>
      <c r="D897" s="885">
        <v>1.0237475958683915</v>
      </c>
      <c r="E897" s="885">
        <v>1.0429664047671898</v>
      </c>
      <c r="F897" s="885">
        <v>1.0154661303531096</v>
      </c>
      <c r="G897" s="885">
        <v>1.0229862961666734</v>
      </c>
      <c r="H897" s="885">
        <v>1.0229056741115632</v>
      </c>
      <c r="I897" s="885">
        <v>0.98502502250615154</v>
      </c>
      <c r="K897">
        <v>1.9566062472268035</v>
      </c>
      <c r="L897">
        <v>0</v>
      </c>
      <c r="M897">
        <v>1.8304222614864704E-3</v>
      </c>
      <c r="N897">
        <v>0.21077759678170019</v>
      </c>
      <c r="O897">
        <v>2.5229048022887893E-2</v>
      </c>
      <c r="P897">
        <v>2.1747281549901621E-2</v>
      </c>
      <c r="Q897">
        <v>3.0981379452209791E-3</v>
      </c>
      <c r="R897">
        <v>1.8197232993772434E-3</v>
      </c>
      <c r="S897">
        <v>0.20586214019012117</v>
      </c>
      <c r="T897">
        <v>1.054461596633445</v>
      </c>
      <c r="U897">
        <v>3.787606177297078E-2</v>
      </c>
      <c r="V897">
        <v>0.24698042935953982</v>
      </c>
      <c r="W897">
        <v>0.12239434037945571</v>
      </c>
      <c r="X897">
        <v>2.3237626604390667E-2</v>
      </c>
      <c r="Y897">
        <v>4.9526869492804342E-3</v>
      </c>
    </row>
    <row r="898" spans="1:25" x14ac:dyDescent="0.25">
      <c r="A898" s="881"/>
      <c r="B898" s="1131">
        <v>648</v>
      </c>
      <c r="C898" s="885">
        <v>1.0030289409412931</v>
      </c>
      <c r="D898" s="885">
        <v>1.0033671687435055</v>
      </c>
      <c r="E898" s="885">
        <v>0.96233344613246152</v>
      </c>
      <c r="F898" s="885">
        <v>1.027154324751741</v>
      </c>
      <c r="G898" s="885">
        <v>1.0001490115299547</v>
      </c>
      <c r="H898" s="885">
        <v>1.0104299913572814</v>
      </c>
      <c r="I898" s="885">
        <v>1.0171369722275618</v>
      </c>
      <c r="K898">
        <v>1.9358713567032568</v>
      </c>
      <c r="L898">
        <v>0</v>
      </c>
      <c r="M898">
        <v>2.1260461498950577E-3</v>
      </c>
      <c r="N898">
        <v>0.19049898632789178</v>
      </c>
      <c r="O898">
        <v>2.5031253649562317E-2</v>
      </c>
      <c r="P898">
        <v>2.0616580984789881E-2</v>
      </c>
      <c r="Q898">
        <v>2.83090106352437E-3</v>
      </c>
      <c r="R898">
        <v>2.1134832234035207E-3</v>
      </c>
      <c r="S898">
        <v>0.20947799698790712</v>
      </c>
      <c r="T898">
        <v>1.0618598351952164</v>
      </c>
      <c r="U898">
        <v>3.720761094479845E-2</v>
      </c>
      <c r="V898">
        <v>0.24696133735257086</v>
      </c>
      <c r="W898">
        <v>0.11688283803206542</v>
      </c>
      <c r="X898">
        <v>1.8764374466876003E-2</v>
      </c>
      <c r="Y898">
        <v>5.7522046245470334E-3</v>
      </c>
    </row>
    <row r="899" spans="1:25" x14ac:dyDescent="0.25">
      <c r="A899" s="881"/>
      <c r="B899" s="1131">
        <v>649</v>
      </c>
      <c r="C899" s="885">
        <v>0.99471953281377978</v>
      </c>
      <c r="D899" s="885">
        <v>0.98613471117505735</v>
      </c>
      <c r="E899" s="885">
        <v>0.97111383354060987</v>
      </c>
      <c r="F899" s="885">
        <v>1.0124528165437721</v>
      </c>
      <c r="G899" s="885">
        <v>1.0104004831547559</v>
      </c>
      <c r="H899" s="885">
        <v>0.98929204350727473</v>
      </c>
      <c r="I899" s="885">
        <v>0.96481639990736001</v>
      </c>
      <c r="K899">
        <v>1.9307147639445468</v>
      </c>
      <c r="L899">
        <v>0</v>
      </c>
      <c r="M899">
        <v>2.0784486188356933E-3</v>
      </c>
      <c r="N899">
        <v>0.19138157173823767</v>
      </c>
      <c r="O899">
        <v>2.5457883325902295E-2</v>
      </c>
      <c r="P899">
        <v>2.0666093166451256E-2</v>
      </c>
      <c r="Q899">
        <v>2.9016383194558309E-3</v>
      </c>
      <c r="R899">
        <v>2.0659196141610656E-3</v>
      </c>
      <c r="S899">
        <v>0.19987497359691983</v>
      </c>
      <c r="T899">
        <v>1.0610419529172379</v>
      </c>
      <c r="U899">
        <v>3.7518425415200493E-2</v>
      </c>
      <c r="V899">
        <v>0.25031612660785824</v>
      </c>
      <c r="W899">
        <v>0.11670443805006353</v>
      </c>
      <c r="X899">
        <v>1.924143765236408E-2</v>
      </c>
      <c r="Y899">
        <v>5.6227521595286429E-3</v>
      </c>
    </row>
    <row r="900" spans="1:25" x14ac:dyDescent="0.25">
      <c r="A900" s="881"/>
      <c r="B900" s="1131">
        <v>650</v>
      </c>
      <c r="C900" s="885">
        <v>0.98988576875165857</v>
      </c>
      <c r="D900" s="885">
        <v>1.0254893919715122</v>
      </c>
      <c r="E900" s="885">
        <v>0.97843979058814168</v>
      </c>
      <c r="F900" s="885">
        <v>0.98976522950299684</v>
      </c>
      <c r="G900" s="885">
        <v>0.96794266005490459</v>
      </c>
      <c r="H900" s="885">
        <v>1.0210067997076104</v>
      </c>
      <c r="I900" s="885">
        <v>0.99768484127257762</v>
      </c>
      <c r="K900">
        <v>1.9406710198605661</v>
      </c>
      <c r="L900">
        <v>0</v>
      </c>
      <c r="M900">
        <v>2.0820275989213086E-3</v>
      </c>
      <c r="N900">
        <v>0.1961729443761133</v>
      </c>
      <c r="O900">
        <v>2.5091810532319417E-2</v>
      </c>
      <c r="P900">
        <v>2.0817358236476357E-2</v>
      </c>
      <c r="Q900">
        <v>2.8892027956763829E-3</v>
      </c>
      <c r="R900">
        <v>2.069833929717141E-3</v>
      </c>
      <c r="S900">
        <v>0.20719495352268613</v>
      </c>
      <c r="T900">
        <v>1.0603618316126284</v>
      </c>
      <c r="U900">
        <v>3.7701633642012421E-2</v>
      </c>
      <c r="V900">
        <v>0.24612455904825917</v>
      </c>
      <c r="W900">
        <v>0.1190174245016561</v>
      </c>
      <c r="X900">
        <v>1.967808962582444E-2</v>
      </c>
      <c r="Y900">
        <v>5.6334056361185053E-3</v>
      </c>
    </row>
    <row r="901" spans="1:25" x14ac:dyDescent="0.25">
      <c r="A901" s="881"/>
      <c r="B901" s="1131">
        <v>651</v>
      </c>
      <c r="C901" s="885">
        <v>0.97222799650935832</v>
      </c>
      <c r="D901" s="885">
        <v>0.97158756323881956</v>
      </c>
      <c r="E901" s="885">
        <v>0.97992331033363056</v>
      </c>
      <c r="F901" s="885">
        <v>1.0249236667040738</v>
      </c>
      <c r="G901" s="885">
        <v>0.9757594060713709</v>
      </c>
      <c r="H901" s="885">
        <v>1.0279425605585466</v>
      </c>
      <c r="I901" s="885">
        <v>0.97207847029900762</v>
      </c>
      <c r="K901">
        <v>1.9744611189821908</v>
      </c>
      <c r="L901">
        <v>0</v>
      </c>
      <c r="M901">
        <v>2.1852023426250852E-3</v>
      </c>
      <c r="N901">
        <v>0.20686098194205554</v>
      </c>
      <c r="O901">
        <v>2.6239715046783914E-2</v>
      </c>
      <c r="P901">
        <v>2.10319578238813E-2</v>
      </c>
      <c r="Q901">
        <v>3.0145624953477725E-3</v>
      </c>
      <c r="R901">
        <v>2.172538277416996E-3</v>
      </c>
      <c r="S901">
        <v>0.21141958262428923</v>
      </c>
      <c r="T901">
        <v>1.0602243590031264</v>
      </c>
      <c r="U901">
        <v>3.8386377202579987E-2</v>
      </c>
      <c r="V901">
        <v>0.25556774082589501</v>
      </c>
      <c r="W901">
        <v>0.1253726194186022</v>
      </c>
      <c r="X901">
        <v>2.0442953650759026E-2</v>
      </c>
      <c r="Y901">
        <v>5.9129330140783917E-3</v>
      </c>
    </row>
    <row r="902" spans="1:25" x14ac:dyDescent="0.25">
      <c r="A902" s="881"/>
      <c r="B902" s="1131">
        <v>652</v>
      </c>
      <c r="C902" s="885">
        <v>1.0249073979248053</v>
      </c>
      <c r="D902" s="885">
        <v>0.97631480689225036</v>
      </c>
      <c r="E902" s="885">
        <v>0.99706230172145771</v>
      </c>
      <c r="F902" s="885">
        <v>1.0066573179378644</v>
      </c>
      <c r="G902" s="885">
        <v>1.0284284988133086</v>
      </c>
      <c r="H902" s="885">
        <v>1.0201530587459411</v>
      </c>
      <c r="I902" s="885">
        <v>1.0305268336392108</v>
      </c>
      <c r="K902">
        <v>1.9445063123830453</v>
      </c>
      <c r="L902">
        <v>0</v>
      </c>
      <c r="M902">
        <v>1.9796035801841238E-3</v>
      </c>
      <c r="N902">
        <v>0.19766139875265784</v>
      </c>
      <c r="O902">
        <v>2.4831067002951748E-2</v>
      </c>
      <c r="P902">
        <v>2.1143642239234796E-2</v>
      </c>
      <c r="Q902">
        <v>2.9036151471078298E-3</v>
      </c>
      <c r="R902">
        <v>1.9680395027338866E-3</v>
      </c>
      <c r="S902">
        <v>0.21133384059640881</v>
      </c>
      <c r="T902">
        <v>1.0586423449077353</v>
      </c>
      <c r="U902">
        <v>3.6413348831788754E-2</v>
      </c>
      <c r="V902">
        <v>0.24731929189305382</v>
      </c>
      <c r="W902">
        <v>0.11838910244268352</v>
      </c>
      <c r="X902">
        <v>2.0523869884479122E-2</v>
      </c>
      <c r="Y902">
        <v>5.3563547623939238E-3</v>
      </c>
    </row>
    <row r="903" spans="1:25" x14ac:dyDescent="0.25">
      <c r="A903" s="881"/>
      <c r="B903" s="1131">
        <v>653</v>
      </c>
      <c r="C903" s="885">
        <v>1.0143623732631273</v>
      </c>
      <c r="D903" s="885">
        <v>0.99959693050633847</v>
      </c>
      <c r="E903" s="885">
        <v>0.99821396176952071</v>
      </c>
      <c r="F903" s="885">
        <v>0.97484354152381358</v>
      </c>
      <c r="G903" s="885">
        <v>1.0194946489779257</v>
      </c>
      <c r="H903" s="885">
        <v>0.97942004477552236</v>
      </c>
      <c r="I903" s="885">
        <v>0.97247706904629982</v>
      </c>
      <c r="K903">
        <v>1.9136871157952864</v>
      </c>
      <c r="L903">
        <v>0</v>
      </c>
      <c r="M903">
        <v>1.8934329442125818E-3</v>
      </c>
      <c r="N903">
        <v>0.1896877894534581</v>
      </c>
      <c r="O903">
        <v>2.4797737974510757E-2</v>
      </c>
      <c r="P903">
        <v>2.0928159550868589E-2</v>
      </c>
      <c r="Q903">
        <v>2.9078798993200003E-3</v>
      </c>
      <c r="R903">
        <v>1.8818933090220668E-3</v>
      </c>
      <c r="S903">
        <v>0.19537603901145073</v>
      </c>
      <c r="T903">
        <v>1.0585364505284822</v>
      </c>
      <c r="U903">
        <v>3.6791891718992172E-2</v>
      </c>
      <c r="V903">
        <v>0.24585796886616357</v>
      </c>
      <c r="W903">
        <v>0.11352367570453389</v>
      </c>
      <c r="X903">
        <v>2.0169169501499513E-2</v>
      </c>
      <c r="Y903">
        <v>5.121893221195474E-3</v>
      </c>
    </row>
    <row r="904" spans="1:25" x14ac:dyDescent="0.25">
      <c r="A904" s="881"/>
      <c r="B904" s="1131">
        <v>654</v>
      </c>
      <c r="C904" s="885">
        <v>1.0305862930074421</v>
      </c>
      <c r="D904" s="885">
        <v>0.97347820227589354</v>
      </c>
      <c r="E904" s="885">
        <v>0.99204683043621411</v>
      </c>
      <c r="F904" s="885">
        <v>1.0064107073283846</v>
      </c>
      <c r="G904" s="885">
        <v>1.036773160900218</v>
      </c>
      <c r="H904" s="885">
        <v>0.99930815148029994</v>
      </c>
      <c r="I904" s="885">
        <v>0.99308022382496874</v>
      </c>
      <c r="K904">
        <v>1.9238979314925724</v>
      </c>
      <c r="L904">
        <v>0</v>
      </c>
      <c r="M904">
        <v>1.951744669116931E-3</v>
      </c>
      <c r="N904">
        <v>0.19183798423896628</v>
      </c>
      <c r="O904">
        <v>2.4729956184768202E-2</v>
      </c>
      <c r="P904">
        <v>2.091855312755786E-2</v>
      </c>
      <c r="Q904">
        <v>2.8766157542199689E-3</v>
      </c>
      <c r="R904">
        <v>1.940107881089226E-3</v>
      </c>
      <c r="S904">
        <v>0.20074427117862728</v>
      </c>
      <c r="T904">
        <v>1.0591041161076125</v>
      </c>
      <c r="U904">
        <v>3.6212698397151452E-2</v>
      </c>
      <c r="V904">
        <v>0.24690794379203249</v>
      </c>
      <c r="W904">
        <v>0.1152976769243881</v>
      </c>
      <c r="X904">
        <v>1.9999418479342709E-2</v>
      </c>
      <c r="Y904">
        <v>5.2803340959337577E-3</v>
      </c>
    </row>
    <row r="905" spans="1:25" x14ac:dyDescent="0.25">
      <c r="A905" s="881"/>
      <c r="B905" s="1131">
        <v>655</v>
      </c>
      <c r="C905" s="885">
        <v>0.99058917018351889</v>
      </c>
      <c r="D905" s="885">
        <v>1.0051525389108182</v>
      </c>
      <c r="E905" s="885">
        <v>0.98829016806220316</v>
      </c>
      <c r="F905" s="885">
        <v>0.99361035232572825</v>
      </c>
      <c r="G905" s="885">
        <v>0.97775812735906831</v>
      </c>
      <c r="H905" s="885">
        <v>1.0049272446786688</v>
      </c>
      <c r="I905" s="885">
        <v>0.97707810718342281</v>
      </c>
      <c r="K905">
        <v>1.9389121992615808</v>
      </c>
      <c r="L905">
        <v>0</v>
      </c>
      <c r="M905">
        <v>2.0257775516721219E-3</v>
      </c>
      <c r="N905">
        <v>0.19680343253891475</v>
      </c>
      <c r="O905">
        <v>2.5323313811739918E-2</v>
      </c>
      <c r="P905">
        <v>2.0936601938209669E-2</v>
      </c>
      <c r="Q905">
        <v>2.9410618388806264E-3</v>
      </c>
      <c r="R905">
        <v>2.0137400906226899E-3</v>
      </c>
      <c r="S905">
        <v>0.20304086540761482</v>
      </c>
      <c r="T905">
        <v>1.0594506304328544</v>
      </c>
      <c r="U905">
        <v>3.7674862318556143E-2</v>
      </c>
      <c r="V905">
        <v>0.24850431881448781</v>
      </c>
      <c r="W905">
        <v>0.11858852351981175</v>
      </c>
      <c r="X905">
        <v>2.0179889404128692E-2</v>
      </c>
      <c r="Y905">
        <v>5.4807366974324954E-3</v>
      </c>
    </row>
    <row r="906" spans="1:25" x14ac:dyDescent="0.25">
      <c r="A906" s="881"/>
      <c r="B906" s="1131">
        <v>656</v>
      </c>
      <c r="C906" s="885">
        <v>0.98007605448185087</v>
      </c>
      <c r="D906" s="885">
        <v>1.0018537899107884</v>
      </c>
      <c r="E906" s="885">
        <v>1.0290705272548417</v>
      </c>
      <c r="F906" s="885">
        <v>0.99558510647006226</v>
      </c>
      <c r="G906" s="885">
        <v>0.98173352182920426</v>
      </c>
      <c r="H906" s="885">
        <v>0.99683465994683296</v>
      </c>
      <c r="I906" s="885">
        <v>1.0031915776828952</v>
      </c>
      <c r="K906">
        <v>1.9588628366495524</v>
      </c>
      <c r="L906">
        <v>0</v>
      </c>
      <c r="M906">
        <v>1.8666934189509998E-3</v>
      </c>
      <c r="N906">
        <v>0.20585336699837836</v>
      </c>
      <c r="O906">
        <v>2.5636613574937704E-2</v>
      </c>
      <c r="P906">
        <v>2.1658807463820297E-2</v>
      </c>
      <c r="Q906">
        <v>3.1007207702774347E-3</v>
      </c>
      <c r="R906">
        <v>1.8555137523459256E-3</v>
      </c>
      <c r="S906">
        <v>0.21018413781691223</v>
      </c>
      <c r="T906">
        <v>1.055718475742397</v>
      </c>
      <c r="U906">
        <v>3.807899441094649E-2</v>
      </c>
      <c r="V906">
        <v>0.25044251264995959</v>
      </c>
      <c r="W906">
        <v>0.12064856605437928</v>
      </c>
      <c r="X906">
        <v>2.2501724070207615E-2</v>
      </c>
      <c r="Y906">
        <v>5.0500967639415398E-3</v>
      </c>
    </row>
    <row r="907" spans="1:25" x14ac:dyDescent="0.25">
      <c r="A907" s="881"/>
      <c r="B907" s="1131">
        <v>657</v>
      </c>
      <c r="C907" s="885">
        <v>0.96824970042971936</v>
      </c>
      <c r="D907" s="885">
        <v>1.0224720592712668</v>
      </c>
      <c r="E907" s="885">
        <v>1.015119877029141</v>
      </c>
      <c r="F907" s="885">
        <v>0.98930033914930138</v>
      </c>
      <c r="G907" s="885">
        <v>1.0027438923896475</v>
      </c>
      <c r="H907" s="885">
        <v>0.99749241499109231</v>
      </c>
      <c r="I907" s="885">
        <v>1.0005434457917748</v>
      </c>
      <c r="K907">
        <v>1.9566481291732034</v>
      </c>
      <c r="L907">
        <v>0</v>
      </c>
      <c r="M907">
        <v>1.9278166975923985E-3</v>
      </c>
      <c r="N907">
        <v>0.20357774816472807</v>
      </c>
      <c r="O907">
        <v>2.5689821868725718E-2</v>
      </c>
      <c r="P907">
        <v>2.145272221654904E-2</v>
      </c>
      <c r="Q907">
        <v>3.068741350099199E-3</v>
      </c>
      <c r="R907">
        <v>1.916262362987654E-3</v>
      </c>
      <c r="S907">
        <v>0.2102863783971507</v>
      </c>
      <c r="T907">
        <v>1.0569879128114124</v>
      </c>
      <c r="U907">
        <v>3.854409723478739E-2</v>
      </c>
      <c r="V907">
        <v>0.24961289466984685</v>
      </c>
      <c r="W907">
        <v>0.12044169220899881</v>
      </c>
      <c r="X907">
        <v>2.1782240129176084E-2</v>
      </c>
      <c r="Y907">
        <v>5.215434456334208E-3</v>
      </c>
    </row>
    <row r="908" spans="1:25" x14ac:dyDescent="0.25">
      <c r="A908" s="881"/>
      <c r="B908" s="1131">
        <v>658</v>
      </c>
      <c r="C908" s="885">
        <v>1.0048828993560637</v>
      </c>
      <c r="D908" s="885">
        <v>0.97510080364406049</v>
      </c>
      <c r="E908" s="885">
        <v>1.0133976377560003</v>
      </c>
      <c r="F908" s="885">
        <v>0.99663100470142063</v>
      </c>
      <c r="G908" s="885">
        <v>1.0327984969077337</v>
      </c>
      <c r="H908" s="885">
        <v>0.99594261325511824</v>
      </c>
      <c r="I908" s="885">
        <v>1.0039044063741165</v>
      </c>
      <c r="K908">
        <v>1.9472437163384713</v>
      </c>
      <c r="L908">
        <v>0</v>
      </c>
      <c r="M908">
        <v>1.9056025028531664E-3</v>
      </c>
      <c r="N908">
        <v>0.20015981582831946</v>
      </c>
      <c r="O908">
        <v>2.534153634711591E-2</v>
      </c>
      <c r="P908">
        <v>2.1380766315749814E-2</v>
      </c>
      <c r="Q908">
        <v>3.0119590523392885E-3</v>
      </c>
      <c r="R908">
        <v>1.8942011011682082E-3</v>
      </c>
      <c r="S908">
        <v>0.20761880699300891</v>
      </c>
      <c r="T908">
        <v>1.0571451552423949</v>
      </c>
      <c r="U908">
        <v>3.7138964773738292E-2</v>
      </c>
      <c r="V908">
        <v>0.25028196336031838</v>
      </c>
      <c r="W908">
        <v>0.1185578075286875</v>
      </c>
      <c r="X908">
        <v>2.1462951324328867E-2</v>
      </c>
      <c r="Y908">
        <v>5.1553909741546798E-3</v>
      </c>
    </row>
    <row r="909" spans="1:25" x14ac:dyDescent="0.25">
      <c r="A909" s="881"/>
      <c r="B909" s="1131">
        <v>659</v>
      </c>
      <c r="C909" s="885">
        <v>1.0028504876489446</v>
      </c>
      <c r="D909" s="885">
        <v>1.0158927695828901</v>
      </c>
      <c r="E909" s="885">
        <v>0.98823677584806568</v>
      </c>
      <c r="F909" s="885">
        <v>0.98038468944664681</v>
      </c>
      <c r="G909" s="885">
        <v>0.99268751442695768</v>
      </c>
      <c r="H909" s="885">
        <v>1.0352606083704574</v>
      </c>
      <c r="I909" s="885">
        <v>0.99955683064583423</v>
      </c>
      <c r="K909">
        <v>1.9430822389907911</v>
      </c>
      <c r="L909">
        <v>0</v>
      </c>
      <c r="M909">
        <v>2.0508473270398602E-3</v>
      </c>
      <c r="N909">
        <v>0.1992398717240747</v>
      </c>
      <c r="O909">
        <v>2.4882636121388128E-2</v>
      </c>
      <c r="P909">
        <v>2.0944859039375451E-2</v>
      </c>
      <c r="Q909">
        <v>2.891857242142346E-3</v>
      </c>
      <c r="R909">
        <v>2.0390092873475286E-3</v>
      </c>
      <c r="S909">
        <v>0.20721104463989654</v>
      </c>
      <c r="T909">
        <v>1.059455559281133</v>
      </c>
      <c r="U909">
        <v>3.7214231892542249E-2</v>
      </c>
      <c r="V909">
        <v>0.24546252795657383</v>
      </c>
      <c r="W909">
        <v>0.12006107936647585</v>
      </c>
      <c r="X909">
        <v>2.0180898645951309E-2</v>
      </c>
      <c r="Y909">
        <v>5.5495111209290446E-3</v>
      </c>
    </row>
    <row r="910" spans="1:25" x14ac:dyDescent="0.25">
      <c r="A910" s="881"/>
      <c r="B910" s="1131">
        <v>660</v>
      </c>
      <c r="C910" s="885">
        <v>1.0133683606161765</v>
      </c>
      <c r="D910" s="885">
        <v>1.0250762693110771</v>
      </c>
      <c r="E910" s="885">
        <v>0.99524949302393606</v>
      </c>
      <c r="F910" s="885">
        <v>1.0056402122800174</v>
      </c>
      <c r="G910" s="885">
        <v>0.96813982781778796</v>
      </c>
      <c r="H910" s="885">
        <v>1.0146175677930065</v>
      </c>
      <c r="I910" s="885">
        <v>1.0026859205981851</v>
      </c>
      <c r="K910">
        <v>1.9250641061844269</v>
      </c>
      <c r="L910">
        <v>0</v>
      </c>
      <c r="M910">
        <v>1.9512897116098344E-3</v>
      </c>
      <c r="N910">
        <v>0.19372815115524158</v>
      </c>
      <c r="O910">
        <v>2.4515235040991984E-2</v>
      </c>
      <c r="P910">
        <v>2.0947448289906086E-2</v>
      </c>
      <c r="Q910">
        <v>2.8711901375517439E-3</v>
      </c>
      <c r="R910">
        <v>1.9397900795489085E-3</v>
      </c>
      <c r="S910">
        <v>0.20281372535201753</v>
      </c>
      <c r="T910">
        <v>1.0588091360722289</v>
      </c>
      <c r="U910">
        <v>3.6827980871856306E-2</v>
      </c>
      <c r="V910">
        <v>0.24294079522860809</v>
      </c>
      <c r="W910">
        <v>0.11617769191769475</v>
      </c>
      <c r="X910">
        <v>2.0164782605483992E-2</v>
      </c>
      <c r="Y910">
        <v>5.2794691449042624E-3</v>
      </c>
    </row>
    <row r="911" spans="1:25" x14ac:dyDescent="0.25">
      <c r="A911" s="881"/>
      <c r="B911" s="1131">
        <v>661</v>
      </c>
      <c r="C911" s="885">
        <v>1.0348007773211925</v>
      </c>
      <c r="D911" s="885">
        <v>0.98010173242190501</v>
      </c>
      <c r="E911" s="885">
        <v>1.0049322894869599</v>
      </c>
      <c r="F911" s="885">
        <v>1.0159674344945691</v>
      </c>
      <c r="G911" s="885">
        <v>1.0096020942730366</v>
      </c>
      <c r="H911" s="885">
        <v>0.99882234652421786</v>
      </c>
      <c r="I911" s="885">
        <v>0.9820608790879235</v>
      </c>
      <c r="K911">
        <v>1.9182871024634278</v>
      </c>
      <c r="L911">
        <v>0</v>
      </c>
      <c r="M911">
        <v>1.8844994487576734E-3</v>
      </c>
      <c r="N911">
        <v>0.19280447007061158</v>
      </c>
      <c r="O911">
        <v>2.4546439233374108E-2</v>
      </c>
      <c r="P911">
        <v>2.1032757711684395E-2</v>
      </c>
      <c r="Q911">
        <v>2.8939046399798509E-3</v>
      </c>
      <c r="R911">
        <v>1.8732527905439397E-3</v>
      </c>
      <c r="S911">
        <v>0.19704455358741299</v>
      </c>
      <c r="T911">
        <v>1.0579197345833591</v>
      </c>
      <c r="U911">
        <v>3.6065213149074619E-2</v>
      </c>
      <c r="V911">
        <v>0.24549983867941691</v>
      </c>
      <c r="W911">
        <v>0.11486029413101571</v>
      </c>
      <c r="X911">
        <v>2.0532766757466941E-2</v>
      </c>
      <c r="Y911">
        <v>5.0983765782441652E-3</v>
      </c>
    </row>
    <row r="912" spans="1:25" x14ac:dyDescent="0.25">
      <c r="A912" s="881"/>
      <c r="B912" s="1131">
        <v>662</v>
      </c>
      <c r="C912" s="885">
        <v>0.9792906328058022</v>
      </c>
      <c r="D912" s="885">
        <v>0.97957130142107396</v>
      </c>
      <c r="E912" s="885">
        <v>1.011016275874747</v>
      </c>
      <c r="F912" s="885">
        <v>0.98864402120377537</v>
      </c>
      <c r="G912" s="885">
        <v>1.0371053402129204</v>
      </c>
      <c r="H912" s="885">
        <v>0.99744417546239716</v>
      </c>
      <c r="I912" s="885">
        <v>0.9665416396409503</v>
      </c>
      <c r="K912">
        <v>1.9573365470986723</v>
      </c>
      <c r="L912">
        <v>0</v>
      </c>
      <c r="M912">
        <v>1.9637531894098935E-3</v>
      </c>
      <c r="N912">
        <v>0.2047481273243294</v>
      </c>
      <c r="O912">
        <v>2.5944801366166347E-2</v>
      </c>
      <c r="P912">
        <v>2.1364619674242809E-2</v>
      </c>
      <c r="Q912">
        <v>3.0773278950827938E-3</v>
      </c>
      <c r="R912">
        <v>1.9520177974465475E-3</v>
      </c>
      <c r="S912">
        <v>0.20483550219637886</v>
      </c>
      <c r="T912">
        <v>1.0573627671315367</v>
      </c>
      <c r="U912">
        <v>3.8109534953876867E-2</v>
      </c>
      <c r="V912">
        <v>0.25343283798615546</v>
      </c>
      <c r="W912">
        <v>0.12147163008872529</v>
      </c>
      <c r="X912">
        <v>2.1688384911984319E-2</v>
      </c>
      <c r="Y912">
        <v>5.3127489621555141E-3</v>
      </c>
    </row>
    <row r="913" spans="1:25" x14ac:dyDescent="0.25">
      <c r="A913" s="881"/>
      <c r="B913" s="1131">
        <v>663</v>
      </c>
      <c r="C913" s="885">
        <v>1.0014719363132114</v>
      </c>
      <c r="D913" s="885">
        <v>0.9874362629965916</v>
      </c>
      <c r="E913" s="885">
        <v>1.0139322277351341</v>
      </c>
      <c r="F913" s="885">
        <v>1.0289312365991214</v>
      </c>
      <c r="G913" s="885">
        <v>1.0111340484963913</v>
      </c>
      <c r="H913" s="885">
        <v>1.017901912187325</v>
      </c>
      <c r="I913" s="885">
        <v>1.0070507788035525</v>
      </c>
      <c r="K913">
        <v>1.9551256088467983</v>
      </c>
      <c r="L913">
        <v>0</v>
      </c>
      <c r="M913">
        <v>1.9399181504362692E-3</v>
      </c>
      <c r="N913">
        <v>0.20412852706271886</v>
      </c>
      <c r="O913">
        <v>2.5269700074235346E-2</v>
      </c>
      <c r="P913">
        <v>2.1408153404754011E-2</v>
      </c>
      <c r="Q913">
        <v>3.0076797276887652E-3</v>
      </c>
      <c r="R913">
        <v>1.9285518482710466E-3</v>
      </c>
      <c r="S913">
        <v>0.21002184608885394</v>
      </c>
      <c r="T913">
        <v>1.0570963341622561</v>
      </c>
      <c r="U913">
        <v>3.7265458219734864E-2</v>
      </c>
      <c r="V913">
        <v>0.24917611578015164</v>
      </c>
      <c r="W913">
        <v>0.12086473781583307</v>
      </c>
      <c r="X913">
        <v>2.1649540428686258E-2</v>
      </c>
      <c r="Y913">
        <v>5.2488823840478663E-3</v>
      </c>
    </row>
    <row r="914" spans="1:25" x14ac:dyDescent="0.25">
      <c r="A914" s="881"/>
      <c r="B914" s="1131">
        <v>664</v>
      </c>
      <c r="C914" s="885">
        <v>1.0037541866906861</v>
      </c>
      <c r="D914" s="885">
        <v>1.0373690836681526</v>
      </c>
      <c r="E914" s="885">
        <v>0.9972477908748939</v>
      </c>
      <c r="F914" s="885">
        <v>0.99689467627580131</v>
      </c>
      <c r="G914" s="885">
        <v>1.0113681179791636</v>
      </c>
      <c r="H914" s="885">
        <v>0.99526710961063403</v>
      </c>
      <c r="I914" s="885">
        <v>0.96745508642078726</v>
      </c>
      <c r="K914">
        <v>1.9124397143539953</v>
      </c>
      <c r="L914">
        <v>0</v>
      </c>
      <c r="M914">
        <v>1.9130343524836554E-3</v>
      </c>
      <c r="N914">
        <v>0.19109189856082612</v>
      </c>
      <c r="O914">
        <v>2.4605049321589769E-2</v>
      </c>
      <c r="P914">
        <v>2.0867959186135002E-2</v>
      </c>
      <c r="Q914">
        <v>2.8898835226256079E-3</v>
      </c>
      <c r="R914">
        <v>1.9015316045531863E-3</v>
      </c>
      <c r="S914">
        <v>0.19463435901597287</v>
      </c>
      <c r="T914">
        <v>1.0586252858139722</v>
      </c>
      <c r="U914">
        <v>3.7180727209676273E-2</v>
      </c>
      <c r="V914">
        <v>0.24281181436952545</v>
      </c>
      <c r="W914">
        <v>0.11443975226645463</v>
      </c>
      <c r="X914">
        <v>2.012914564727802E-2</v>
      </c>
      <c r="Y914">
        <v>5.1753421878687981E-3</v>
      </c>
    </row>
    <row r="915" spans="1:25" x14ac:dyDescent="0.25">
      <c r="A915" s="881"/>
      <c r="B915" s="1131">
        <v>665</v>
      </c>
      <c r="C915" s="885">
        <v>0.97509830658829011</v>
      </c>
      <c r="D915" s="885">
        <v>1.0008079519253246</v>
      </c>
      <c r="E915" s="885">
        <v>1.0043545229441599</v>
      </c>
      <c r="F915" s="885">
        <v>0.99801885462824014</v>
      </c>
      <c r="G915" s="885">
        <v>0.97334626399436763</v>
      </c>
      <c r="H915" s="885">
        <v>1.0034586137462072</v>
      </c>
      <c r="I915" s="885">
        <v>1.0084169649972958</v>
      </c>
      <c r="K915">
        <v>1.962087090007046</v>
      </c>
      <c r="L915">
        <v>0</v>
      </c>
      <c r="M915">
        <v>1.990892638156984E-3</v>
      </c>
      <c r="N915">
        <v>0.20332782670338759</v>
      </c>
      <c r="O915">
        <v>2.5780807707499333E-2</v>
      </c>
      <c r="P915">
        <v>2.1354774748462885E-2</v>
      </c>
      <c r="Q915">
        <v>3.0421196595530539E-3</v>
      </c>
      <c r="R915">
        <v>1.9790487049968332E-3</v>
      </c>
      <c r="S915">
        <v>0.21315227086879746</v>
      </c>
      <c r="T915">
        <v>1.057972702133557</v>
      </c>
      <c r="U915">
        <v>3.8273382641279136E-2</v>
      </c>
      <c r="V915">
        <v>0.25130879774898557</v>
      </c>
      <c r="W915">
        <v>0.1211771625762723</v>
      </c>
      <c r="X915">
        <v>2.1322770970639504E-2</v>
      </c>
      <c r="Y915">
        <v>5.3863181817711114E-3</v>
      </c>
    </row>
    <row r="916" spans="1:25" x14ac:dyDescent="0.25">
      <c r="A916" s="881"/>
      <c r="B916" s="1131">
        <v>666</v>
      </c>
      <c r="C916" s="885">
        <v>0.99110699415955561</v>
      </c>
      <c r="D916" s="885">
        <v>1.0203221279589676</v>
      </c>
      <c r="E916" s="885">
        <v>0.98834967818729313</v>
      </c>
      <c r="F916" s="885">
        <v>0.99590844771583276</v>
      </c>
      <c r="G916" s="885">
        <v>0.98405985908242455</v>
      </c>
      <c r="H916" s="885">
        <v>0.97251828876121371</v>
      </c>
      <c r="I916" s="885">
        <v>0.9868961250146413</v>
      </c>
      <c r="K916">
        <v>1.9207619320603542</v>
      </c>
      <c r="L916">
        <v>0</v>
      </c>
      <c r="M916">
        <v>1.9447412954603322E-3</v>
      </c>
      <c r="N916">
        <v>0.18892695894108683</v>
      </c>
      <c r="O916">
        <v>2.5123439535069625E-2</v>
      </c>
      <c r="P916">
        <v>2.0874515998821817E-2</v>
      </c>
      <c r="Q916">
        <v>2.92105573656383E-3</v>
      </c>
      <c r="R916">
        <v>1.9327879325110391E-3</v>
      </c>
      <c r="S916">
        <v>0.20033805760877302</v>
      </c>
      <c r="T916">
        <v>1.0594451369463505</v>
      </c>
      <c r="U916">
        <v>3.7655178321654346E-2</v>
      </c>
      <c r="V916">
        <v>0.2465738587852889</v>
      </c>
      <c r="W916">
        <v>0.11383769613791052</v>
      </c>
      <c r="X916">
        <v>1.9817575802859318E-2</v>
      </c>
      <c r="Y916">
        <v>5.2604116089243315E-3</v>
      </c>
    </row>
    <row r="917" spans="1:25" x14ac:dyDescent="0.25">
      <c r="A917" s="881"/>
      <c r="B917" s="1131">
        <v>667</v>
      </c>
      <c r="C917" s="885">
        <v>1.0073449832331438</v>
      </c>
      <c r="D917" s="885">
        <v>0.98155159180501772</v>
      </c>
      <c r="E917" s="885">
        <v>1.0034775332343675</v>
      </c>
      <c r="F917" s="885">
        <v>1.022576501522737</v>
      </c>
      <c r="G917" s="885">
        <v>0.97355488661593581</v>
      </c>
      <c r="H917" s="885">
        <v>1.0368655173521852</v>
      </c>
      <c r="I917" s="885">
        <v>1.0207093339699647</v>
      </c>
      <c r="K917">
        <v>1.9620675259844629</v>
      </c>
      <c r="L917">
        <v>0</v>
      </c>
      <c r="M917">
        <v>2.0142887831150749E-3</v>
      </c>
      <c r="N917">
        <v>0.20519806020673634</v>
      </c>
      <c r="O917">
        <v>2.5196974402828771E-2</v>
      </c>
      <c r="P917">
        <v>2.1308889755225303E-2</v>
      </c>
      <c r="Q917">
        <v>2.9665771982076913E-3</v>
      </c>
      <c r="R917">
        <v>2.0027074140839692E-3</v>
      </c>
      <c r="S917">
        <v>0.21417510762711492</v>
      </c>
      <c r="T917">
        <v>1.0580531262532231</v>
      </c>
      <c r="U917">
        <v>3.7048192250022233E-2</v>
      </c>
      <c r="V917">
        <v>0.24909490077310295</v>
      </c>
      <c r="W917">
        <v>0.12236497003608726</v>
      </c>
      <c r="X917">
        <v>2.1221599462128815E-2</v>
      </c>
      <c r="Y917">
        <v>5.4507093888149427E-3</v>
      </c>
    </row>
    <row r="918" spans="1:25" x14ac:dyDescent="0.25">
      <c r="A918" s="881"/>
      <c r="B918" s="1131">
        <v>668</v>
      </c>
      <c r="C918" s="885">
        <v>0.95865588502785126</v>
      </c>
      <c r="D918" s="885">
        <v>0.98625617729745729</v>
      </c>
      <c r="E918" s="885">
        <v>1.0154687263698345</v>
      </c>
      <c r="F918" s="885">
        <v>0.97640295626122131</v>
      </c>
      <c r="G918" s="885">
        <v>0.98728931652899132</v>
      </c>
      <c r="H918" s="885">
        <v>0.97878751382426454</v>
      </c>
      <c r="I918" s="885">
        <v>0.97584004985062656</v>
      </c>
      <c r="K918">
        <v>1.9655818237295148</v>
      </c>
      <c r="L918">
        <v>0</v>
      </c>
      <c r="M918">
        <v>1.9435280795091995E-3</v>
      </c>
      <c r="N918">
        <v>0.20543895719852892</v>
      </c>
      <c r="O918">
        <v>2.6413969184064863E-2</v>
      </c>
      <c r="P918">
        <v>2.1524626049430833E-2</v>
      </c>
      <c r="Q918">
        <v>3.148430264857748E-3</v>
      </c>
      <c r="R918">
        <v>1.9316865466884599E-3</v>
      </c>
      <c r="S918">
        <v>0.20866224728278468</v>
      </c>
      <c r="T918">
        <v>1.0569560765750377</v>
      </c>
      <c r="U918">
        <v>3.8929829966915262E-2</v>
      </c>
      <c r="V918">
        <v>0.25569251333211435</v>
      </c>
      <c r="W918">
        <v>0.12151412907253026</v>
      </c>
      <c r="X918">
        <v>2.2055472336281284E-2</v>
      </c>
      <c r="Y918">
        <v>5.2574139997870108E-3</v>
      </c>
    </row>
    <row r="919" spans="1:25" x14ac:dyDescent="0.25">
      <c r="A919" s="881"/>
      <c r="B919" s="1131">
        <v>669</v>
      </c>
      <c r="C919" s="885">
        <v>0.98873226467692743</v>
      </c>
      <c r="D919" s="885">
        <v>0.99469355957528371</v>
      </c>
      <c r="E919" s="885">
        <v>0.99718166253757534</v>
      </c>
      <c r="F919" s="885">
        <v>0.97943897026060123</v>
      </c>
      <c r="G919" s="885">
        <v>1.0013099350073942</v>
      </c>
      <c r="H919" s="885">
        <v>1.0283890609757174</v>
      </c>
      <c r="I919" s="885">
        <v>0.9672738729139112</v>
      </c>
      <c r="K919">
        <v>1.9544796097201096</v>
      </c>
      <c r="L919">
        <v>0</v>
      </c>
      <c r="M919">
        <v>2.0490532740086121E-3</v>
      </c>
      <c r="N919">
        <v>0.20467996458741172</v>
      </c>
      <c r="O919">
        <v>2.5502574105770545E-2</v>
      </c>
      <c r="P919">
        <v>2.1110578394471977E-2</v>
      </c>
      <c r="Q919">
        <v>2.9864010947525514E-3</v>
      </c>
      <c r="R919">
        <v>2.0371639060745199E-3</v>
      </c>
      <c r="S919">
        <v>0.20467944162346005</v>
      </c>
      <c r="T919">
        <v>1.0586313673609828</v>
      </c>
      <c r="U919">
        <v>3.7745618236815048E-2</v>
      </c>
      <c r="V919">
        <v>0.25008600873639852</v>
      </c>
      <c r="W919">
        <v>0.12258283353097696</v>
      </c>
      <c r="X919">
        <v>2.0942222815568692E-2</v>
      </c>
      <c r="Y919">
        <v>5.5444886014336895E-3</v>
      </c>
    </row>
    <row r="920" spans="1:25" x14ac:dyDescent="0.25">
      <c r="A920" s="881"/>
      <c r="B920" s="1131">
        <v>670</v>
      </c>
      <c r="C920" s="885">
        <v>0.9966497150732585</v>
      </c>
      <c r="D920" s="885">
        <v>0.98646371617530637</v>
      </c>
      <c r="E920" s="885">
        <v>1.0039207766885077</v>
      </c>
      <c r="F920" s="885">
        <v>1.0222466768091796</v>
      </c>
      <c r="G920" s="885">
        <v>1.0195653777886737</v>
      </c>
      <c r="H920" s="885">
        <v>1.0057745178870616</v>
      </c>
      <c r="I920" s="885">
        <v>0.98372575006028251</v>
      </c>
      <c r="K920">
        <v>1.9468661111190064</v>
      </c>
      <c r="L920">
        <v>0</v>
      </c>
      <c r="M920">
        <v>1.9681371935342277E-3</v>
      </c>
      <c r="N920">
        <v>0.20073682912942206</v>
      </c>
      <c r="O920">
        <v>2.5404376734527324E-2</v>
      </c>
      <c r="P920">
        <v>2.1207850255337231E-2</v>
      </c>
      <c r="Q920">
        <v>2.9933748678853105E-3</v>
      </c>
      <c r="R920">
        <v>1.9564673069630369E-3</v>
      </c>
      <c r="S920">
        <v>0.20502396645236573</v>
      </c>
      <c r="T920">
        <v>1.0580124749767872</v>
      </c>
      <c r="U920">
        <v>3.744576458156481E-2</v>
      </c>
      <c r="V920">
        <v>0.24999402428541728</v>
      </c>
      <c r="W920">
        <v>0.11966841569177129</v>
      </c>
      <c r="X920">
        <v>2.106584497021944E-2</v>
      </c>
      <c r="Y920">
        <v>5.3248590602789801E-3</v>
      </c>
    </row>
    <row r="921" spans="1:25" x14ac:dyDescent="0.25">
      <c r="A921" s="881"/>
      <c r="B921" s="1131">
        <v>671</v>
      </c>
      <c r="C921" s="885">
        <v>0.9774988022467348</v>
      </c>
      <c r="D921" s="885">
        <v>0.97721204065837297</v>
      </c>
      <c r="E921" s="885">
        <v>0.96020405110801488</v>
      </c>
      <c r="F921" s="885">
        <v>0.98754252746854854</v>
      </c>
      <c r="G921" s="885">
        <v>1.0355838428236619</v>
      </c>
      <c r="H921" s="885">
        <v>0.97670986154899908</v>
      </c>
      <c r="I921" s="885">
        <v>1.0111146498838237</v>
      </c>
      <c r="K921">
        <v>1.9497364131720956</v>
      </c>
      <c r="L921">
        <v>0</v>
      </c>
      <c r="M921">
        <v>2.1460798029058568E-3</v>
      </c>
      <c r="N921">
        <v>0.19098367014991485</v>
      </c>
      <c r="O921">
        <v>2.6023497436521936E-2</v>
      </c>
      <c r="P921">
        <v>2.0734482648449848E-2</v>
      </c>
      <c r="Q921">
        <v>2.931263159849705E-3</v>
      </c>
      <c r="R921">
        <v>2.1329847781931571E-3</v>
      </c>
      <c r="S921">
        <v>0.21271761096245212</v>
      </c>
      <c r="T921">
        <v>1.0620586343840013</v>
      </c>
      <c r="U921">
        <v>3.8179392665380167E-2</v>
      </c>
      <c r="V921">
        <v>0.25401570765586895</v>
      </c>
      <c r="W921">
        <v>0.11735579230054642</v>
      </c>
      <c r="X921">
        <v>1.8944175405823639E-2</v>
      </c>
      <c r="Y921">
        <v>5.8052814279986173E-3</v>
      </c>
    </row>
    <row r="922" spans="1:25" x14ac:dyDescent="0.25">
      <c r="A922" s="881"/>
      <c r="B922" s="1131">
        <v>672</v>
      </c>
      <c r="C922" s="885">
        <v>0.9903027163188759</v>
      </c>
      <c r="D922" s="885">
        <v>0.98771221719393176</v>
      </c>
      <c r="E922" s="885">
        <v>1.0063856980873378</v>
      </c>
      <c r="F922" s="885">
        <v>1.0192660973474275</v>
      </c>
      <c r="G922" s="885">
        <v>0.98889353481044018</v>
      </c>
      <c r="H922" s="885">
        <v>0.97496929051849845</v>
      </c>
      <c r="I922" s="885">
        <v>0.97649671360648616</v>
      </c>
      <c r="K922">
        <v>1.9366714218696695</v>
      </c>
      <c r="L922">
        <v>0</v>
      </c>
      <c r="M922">
        <v>1.9089383141320969E-3</v>
      </c>
      <c r="N922">
        <v>0.19616009937215373</v>
      </c>
      <c r="O922">
        <v>2.5551166263536557E-2</v>
      </c>
      <c r="P922">
        <v>2.1210427471979616E-2</v>
      </c>
      <c r="Q922">
        <v>3.0183860637007713E-3</v>
      </c>
      <c r="R922">
        <v>1.8972607802875381E-3</v>
      </c>
      <c r="S922">
        <v>0.20160966036579708</v>
      </c>
      <c r="T922">
        <v>1.057786548889724</v>
      </c>
      <c r="U922">
        <v>3.7685760107417275E-2</v>
      </c>
      <c r="V922">
        <v>0.25074762550141616</v>
      </c>
      <c r="W922">
        <v>0.11674365937658722</v>
      </c>
      <c r="X922">
        <v>2.1006047579107821E-2</v>
      </c>
      <c r="Y922">
        <v>5.1637184120945446E-3</v>
      </c>
    </row>
    <row r="923" spans="1:25" x14ac:dyDescent="0.25">
      <c r="A923" s="881"/>
      <c r="B923" s="1131">
        <v>673</v>
      </c>
      <c r="C923" s="885">
        <v>0.97153793888949425</v>
      </c>
      <c r="D923" s="885">
        <v>1.0025107743671731</v>
      </c>
      <c r="E923" s="885">
        <v>1.0031238440890071</v>
      </c>
      <c r="F923" s="885">
        <v>0.95971688791731447</v>
      </c>
      <c r="G923" s="885">
        <v>0.98340283977951493</v>
      </c>
      <c r="H923" s="885">
        <v>0.99122586574989269</v>
      </c>
      <c r="I923" s="885">
        <v>1.0277272670984223</v>
      </c>
      <c r="K923">
        <v>1.9626468835786881</v>
      </c>
      <c r="L923">
        <v>0</v>
      </c>
      <c r="M923">
        <v>1.9772919522178796E-3</v>
      </c>
      <c r="N923">
        <v>0.20115231408457412</v>
      </c>
      <c r="O923">
        <v>2.5853526330054402E-2</v>
      </c>
      <c r="P923">
        <v>2.1389501159478033E-2</v>
      </c>
      <c r="Q923">
        <v>3.0472975035741659E-3</v>
      </c>
      <c r="R923">
        <v>1.9653823606460966E-3</v>
      </c>
      <c r="S923">
        <v>0.21655204743814696</v>
      </c>
      <c r="T923">
        <v>1.0580855697110576</v>
      </c>
      <c r="U923">
        <v>3.841364202778897E-2</v>
      </c>
      <c r="V923">
        <v>0.25162276328815475</v>
      </c>
      <c r="W923">
        <v>0.1199813520194645</v>
      </c>
      <c r="X923">
        <v>2.1211656710405535E-2</v>
      </c>
      <c r="Y923">
        <v>5.349122897557612E-3</v>
      </c>
    </row>
    <row r="924" spans="1:25" x14ac:dyDescent="0.25">
      <c r="A924" s="881"/>
      <c r="B924" s="1131">
        <v>674</v>
      </c>
      <c r="C924" s="885">
        <v>1.000361246929568</v>
      </c>
      <c r="D924" s="885">
        <v>1.0365243589577504</v>
      </c>
      <c r="E924" s="885">
        <v>0.97005772255915945</v>
      </c>
      <c r="F924" s="885">
        <v>0.99265326541915433</v>
      </c>
      <c r="G924" s="885">
        <v>1.0370844130680656</v>
      </c>
      <c r="H924" s="885">
        <v>1.022805649222492</v>
      </c>
      <c r="I924" s="885">
        <v>0.99026323255370774</v>
      </c>
      <c r="K924">
        <v>1.9261250457969863</v>
      </c>
      <c r="L924">
        <v>0</v>
      </c>
      <c r="M924">
        <v>2.0894164204663681E-3</v>
      </c>
      <c r="N924">
        <v>0.19179323447595287</v>
      </c>
      <c r="O924">
        <v>2.4698410158979976E-2</v>
      </c>
      <c r="P924">
        <v>2.0592684933651774E-2</v>
      </c>
      <c r="Q924">
        <v>2.8217782664986435E-3</v>
      </c>
      <c r="R924">
        <v>2.0771920572483383E-3</v>
      </c>
      <c r="S924">
        <v>0.20268337192493041</v>
      </c>
      <c r="T924">
        <v>1.0611401706631931</v>
      </c>
      <c r="U924">
        <v>3.7306833621819101E-2</v>
      </c>
      <c r="V924">
        <v>0.24337269763164138</v>
      </c>
      <c r="W924">
        <v>0.11704177875420528</v>
      </c>
      <c r="X924">
        <v>1.9032877695679355E-2</v>
      </c>
      <c r="Y924">
        <v>5.6534320336523334E-3</v>
      </c>
    </row>
    <row r="925" spans="1:25" x14ac:dyDescent="0.25">
      <c r="A925" s="881"/>
      <c r="B925" s="1131">
        <v>675</v>
      </c>
      <c r="C925" s="885">
        <v>0.96163982885003074</v>
      </c>
      <c r="D925" s="885">
        <v>0.98584059562515236</v>
      </c>
      <c r="E925" s="885">
        <v>0.99418382313804843</v>
      </c>
      <c r="F925" s="885">
        <v>1.0145562637395389</v>
      </c>
      <c r="G925" s="885">
        <v>1.0280251389943185</v>
      </c>
      <c r="H925" s="885">
        <v>1.0147551196008755</v>
      </c>
      <c r="I925" s="885">
        <v>1.0306088102928201</v>
      </c>
      <c r="K925">
        <v>1.987105644129856</v>
      </c>
      <c r="L925">
        <v>0</v>
      </c>
      <c r="M925">
        <v>2.101290656577306E-3</v>
      </c>
      <c r="N925">
        <v>0.20793326010031934</v>
      </c>
      <c r="O925">
        <v>2.6337511962106794E-2</v>
      </c>
      <c r="P925">
        <v>2.1409991025497583E-2</v>
      </c>
      <c r="Q925">
        <v>3.0729480447190941E-3</v>
      </c>
      <c r="R925">
        <v>2.0889420589312591E-3</v>
      </c>
      <c r="S925">
        <v>0.22366070923209488</v>
      </c>
      <c r="T925">
        <v>1.0589072448972185</v>
      </c>
      <c r="U925">
        <v>3.8809031699057306E-2</v>
      </c>
      <c r="V925">
        <v>0.25528470934856795</v>
      </c>
      <c r="W925">
        <v>0.12478771175103795</v>
      </c>
      <c r="X925">
        <v>2.1229463002036354E-2</v>
      </c>
      <c r="Y925">
        <v>5.6854116648462315E-3</v>
      </c>
    </row>
    <row r="926" spans="1:25" x14ac:dyDescent="0.25">
      <c r="A926" s="881"/>
      <c r="B926" s="1131">
        <v>676</v>
      </c>
      <c r="C926" s="885">
        <v>1.0014948766017182</v>
      </c>
      <c r="D926" s="885">
        <v>1.0247935894888003</v>
      </c>
      <c r="E926" s="885">
        <v>1.0010301212185939</v>
      </c>
      <c r="F926" s="885">
        <v>1.0243500386475957</v>
      </c>
      <c r="G926" s="885">
        <v>1.0028162172181987</v>
      </c>
      <c r="H926" s="885">
        <v>0.99871615661297142</v>
      </c>
      <c r="I926" s="885">
        <v>0.98030763673884136</v>
      </c>
      <c r="K926">
        <v>1.923671922343702</v>
      </c>
      <c r="L926">
        <v>0</v>
      </c>
      <c r="M926">
        <v>1.9202319635135236E-3</v>
      </c>
      <c r="N926">
        <v>0.19408645761551518</v>
      </c>
      <c r="O926">
        <v>2.4809257050044154E-2</v>
      </c>
      <c r="P926">
        <v>2.1008811254473909E-2</v>
      </c>
      <c r="Q926">
        <v>2.922519987832794E-3</v>
      </c>
      <c r="R926">
        <v>1.9087354017612715E-3</v>
      </c>
      <c r="S926">
        <v>0.19910719438738406</v>
      </c>
      <c r="T926">
        <v>1.0582777241173273</v>
      </c>
      <c r="U926">
        <v>3.726460461540506E-2</v>
      </c>
      <c r="V926">
        <v>0.24459280352306451</v>
      </c>
      <c r="W926">
        <v>0.11593250651762259</v>
      </c>
      <c r="X926">
        <v>2.0486591287644657E-2</v>
      </c>
      <c r="Y926">
        <v>5.1949485491380966E-3</v>
      </c>
    </row>
    <row r="927" spans="1:25" x14ac:dyDescent="0.25">
      <c r="A927" s="881"/>
      <c r="B927" s="1131">
        <v>677</v>
      </c>
      <c r="C927" s="885">
        <v>0.99689273610036677</v>
      </c>
      <c r="D927" s="885">
        <v>0.97858129903537783</v>
      </c>
      <c r="E927" s="885">
        <v>1.0235027716930045</v>
      </c>
      <c r="F927" s="885">
        <v>1.0155550552950801</v>
      </c>
      <c r="G927" s="885">
        <v>1.012571496383035</v>
      </c>
      <c r="H927" s="885">
        <v>0.99433102600627787</v>
      </c>
      <c r="I927" s="885">
        <v>0.96031788719476041</v>
      </c>
      <c r="K927">
        <v>1.9440383861783566</v>
      </c>
      <c r="L927">
        <v>0</v>
      </c>
      <c r="M927">
        <v>1.8739589050067727E-3</v>
      </c>
      <c r="N927">
        <v>0.20311151778650507</v>
      </c>
      <c r="O927">
        <v>2.5499491926553063E-2</v>
      </c>
      <c r="P927">
        <v>2.1431079110298699E-2</v>
      </c>
      <c r="Q927">
        <v>3.062127503772407E-3</v>
      </c>
      <c r="R927">
        <v>1.8627258560140816E-3</v>
      </c>
      <c r="S927">
        <v>0.19970938270731803</v>
      </c>
      <c r="T927">
        <v>1.056224200010907</v>
      </c>
      <c r="U927">
        <v>3.7436636108821537E-2</v>
      </c>
      <c r="V927">
        <v>0.2509730770136806</v>
      </c>
      <c r="W927">
        <v>0.11948772334856676</v>
      </c>
      <c r="X927">
        <v>2.2044657978267438E-2</v>
      </c>
      <c r="Y927">
        <v>5.0697257326569253E-3</v>
      </c>
    </row>
    <row r="928" spans="1:25" x14ac:dyDescent="0.25">
      <c r="A928" s="881"/>
      <c r="B928" s="1131">
        <v>678</v>
      </c>
      <c r="C928" s="885">
        <v>0.99756259500232403</v>
      </c>
      <c r="D928" s="885">
        <v>0.97584283861895871</v>
      </c>
      <c r="E928" s="885">
        <v>1.0024847165576645</v>
      </c>
      <c r="F928" s="885">
        <v>0.98378430638704484</v>
      </c>
      <c r="G928" s="885">
        <v>0.97210160770359477</v>
      </c>
      <c r="H928" s="885">
        <v>0.97898276220297087</v>
      </c>
      <c r="I928" s="885">
        <v>1.0094123677085436</v>
      </c>
      <c r="K928">
        <v>1.9439508094454294</v>
      </c>
      <c r="L928">
        <v>0</v>
      </c>
      <c r="M928">
        <v>1.9300896511829971E-3</v>
      </c>
      <c r="N928">
        <v>0.19594781771332867</v>
      </c>
      <c r="O928">
        <v>2.5517854041264419E-2</v>
      </c>
      <c r="P928">
        <v>2.1250417369262246E-2</v>
      </c>
      <c r="Q928">
        <v>3.0001325639710617E-3</v>
      </c>
      <c r="R928">
        <v>1.9183410590380352E-3</v>
      </c>
      <c r="S928">
        <v>0.20845825591207862</v>
      </c>
      <c r="T928">
        <v>1.0581442084374069</v>
      </c>
      <c r="U928">
        <v>3.7411497572069623E-2</v>
      </c>
      <c r="V928">
        <v>0.25123215250183561</v>
      </c>
      <c r="W928">
        <v>0.11692804878577361</v>
      </c>
      <c r="X928">
        <v>2.0851081158839258E-2</v>
      </c>
      <c r="Y928">
        <v>5.2210919817413763E-3</v>
      </c>
    </row>
    <row r="929" spans="1:25" x14ac:dyDescent="0.25">
      <c r="A929" s="881"/>
      <c r="B929" s="1131">
        <v>679</v>
      </c>
      <c r="C929" s="885">
        <v>1.0192683273565739</v>
      </c>
      <c r="D929" s="885">
        <v>0.98357440738979118</v>
      </c>
      <c r="E929" s="885">
        <v>1.0079147551640988</v>
      </c>
      <c r="F929" s="885">
        <v>1.0076539746295723</v>
      </c>
      <c r="G929" s="885">
        <v>0.9924385192864259</v>
      </c>
      <c r="H929" s="885">
        <v>1.0023699465566556</v>
      </c>
      <c r="I929" s="885">
        <v>0.98292948349700482</v>
      </c>
      <c r="K929">
        <v>1.9303343027061526</v>
      </c>
      <c r="L929">
        <v>0</v>
      </c>
      <c r="M929">
        <v>1.9046358105800202E-3</v>
      </c>
      <c r="N929">
        <v>0.19668417702590388</v>
      </c>
      <c r="O929">
        <v>2.4876796217813218E-2</v>
      </c>
      <c r="P929">
        <v>2.1150125338152994E-2</v>
      </c>
      <c r="Q929">
        <v>2.9423576988559436E-3</v>
      </c>
      <c r="R929">
        <v>1.8933064097603138E-3</v>
      </c>
      <c r="S929">
        <v>0.20024758359777964</v>
      </c>
      <c r="T929">
        <v>1.057646519946952</v>
      </c>
      <c r="U929">
        <v>3.6614804560547269E-2</v>
      </c>
      <c r="V929">
        <v>0.24717530864208448</v>
      </c>
      <c r="W929">
        <v>0.11693376555830949</v>
      </c>
      <c r="X929">
        <v>2.0921237601495727E-2</v>
      </c>
      <c r="Y929">
        <v>5.1529559190773341E-3</v>
      </c>
    </row>
    <row r="930" spans="1:25" x14ac:dyDescent="0.25">
      <c r="A930" s="881"/>
      <c r="B930" s="1131">
        <v>680</v>
      </c>
      <c r="C930" s="885">
        <v>1.0313015587896923</v>
      </c>
      <c r="D930" s="885">
        <v>0.99283478984823004</v>
      </c>
      <c r="E930" s="885">
        <v>0.99583963575508871</v>
      </c>
      <c r="F930" s="885">
        <v>1.0004445182505279</v>
      </c>
      <c r="G930" s="885">
        <v>0.97648056962197827</v>
      </c>
      <c r="H930" s="885">
        <v>0.99020312632463514</v>
      </c>
      <c r="I930" s="885">
        <v>1.0039464502009023</v>
      </c>
      <c r="K930">
        <v>1.9147776647433956</v>
      </c>
      <c r="L930">
        <v>0</v>
      </c>
      <c r="M930">
        <v>1.8986371471857826E-3</v>
      </c>
      <c r="N930">
        <v>0.18882213767555062</v>
      </c>
      <c r="O930">
        <v>2.4472564950728717E-2</v>
      </c>
      <c r="P930">
        <v>2.0929639765054957E-2</v>
      </c>
      <c r="Q930">
        <v>2.8615401118030426E-3</v>
      </c>
      <c r="R930">
        <v>1.8871971951983277E-3</v>
      </c>
      <c r="S930">
        <v>0.20007060128525533</v>
      </c>
      <c r="T930">
        <v>1.0587548247431426</v>
      </c>
      <c r="U930">
        <v>3.618758284891474E-2</v>
      </c>
      <c r="V930">
        <v>0.24438873696007485</v>
      </c>
      <c r="W930">
        <v>0.11318972521208152</v>
      </c>
      <c r="X930">
        <v>1.9975422491833848E-2</v>
      </c>
      <c r="Y930">
        <v>5.1363286509416494E-3</v>
      </c>
    </row>
    <row r="931" spans="1:25" x14ac:dyDescent="0.25">
      <c r="A931" s="881"/>
      <c r="B931" s="1131">
        <v>681</v>
      </c>
      <c r="C931" s="885">
        <v>1.0356839311845163</v>
      </c>
      <c r="D931" s="885">
        <v>0.99700801758087532</v>
      </c>
      <c r="E931" s="885">
        <v>0.99327638461283296</v>
      </c>
      <c r="F931" s="885">
        <v>1.0098193966535431</v>
      </c>
      <c r="G931" s="885">
        <v>0.99966001222144563</v>
      </c>
      <c r="H931" s="885">
        <v>1.0317063994127207</v>
      </c>
      <c r="I931" s="885">
        <v>1.0075572218123112</v>
      </c>
      <c r="K931">
        <v>1.9276444625961313</v>
      </c>
      <c r="L931">
        <v>0</v>
      </c>
      <c r="M931">
        <v>1.9763916510583193E-3</v>
      </c>
      <c r="N931">
        <v>0.19504031946088232</v>
      </c>
      <c r="O931">
        <v>2.4318432706546919E-2</v>
      </c>
      <c r="P931">
        <v>2.0924406316946313E-2</v>
      </c>
      <c r="Q931">
        <v>2.8370099218204136E-3</v>
      </c>
      <c r="R931">
        <v>1.9649589217184704E-3</v>
      </c>
      <c r="S931">
        <v>0.2036478836008202</v>
      </c>
      <c r="T931">
        <v>1.0589908212921075</v>
      </c>
      <c r="U931">
        <v>3.6034459430333607E-2</v>
      </c>
      <c r="V931">
        <v>0.2433032851797855</v>
      </c>
      <c r="W931">
        <v>0.11712324555129117</v>
      </c>
      <c r="X931">
        <v>2.0088061428553874E-2</v>
      </c>
      <c r="Y931">
        <v>5.3479704363832183E-3</v>
      </c>
    </row>
    <row r="932" spans="1:25" x14ac:dyDescent="0.25">
      <c r="A932" s="881"/>
      <c r="B932" s="1131">
        <v>682</v>
      </c>
      <c r="C932" s="885">
        <v>1.0319406106444653</v>
      </c>
      <c r="D932" s="885">
        <v>0.98214261768091282</v>
      </c>
      <c r="E932" s="885">
        <v>0.99074329411665829</v>
      </c>
      <c r="F932" s="885">
        <v>1.0053382415305359</v>
      </c>
      <c r="G932" s="885">
        <v>0.9872003880854433</v>
      </c>
      <c r="H932" s="885">
        <v>1.0117502630045188</v>
      </c>
      <c r="I932" s="885">
        <v>1.0097102211050297</v>
      </c>
      <c r="K932">
        <v>1.9278376096947045</v>
      </c>
      <c r="L932">
        <v>0</v>
      </c>
      <c r="M932">
        <v>1.9701893340021513E-3</v>
      </c>
      <c r="N932">
        <v>0.19288018766324733</v>
      </c>
      <c r="O932">
        <v>2.4589074749178687E-2</v>
      </c>
      <c r="P932">
        <v>2.0929236501289809E-2</v>
      </c>
      <c r="Q932">
        <v>2.8582475943232585E-3</v>
      </c>
      <c r="R932">
        <v>1.9585798345131502E-3</v>
      </c>
      <c r="S932">
        <v>0.20425088640121297</v>
      </c>
      <c r="T932">
        <v>1.0592242920668415</v>
      </c>
      <c r="U932">
        <v>3.6165172894600701E-2</v>
      </c>
      <c r="V932">
        <v>0.24562933430799377</v>
      </c>
      <c r="W932">
        <v>0.11602812478277695</v>
      </c>
      <c r="X932">
        <v>1.9964053568849338E-2</v>
      </c>
      <c r="Y932">
        <v>5.330608663875868E-3</v>
      </c>
    </row>
    <row r="933" spans="1:25" x14ac:dyDescent="0.25">
      <c r="A933" s="881"/>
      <c r="B933" s="1131">
        <v>683</v>
      </c>
      <c r="C933" s="885">
        <v>0.96367469387902771</v>
      </c>
      <c r="D933" s="885">
        <v>1.0103237800966474</v>
      </c>
      <c r="E933" s="885">
        <v>1.001008247067658</v>
      </c>
      <c r="F933" s="885">
        <v>0.99189628389622397</v>
      </c>
      <c r="G933" s="885">
        <v>0.98484599518762295</v>
      </c>
      <c r="H933" s="885">
        <v>1.0077098034672405</v>
      </c>
      <c r="I933" s="885">
        <v>0.99371177060605542</v>
      </c>
      <c r="K933">
        <v>1.9653343987361989</v>
      </c>
      <c r="L933">
        <v>0</v>
      </c>
      <c r="M933">
        <v>2.0278344255206223E-3</v>
      </c>
      <c r="N933">
        <v>0.20496058720188129</v>
      </c>
      <c r="O933">
        <v>2.5964603338881922E-2</v>
      </c>
      <c r="P933">
        <v>2.1303853303662437E-2</v>
      </c>
      <c r="Q933">
        <v>3.0555446734185443E-3</v>
      </c>
      <c r="R933">
        <v>2.0158137554645854E-3</v>
      </c>
      <c r="S933">
        <v>0.21205459379384928</v>
      </c>
      <c r="T933">
        <v>1.0582797325504241</v>
      </c>
      <c r="U933">
        <v>3.8727083774186689E-2</v>
      </c>
      <c r="V933">
        <v>0.25180789244025592</v>
      </c>
      <c r="W933">
        <v>0.12242971661987384</v>
      </c>
      <c r="X933">
        <v>2.1276431180273083E-2</v>
      </c>
      <c r="Y933">
        <v>5.4863805295487034E-3</v>
      </c>
    </row>
    <row r="934" spans="1:25" x14ac:dyDescent="0.25">
      <c r="A934" s="881"/>
      <c r="B934" s="1131">
        <v>684</v>
      </c>
      <c r="C934" s="885">
        <v>1.0006013084845402</v>
      </c>
      <c r="D934" s="885">
        <v>0.98771377899052204</v>
      </c>
      <c r="E934" s="885">
        <v>1.0273582049671939</v>
      </c>
      <c r="F934" s="885">
        <v>1.017910627168616</v>
      </c>
      <c r="G934" s="885">
        <v>0.98575866457732553</v>
      </c>
      <c r="H934" s="885">
        <v>0.97473004858896273</v>
      </c>
      <c r="I934" s="885">
        <v>1.0116226983257639</v>
      </c>
      <c r="K934">
        <v>1.940351694773893</v>
      </c>
      <c r="L934">
        <v>0</v>
      </c>
      <c r="M934">
        <v>1.8070121567304695E-3</v>
      </c>
      <c r="N934">
        <v>0.19818947649671712</v>
      </c>
      <c r="O934">
        <v>2.5288163529917418E-2</v>
      </c>
      <c r="P934">
        <v>2.1558041263895274E-2</v>
      </c>
      <c r="Q934">
        <v>3.0503662764236176E-3</v>
      </c>
      <c r="R934">
        <v>1.7959554206294704E-3</v>
      </c>
      <c r="S934">
        <v>0.20668737980909541</v>
      </c>
      <c r="T934">
        <v>1.0558738783456947</v>
      </c>
      <c r="U934">
        <v>3.7297883067373055E-2</v>
      </c>
      <c r="V934">
        <v>0.24926608378300835</v>
      </c>
      <c r="W934">
        <v>0.11629036397859219</v>
      </c>
      <c r="X934">
        <v>2.197311634086847E-2</v>
      </c>
      <c r="Y934">
        <v>4.8879986184081226E-3</v>
      </c>
    </row>
    <row r="935" spans="1:25" x14ac:dyDescent="0.25">
      <c r="A935" s="881"/>
      <c r="B935" s="1131">
        <v>685</v>
      </c>
      <c r="C935" s="885">
        <v>0.97879158412370015</v>
      </c>
      <c r="D935" s="885">
        <v>1.0376922358294118</v>
      </c>
      <c r="E935" s="885">
        <v>1.0329225399758337</v>
      </c>
      <c r="F935" s="885">
        <v>0.97018492567813364</v>
      </c>
      <c r="G935" s="885">
        <v>0.96565560281796159</v>
      </c>
      <c r="H935" s="885">
        <v>1.0160718684544672</v>
      </c>
      <c r="I935" s="885">
        <v>0.99583536525206573</v>
      </c>
      <c r="K935">
        <v>1.9533121471629702</v>
      </c>
      <c r="L935">
        <v>0</v>
      </c>
      <c r="M935">
        <v>1.8572703289535929E-3</v>
      </c>
      <c r="N935">
        <v>0.20729847698438891</v>
      </c>
      <c r="O935">
        <v>2.5228693851367546E-2</v>
      </c>
      <c r="P935">
        <v>2.1619510052618317E-2</v>
      </c>
      <c r="Q935">
        <v>3.0704702043532809E-3</v>
      </c>
      <c r="R935">
        <v>1.8463313093233253E-3</v>
      </c>
      <c r="S935">
        <v>0.20752756550960966</v>
      </c>
      <c r="T935">
        <v>1.0553693041291665</v>
      </c>
      <c r="U935">
        <v>3.8128965559434527E-2</v>
      </c>
      <c r="V935">
        <v>0.24624921672507491</v>
      </c>
      <c r="W935">
        <v>0.12118253466588258</v>
      </c>
      <c r="X935">
        <v>2.2623243319676176E-2</v>
      </c>
      <c r="Y935">
        <v>5.0251051810255515E-3</v>
      </c>
    </row>
    <row r="936" spans="1:25" x14ac:dyDescent="0.25">
      <c r="A936" s="881"/>
      <c r="B936" s="1131">
        <v>686</v>
      </c>
      <c r="C936" s="885">
        <v>0.97144099930682282</v>
      </c>
      <c r="D936" s="885">
        <v>1.0283442923156296</v>
      </c>
      <c r="E936" s="885">
        <v>0.98779903170363226</v>
      </c>
      <c r="F936" s="885">
        <v>1.0008254563973829</v>
      </c>
      <c r="G936" s="885">
        <v>0.96451096396702729</v>
      </c>
      <c r="H936" s="885">
        <v>1.0271190097204836</v>
      </c>
      <c r="I936" s="885">
        <v>1.0179705262233816</v>
      </c>
      <c r="K936">
        <v>1.9628301318488652</v>
      </c>
      <c r="L936">
        <v>0</v>
      </c>
      <c r="M936">
        <v>2.0898495112598998E-3</v>
      </c>
      <c r="N936">
        <v>0.20274205557966135</v>
      </c>
      <c r="O936">
        <v>2.5533197218194154E-2</v>
      </c>
      <c r="P936">
        <v>2.1110871153014535E-2</v>
      </c>
      <c r="Q936">
        <v>2.9686471333496326E-3</v>
      </c>
      <c r="R936">
        <v>2.0776805502775073E-3</v>
      </c>
      <c r="S936">
        <v>0.21578719469941415</v>
      </c>
      <c r="T936">
        <v>1.0594959733662428</v>
      </c>
      <c r="U936">
        <v>3.8417475304776127E-2</v>
      </c>
      <c r="V936">
        <v>0.24842972152299575</v>
      </c>
      <c r="W936">
        <v>0.12220838674384671</v>
      </c>
      <c r="X936">
        <v>2.0494016537704097E-2</v>
      </c>
      <c r="Y936">
        <v>5.6547615506460499E-3</v>
      </c>
    </row>
    <row r="937" spans="1:25" x14ac:dyDescent="0.25">
      <c r="A937" s="881"/>
      <c r="B937" s="1131">
        <v>687</v>
      </c>
      <c r="C937" s="885">
        <v>0.95932277197562754</v>
      </c>
      <c r="D937" s="885">
        <v>1.016300346602474</v>
      </c>
      <c r="E937" s="885">
        <v>0.99277888386233826</v>
      </c>
      <c r="F937" s="885">
        <v>1.0176541248406086</v>
      </c>
      <c r="G937" s="885">
        <v>1.0292322117600883</v>
      </c>
      <c r="H937" s="885">
        <v>1.0135998607998962</v>
      </c>
      <c r="I937" s="885">
        <v>1.0249492700819776</v>
      </c>
      <c r="K937">
        <v>1.9741010934370316</v>
      </c>
      <c r="L937">
        <v>0</v>
      </c>
      <c r="M937">
        <v>2.0786798459483877E-3</v>
      </c>
      <c r="N937">
        <v>0.20479431893726913</v>
      </c>
      <c r="O937">
        <v>2.6006492639631361E-2</v>
      </c>
      <c r="P937">
        <v>2.1288881364512145E-2</v>
      </c>
      <c r="Q937">
        <v>3.0364602000349404E-3</v>
      </c>
      <c r="R937">
        <v>2.0664243977063131E-3</v>
      </c>
      <c r="S937">
        <v>0.21975144080126366</v>
      </c>
      <c r="T937">
        <v>1.0590366554229425</v>
      </c>
      <c r="U937">
        <v>3.8902767338733678E-2</v>
      </c>
      <c r="V937">
        <v>0.25171151764243449</v>
      </c>
      <c r="W937">
        <v>0.12302267451615916</v>
      </c>
      <c r="X937">
        <v>2.0938014008353541E-2</v>
      </c>
      <c r="Y937">
        <v>5.6241260139369576E-3</v>
      </c>
    </row>
    <row r="938" spans="1:25" x14ac:dyDescent="0.25">
      <c r="A938" s="881"/>
      <c r="B938" s="1131">
        <v>688</v>
      </c>
      <c r="C938" s="885">
        <v>0.99771663374042152</v>
      </c>
      <c r="D938" s="885">
        <v>1.0395356081800331</v>
      </c>
      <c r="E938" s="885">
        <v>0.98931007857955122</v>
      </c>
      <c r="F938" s="885">
        <v>0.97580778129676871</v>
      </c>
      <c r="G938" s="885">
        <v>1.0076262151602995</v>
      </c>
      <c r="H938" s="885">
        <v>1.0071567407686084</v>
      </c>
      <c r="I938" s="885">
        <v>1.0148196693207796</v>
      </c>
      <c r="K938">
        <v>1.9292729284553491</v>
      </c>
      <c r="L938">
        <v>0</v>
      </c>
      <c r="M938">
        <v>1.9783664618128372E-3</v>
      </c>
      <c r="N938">
        <v>0.19280868863354086</v>
      </c>
      <c r="O938">
        <v>2.4728525858551224E-2</v>
      </c>
      <c r="P938">
        <v>2.0924019718536024E-2</v>
      </c>
      <c r="Q938">
        <v>2.8816309382258768E-3</v>
      </c>
      <c r="R938">
        <v>1.9666096406362943E-3</v>
      </c>
      <c r="S938">
        <v>0.20640387661087459</v>
      </c>
      <c r="T938">
        <v>1.0593564996942322</v>
      </c>
      <c r="U938">
        <v>3.7405721563450074E-2</v>
      </c>
      <c r="V938">
        <v>0.24338578579466263</v>
      </c>
      <c r="W938">
        <v>0.1160997092066213</v>
      </c>
      <c r="X938">
        <v>1.9937764108711221E-2</v>
      </c>
      <c r="Y938">
        <v>5.35246314911819E-3</v>
      </c>
    </row>
    <row r="939" spans="1:25" x14ac:dyDescent="0.25">
      <c r="A939" s="881"/>
      <c r="B939" s="1131">
        <v>689</v>
      </c>
      <c r="C939" s="885">
        <v>0.9776513074416624</v>
      </c>
      <c r="D939" s="885">
        <v>0.99939609359923409</v>
      </c>
      <c r="E939" s="885">
        <v>1.0202940486396213</v>
      </c>
      <c r="F939" s="885">
        <v>0.97070202760680457</v>
      </c>
      <c r="G939" s="885">
        <v>1.0148659865852969</v>
      </c>
      <c r="H939" s="885">
        <v>1.0187909014295495</v>
      </c>
      <c r="I939" s="885">
        <v>1.02708483950781</v>
      </c>
      <c r="K939">
        <v>1.9749534472427861</v>
      </c>
      <c r="L939">
        <v>0</v>
      </c>
      <c r="M939">
        <v>1.9507217090148966E-3</v>
      </c>
      <c r="N939">
        <v>0.20936328479920543</v>
      </c>
      <c r="O939">
        <v>2.5731458982129043E-2</v>
      </c>
      <c r="P939">
        <v>2.1654496964499816E-2</v>
      </c>
      <c r="Q939">
        <v>3.0846973378737918E-3</v>
      </c>
      <c r="R939">
        <v>1.9392925217342533E-3</v>
      </c>
      <c r="S939">
        <v>0.21830219149070401</v>
      </c>
      <c r="T939">
        <v>1.0565162020682284</v>
      </c>
      <c r="U939">
        <v>3.8173437008515242E-2</v>
      </c>
      <c r="V939">
        <v>0.25110679075636394</v>
      </c>
      <c r="W939">
        <v>0.12343216438951519</v>
      </c>
      <c r="X939">
        <v>2.2322037676478858E-2</v>
      </c>
      <c r="Y939">
        <v>5.2781149565526595E-3</v>
      </c>
    </row>
    <row r="940" spans="1:25" x14ac:dyDescent="0.25">
      <c r="A940" s="881"/>
      <c r="B940" s="1131">
        <v>690</v>
      </c>
      <c r="C940" s="885">
        <v>1.0112236919824396</v>
      </c>
      <c r="D940" s="885">
        <v>0.98224370582617093</v>
      </c>
      <c r="E940" s="885">
        <v>0.96453463503232484</v>
      </c>
      <c r="F940" s="885">
        <v>1.019445724330458</v>
      </c>
      <c r="G940" s="885">
        <v>1.0036259648436219</v>
      </c>
      <c r="H940" s="885">
        <v>1.0160856364038586</v>
      </c>
      <c r="I940" s="885">
        <v>0.98385704925986706</v>
      </c>
      <c r="K940">
        <v>1.934114123484064</v>
      </c>
      <c r="L940">
        <v>0</v>
      </c>
      <c r="M940">
        <v>2.1332230042512643E-3</v>
      </c>
      <c r="N940">
        <v>0.19246713932246928</v>
      </c>
      <c r="O940">
        <v>2.5091549107030136E-2</v>
      </c>
      <c r="P940">
        <v>2.0585706713168537E-2</v>
      </c>
      <c r="Q940">
        <v>2.8399061519566817E-3</v>
      </c>
      <c r="R940">
        <v>2.1207063594713663E-3</v>
      </c>
      <c r="S940">
        <v>0.20351951994602963</v>
      </c>
      <c r="T940">
        <v>1.0616545173551106</v>
      </c>
      <c r="U940">
        <v>3.6906088036518174E-2</v>
      </c>
      <c r="V940">
        <v>0.2484652707584516</v>
      </c>
      <c r="W940">
        <v>0.11790807748281326</v>
      </c>
      <c r="X940">
        <v>1.8917001635479321E-2</v>
      </c>
      <c r="Y940">
        <v>5.7718636198175422E-3</v>
      </c>
    </row>
    <row r="941" spans="1:25" x14ac:dyDescent="0.25">
      <c r="A941" s="881"/>
      <c r="B941" s="1131">
        <v>691</v>
      </c>
      <c r="C941" s="885">
        <v>0.99504751700296423</v>
      </c>
      <c r="D941" s="885">
        <v>0.98387150481927055</v>
      </c>
      <c r="E941" s="885">
        <v>0.96732704557365246</v>
      </c>
      <c r="F941" s="885">
        <v>0.98577587341418837</v>
      </c>
      <c r="G941" s="885">
        <v>0.99750693070880092</v>
      </c>
      <c r="H941" s="885">
        <v>0.97194381663494511</v>
      </c>
      <c r="I941" s="885">
        <v>0.99059888866844414</v>
      </c>
      <c r="K941">
        <v>1.9286440840970045</v>
      </c>
      <c r="L941">
        <v>0</v>
      </c>
      <c r="M941">
        <v>2.0599366321168442E-3</v>
      </c>
      <c r="N941">
        <v>0.18743035776839817</v>
      </c>
      <c r="O941">
        <v>2.5478513450871335E-2</v>
      </c>
      <c r="P941">
        <v>2.0663494140177346E-2</v>
      </c>
      <c r="Q941">
        <v>2.8923005985208717E-3</v>
      </c>
      <c r="R941">
        <v>2.0472996058721782E-3</v>
      </c>
      <c r="S941">
        <v>0.20360351139407079</v>
      </c>
      <c r="T941">
        <v>1.0613943221120428</v>
      </c>
      <c r="U941">
        <v>3.7506058719008611E-2</v>
      </c>
      <c r="V941">
        <v>0.25055666917057712</v>
      </c>
      <c r="W941">
        <v>0.1145979979831684</v>
      </c>
      <c r="X941">
        <v>1.8961421151361738E-2</v>
      </c>
      <c r="Y941">
        <v>5.5720746350503766E-3</v>
      </c>
    </row>
    <row r="942" spans="1:25" x14ac:dyDescent="0.25">
      <c r="A942" s="881"/>
      <c r="B942" s="1131">
        <v>692</v>
      </c>
      <c r="C942" s="885">
        <v>0.97741999887324138</v>
      </c>
      <c r="D942" s="885">
        <v>0.99984194743581978</v>
      </c>
      <c r="E942" s="885">
        <v>0.98688101844828569</v>
      </c>
      <c r="F942" s="885">
        <v>1.0247346741278238</v>
      </c>
      <c r="G942" s="885">
        <v>0.99434461460647883</v>
      </c>
      <c r="H942" s="885">
        <v>0.96590028392954053</v>
      </c>
      <c r="I942" s="885">
        <v>0.96683205165260022</v>
      </c>
      <c r="K942">
        <v>1.9317013175497049</v>
      </c>
      <c r="L942">
        <v>0</v>
      </c>
      <c r="M942">
        <v>1.9843831337631721E-3</v>
      </c>
      <c r="N942">
        <v>0.19189197709408939</v>
      </c>
      <c r="O942">
        <v>2.5731866428116042E-2</v>
      </c>
      <c r="P942">
        <v>2.091960808032654E-2</v>
      </c>
      <c r="Q942">
        <v>2.9831514393540569E-3</v>
      </c>
      <c r="R942">
        <v>1.9721197096440523E-3</v>
      </c>
      <c r="S942">
        <v>0.20020731207026354</v>
      </c>
      <c r="T942">
        <v>1.0595807517692541</v>
      </c>
      <c r="U942">
        <v>3.8182470835402715E-2</v>
      </c>
      <c r="V942">
        <v>0.25108940836389143</v>
      </c>
      <c r="W942">
        <v>0.1157415271352778</v>
      </c>
      <c r="X942">
        <v>2.0018048017284192E-2</v>
      </c>
      <c r="Y942">
        <v>5.3674597405635486E-3</v>
      </c>
    </row>
    <row r="943" spans="1:25" x14ac:dyDescent="0.25">
      <c r="A943" s="881"/>
      <c r="B943" s="1131">
        <v>693</v>
      </c>
      <c r="C943" s="885">
        <v>0.95677350122073979</v>
      </c>
      <c r="D943" s="885">
        <v>0.98287167974411649</v>
      </c>
      <c r="E943" s="885">
        <v>1.035797756288813</v>
      </c>
      <c r="F943" s="885">
        <v>0.98426915880265264</v>
      </c>
      <c r="G943" s="885">
        <v>0.98683426559574161</v>
      </c>
      <c r="H943" s="885">
        <v>1.0324199216405316</v>
      </c>
      <c r="I943" s="885">
        <v>0.99587358881825827</v>
      </c>
      <c r="K943">
        <v>2.0023309583275561</v>
      </c>
      <c r="L943">
        <v>0</v>
      </c>
      <c r="M943">
        <v>1.9710019112778158E-3</v>
      </c>
      <c r="N943">
        <v>0.22198988954187293</v>
      </c>
      <c r="O943">
        <v>2.6511105862313852E-2</v>
      </c>
      <c r="P943">
        <v>2.1982253616821022E-2</v>
      </c>
      <c r="Q943">
        <v>3.2235430282352233E-3</v>
      </c>
      <c r="R943">
        <v>1.9596195587219447E-3</v>
      </c>
      <c r="S943">
        <v>0.21940033305543385</v>
      </c>
      <c r="T943">
        <v>1.0551090545145496</v>
      </c>
      <c r="U943">
        <v>3.9006421638245865E-2</v>
      </c>
      <c r="V943">
        <v>0.25643417030044768</v>
      </c>
      <c r="W943">
        <v>0.12952179937664865</v>
      </c>
      <c r="X943">
        <v>2.38303312951141E-2</v>
      </c>
      <c r="Y943">
        <v>5.333438450427214E-3</v>
      </c>
    </row>
    <row r="944" spans="1:25" x14ac:dyDescent="0.25">
      <c r="A944" s="881"/>
      <c r="B944" s="1131">
        <v>694</v>
      </c>
      <c r="C944" s="885">
        <v>0.99630812557977033</v>
      </c>
      <c r="D944" s="885">
        <v>1.0070123453803963</v>
      </c>
      <c r="E944" s="885">
        <v>0.99099727087845435</v>
      </c>
      <c r="F944" s="885">
        <v>0.98811087338502568</v>
      </c>
      <c r="G944" s="885">
        <v>1.0087543471216045</v>
      </c>
      <c r="H944" s="885">
        <v>1.0223263031478331</v>
      </c>
      <c r="I944" s="885">
        <v>0.9632360810362891</v>
      </c>
      <c r="K944">
        <v>1.9389180947590186</v>
      </c>
      <c r="L944">
        <v>0</v>
      </c>
      <c r="M944">
        <v>2.0355320334707774E-3</v>
      </c>
      <c r="N944">
        <v>0.19944501643751111</v>
      </c>
      <c r="O944">
        <v>2.5154945648793531E-2</v>
      </c>
      <c r="P944">
        <v>2.0924996950226427E-2</v>
      </c>
      <c r="Q944">
        <v>2.9298905069427817E-3</v>
      </c>
      <c r="R944">
        <v>2.0236409438925537E-3</v>
      </c>
      <c r="S944">
        <v>0.20054322151670009</v>
      </c>
      <c r="T944">
        <v>1.0592008721927295</v>
      </c>
      <c r="U944">
        <v>3.7458603059369336E-2</v>
      </c>
      <c r="V944">
        <v>0.24745916903296372</v>
      </c>
      <c r="W944">
        <v>0.11995625172454361</v>
      </c>
      <c r="X944">
        <v>2.0349335222597818E-2</v>
      </c>
      <c r="Y944">
        <v>5.5076835562176633E-3</v>
      </c>
    </row>
    <row r="945" spans="1:25" x14ac:dyDescent="0.25">
      <c r="A945" s="881"/>
      <c r="B945" s="1131">
        <v>695</v>
      </c>
      <c r="C945" s="885">
        <v>1.0117806650792713</v>
      </c>
      <c r="D945" s="885">
        <v>1.006588093293449</v>
      </c>
      <c r="E945" s="885">
        <v>0.97903185964112249</v>
      </c>
      <c r="F945" s="885">
        <v>0.99918991713107796</v>
      </c>
      <c r="G945" s="885">
        <v>0.9977573080674863</v>
      </c>
      <c r="H945" s="885">
        <v>1.0234746167427606</v>
      </c>
      <c r="I945" s="885">
        <v>1.0047635196222486</v>
      </c>
      <c r="K945">
        <v>1.9343371057633068</v>
      </c>
      <c r="L945">
        <v>0</v>
      </c>
      <c r="M945">
        <v>2.058169162251898E-3</v>
      </c>
      <c r="N945">
        <v>0.19428727571832496</v>
      </c>
      <c r="O945">
        <v>2.4775428890979542E-2</v>
      </c>
      <c r="P945">
        <v>2.079063989568971E-2</v>
      </c>
      <c r="Q945">
        <v>2.8508176431369715E-3</v>
      </c>
      <c r="R945">
        <v>2.0461596715208546E-3</v>
      </c>
      <c r="S945">
        <v>0.20614499923229065</v>
      </c>
      <c r="T945">
        <v>1.060306956402461</v>
      </c>
      <c r="U945">
        <v>3.6885771678581022E-2</v>
      </c>
      <c r="V945">
        <v>0.2453582780865001</v>
      </c>
      <c r="W945">
        <v>0.11782493697812729</v>
      </c>
      <c r="X945">
        <v>1.9555038618421137E-2</v>
      </c>
      <c r="Y945">
        <v>5.5689721095253317E-3</v>
      </c>
    </row>
    <row r="946" spans="1:25" x14ac:dyDescent="0.25">
      <c r="A946" s="881"/>
      <c r="B946" s="1131">
        <v>696</v>
      </c>
      <c r="C946" s="885">
        <v>0.97423754238963955</v>
      </c>
      <c r="D946" s="885">
        <v>1.0009645576953079</v>
      </c>
      <c r="E946" s="885">
        <v>0.99748737460990122</v>
      </c>
      <c r="F946" s="885">
        <v>0.96565509037819541</v>
      </c>
      <c r="G946" s="885">
        <v>0.95450924299554785</v>
      </c>
      <c r="H946" s="885">
        <v>0.98058924879425402</v>
      </c>
      <c r="I946" s="885">
        <v>0.97901941122089164</v>
      </c>
      <c r="K946">
        <v>1.9448436154491697</v>
      </c>
      <c r="L946">
        <v>0</v>
      </c>
      <c r="M946">
        <v>1.975454307787733E-3</v>
      </c>
      <c r="N946">
        <v>0.19745924964059233</v>
      </c>
      <c r="O946">
        <v>2.5801587557344824E-2</v>
      </c>
      <c r="P946">
        <v>2.1142212511405595E-2</v>
      </c>
      <c r="Q946">
        <v>3.023671809256103E-3</v>
      </c>
      <c r="R946">
        <v>1.9634280048043346E-3</v>
      </c>
      <c r="S946">
        <v>0.20478175458425835</v>
      </c>
      <c r="T946">
        <v>1.0586032537242573</v>
      </c>
      <c r="U946">
        <v>3.8307198169941672E-2</v>
      </c>
      <c r="V946">
        <v>0.25141798584541747</v>
      </c>
      <c r="W946">
        <v>0.11823356638267464</v>
      </c>
      <c r="X946">
        <v>2.0741357741794648E-2</v>
      </c>
      <c r="Y946">
        <v>5.3438037852095652E-3</v>
      </c>
    </row>
    <row r="947" spans="1:25" x14ac:dyDescent="0.25">
      <c r="A947" s="881"/>
      <c r="B947" s="1131">
        <v>697</v>
      </c>
      <c r="C947" s="885">
        <v>1.0168773324797813</v>
      </c>
      <c r="D947" s="885">
        <v>1.0113591281080554</v>
      </c>
      <c r="E947" s="885">
        <v>1.0134436465883796</v>
      </c>
      <c r="F947" s="885">
        <v>0.98420297623105624</v>
      </c>
      <c r="G947" s="885">
        <v>1.0183549961085256</v>
      </c>
      <c r="H947" s="885">
        <v>1.0119595503148835</v>
      </c>
      <c r="I947" s="885">
        <v>0.97237875296888943</v>
      </c>
      <c r="K947">
        <v>1.9240662061732383</v>
      </c>
      <c r="L947">
        <v>0</v>
      </c>
      <c r="M947">
        <v>1.878955027349946E-3</v>
      </c>
      <c r="N947">
        <v>0.19740488807692599</v>
      </c>
      <c r="O947">
        <v>2.459369167616313E-2</v>
      </c>
      <c r="P947">
        <v>2.1143137269456526E-2</v>
      </c>
      <c r="Q947">
        <v>2.9306806577821831E-3</v>
      </c>
      <c r="R947">
        <v>1.8678628813124706E-3</v>
      </c>
      <c r="S947">
        <v>0.1969624069498391</v>
      </c>
      <c r="T947">
        <v>1.0571409530769353</v>
      </c>
      <c r="U947">
        <v>3.6700897353967678E-2</v>
      </c>
      <c r="V947">
        <v>0.24408911502623948</v>
      </c>
      <c r="W947">
        <v>0.11692237384849709</v>
      </c>
      <c r="X947">
        <v>2.1105447361369448E-2</v>
      </c>
      <c r="Y947">
        <v>5.0837070220992042E-3</v>
      </c>
    </row>
    <row r="948" spans="1:25" x14ac:dyDescent="0.25">
      <c r="A948" s="881"/>
      <c r="B948" s="1131">
        <v>698</v>
      </c>
      <c r="C948" s="885">
        <v>1.0362039059026957</v>
      </c>
      <c r="D948" s="885">
        <v>0.98151302478327285</v>
      </c>
      <c r="E948" s="885">
        <v>1.0225318624045647</v>
      </c>
      <c r="F948" s="885">
        <v>1.0182423497256683</v>
      </c>
      <c r="G948" s="885">
        <v>1.0279519754281636</v>
      </c>
      <c r="H948" s="885">
        <v>0.9716422883206226</v>
      </c>
      <c r="I948" s="885">
        <v>0.99638369863123433</v>
      </c>
      <c r="K948">
        <v>1.9115190467842234</v>
      </c>
      <c r="L948">
        <v>0</v>
      </c>
      <c r="M948">
        <v>1.7627286683703234E-3</v>
      </c>
      <c r="N948">
        <v>0.19045335866412932</v>
      </c>
      <c r="O948">
        <v>2.4495700664652696E-2</v>
      </c>
      <c r="P948">
        <v>2.1276656868642933E-2</v>
      </c>
      <c r="Q948">
        <v>2.9393715223171926E-3</v>
      </c>
      <c r="R948">
        <v>1.7519133710011258E-3</v>
      </c>
      <c r="S948">
        <v>0.19684596266082868</v>
      </c>
      <c r="T948">
        <v>1.0563125127704103</v>
      </c>
      <c r="U948">
        <v>3.601637707436077E-2</v>
      </c>
      <c r="V948">
        <v>0.24513622427520315</v>
      </c>
      <c r="W948">
        <v>0.11211437568804178</v>
      </c>
      <c r="X948">
        <v>2.1171191215225836E-2</v>
      </c>
      <c r="Y948">
        <v>4.7681306777775248E-3</v>
      </c>
    </row>
    <row r="949" spans="1:25" x14ac:dyDescent="0.25">
      <c r="A949" s="881"/>
      <c r="B949" s="1131">
        <v>699</v>
      </c>
      <c r="C949" s="885">
        <v>0.99913454498150822</v>
      </c>
      <c r="D949" s="885">
        <v>0.99079113132399366</v>
      </c>
      <c r="E949" s="885">
        <v>0.98284038294726628</v>
      </c>
      <c r="F949" s="885">
        <v>0.97880230318736516</v>
      </c>
      <c r="G949" s="885">
        <v>0.98749097323214363</v>
      </c>
      <c r="H949" s="885">
        <v>1.0208032426439679</v>
      </c>
      <c r="I949" s="885">
        <v>1.0123071501548233</v>
      </c>
      <c r="K949">
        <v>1.9514242715417143</v>
      </c>
      <c r="L949">
        <v>0</v>
      </c>
      <c r="M949">
        <v>2.0784222782928032E-3</v>
      </c>
      <c r="N949">
        <v>0.19853922878381991</v>
      </c>
      <c r="O949">
        <v>2.5286262927808386E-2</v>
      </c>
      <c r="P949">
        <v>2.097585097999391E-2</v>
      </c>
      <c r="Q949">
        <v>2.9176554238808418E-3</v>
      </c>
      <c r="R949">
        <v>2.0662762011623807E-3</v>
      </c>
      <c r="S949">
        <v>0.21158082091880881</v>
      </c>
      <c r="T949">
        <v>1.05995429298624</v>
      </c>
      <c r="U949">
        <v>3.7352637628606494E-2</v>
      </c>
      <c r="V949">
        <v>0.24908608274530533</v>
      </c>
      <c r="W949">
        <v>0.12008595955973259</v>
      </c>
      <c r="X949">
        <v>2.0033902992850197E-2</v>
      </c>
      <c r="Y949">
        <v>5.6237226717973489E-3</v>
      </c>
    </row>
    <row r="950" spans="1:25" x14ac:dyDescent="0.25">
      <c r="A950" s="881"/>
      <c r="B950" s="1131">
        <v>700</v>
      </c>
      <c r="C950" s="885">
        <v>0.98908775594979714</v>
      </c>
      <c r="D950" s="885">
        <v>1.0252877920717138</v>
      </c>
      <c r="E950" s="885">
        <v>0.994177531815157</v>
      </c>
      <c r="F950" s="885">
        <v>0.96015945380027734</v>
      </c>
      <c r="G950" s="885">
        <v>0.98594199699588714</v>
      </c>
      <c r="H950" s="885">
        <v>0.99877102148536534</v>
      </c>
      <c r="I950" s="885">
        <v>1.0379182850749005</v>
      </c>
      <c r="K950">
        <v>1.9434362479868892</v>
      </c>
      <c r="L950">
        <v>0</v>
      </c>
      <c r="M950">
        <v>1.9722104904686638E-3</v>
      </c>
      <c r="N950">
        <v>0.19513466193115633</v>
      </c>
      <c r="O950">
        <v>2.5114490600188139E-2</v>
      </c>
      <c r="P950">
        <v>2.1133380956248296E-2</v>
      </c>
      <c r="Q950">
        <v>2.9382389678639376E-3</v>
      </c>
      <c r="R950">
        <v>1.9604029881102884E-3</v>
      </c>
      <c r="S950">
        <v>0.2134113814678292</v>
      </c>
      <c r="T950">
        <v>1.0589078242268304</v>
      </c>
      <c r="U950">
        <v>3.7732051960423951E-2</v>
      </c>
      <c r="V950">
        <v>0.24626194889997563</v>
      </c>
      <c r="W950">
        <v>0.11710735062055225</v>
      </c>
      <c r="X950">
        <v>2.037115517121554E-2</v>
      </c>
      <c r="Y950">
        <v>5.3355706869648569E-3</v>
      </c>
    </row>
    <row r="951" spans="1:25" x14ac:dyDescent="0.25">
      <c r="A951" s="881"/>
      <c r="B951" s="1131">
        <v>701</v>
      </c>
      <c r="C951" s="885">
        <v>1.0037927377303821</v>
      </c>
      <c r="D951" s="885">
        <v>1.0474670641413031</v>
      </c>
      <c r="E951" s="885">
        <v>0.97774450861417683</v>
      </c>
      <c r="F951" s="885">
        <v>1.0397841325794073</v>
      </c>
      <c r="G951" s="885">
        <v>1.0030744057926169</v>
      </c>
      <c r="H951" s="885">
        <v>0.98531127364897886</v>
      </c>
      <c r="I951" s="885">
        <v>1.0038982255663431</v>
      </c>
      <c r="K951">
        <v>1.908258920975108</v>
      </c>
      <c r="L951">
        <v>0</v>
      </c>
      <c r="M951">
        <v>1.9636938431191416E-3</v>
      </c>
      <c r="N951">
        <v>0.18458181901565868</v>
      </c>
      <c r="O951">
        <v>2.4487079002088304E-2</v>
      </c>
      <c r="P951">
        <v>2.0644727095418945E-2</v>
      </c>
      <c r="Q951">
        <v>2.8216796893351399E-3</v>
      </c>
      <c r="R951">
        <v>1.951759320720098E-3</v>
      </c>
      <c r="S951">
        <v>0.20008289808903218</v>
      </c>
      <c r="T951">
        <v>1.0604262903383004</v>
      </c>
      <c r="U951">
        <v>3.7179299269787164E-2</v>
      </c>
      <c r="V951">
        <v>0.24165269143400012</v>
      </c>
      <c r="W951">
        <v>0.11203924282305427</v>
      </c>
      <c r="X951">
        <v>1.9043083267120058E-2</v>
      </c>
      <c r="Y951">
        <v>5.3120454737129487E-3</v>
      </c>
    </row>
    <row r="952" spans="1:25" x14ac:dyDescent="0.25">
      <c r="A952" s="881"/>
      <c r="B952" s="1131">
        <v>702</v>
      </c>
      <c r="C952" s="885">
        <v>0.99718433462672962</v>
      </c>
      <c r="D952" s="885">
        <v>1.0235882684738844</v>
      </c>
      <c r="E952" s="885">
        <v>1.0306252668560769</v>
      </c>
      <c r="F952" s="885">
        <v>1.0184408221892927</v>
      </c>
      <c r="G952" s="885">
        <v>1.019045556730644</v>
      </c>
      <c r="H952" s="885">
        <v>0.9962262260710798</v>
      </c>
      <c r="I952" s="885">
        <v>1.0210707926909748</v>
      </c>
      <c r="K952">
        <v>1.9407004697304509</v>
      </c>
      <c r="L952">
        <v>0</v>
      </c>
      <c r="M952">
        <v>1.8082640318190166E-3</v>
      </c>
      <c r="N952">
        <v>0.20037216143116823</v>
      </c>
      <c r="O952">
        <v>2.4930971411015582E-2</v>
      </c>
      <c r="P952">
        <v>2.1572347410456719E-2</v>
      </c>
      <c r="Q952">
        <v>3.0245100057283256E-3</v>
      </c>
      <c r="R952">
        <v>1.7974116469928743E-3</v>
      </c>
      <c r="S952">
        <v>0.20814003806284589</v>
      </c>
      <c r="T952">
        <v>1.0555774740527142</v>
      </c>
      <c r="U952">
        <v>3.7425688816989655E-2</v>
      </c>
      <c r="V952">
        <v>0.24533258318276646</v>
      </c>
      <c r="W952">
        <v>0.11731378660470076</v>
      </c>
      <c r="X952">
        <v>2.212979915036668E-2</v>
      </c>
      <c r="Y952">
        <v>4.8919619865244136E-3</v>
      </c>
    </row>
    <row r="953" spans="1:25" x14ac:dyDescent="0.25">
      <c r="A953" s="881"/>
      <c r="B953" s="1131">
        <v>703</v>
      </c>
      <c r="C953" s="885">
        <v>0.99519097205752083</v>
      </c>
      <c r="D953" s="885">
        <v>1.0200245876998042</v>
      </c>
      <c r="E953" s="885">
        <v>1.0292671411798979</v>
      </c>
      <c r="F953" s="885">
        <v>0.99508505026888616</v>
      </c>
      <c r="G953" s="885">
        <v>1.0255979871888523</v>
      </c>
      <c r="H953" s="885">
        <v>1.0060870925409968</v>
      </c>
      <c r="I953" s="885">
        <v>0.98484161760774303</v>
      </c>
      <c r="K953">
        <v>1.9400941931542695</v>
      </c>
      <c r="L953">
        <v>0</v>
      </c>
      <c r="M953">
        <v>1.8382439215038798E-3</v>
      </c>
      <c r="N953">
        <v>0.20284954815560483</v>
      </c>
      <c r="O953">
        <v>2.5023942595634459E-2</v>
      </c>
      <c r="P953">
        <v>2.148434250729166E-2</v>
      </c>
      <c r="Q953">
        <v>3.0309850501364644E-3</v>
      </c>
      <c r="R953">
        <v>1.8273223556593556E-3</v>
      </c>
      <c r="S953">
        <v>0.20245619259575304</v>
      </c>
      <c r="T953">
        <v>1.0557006393004942</v>
      </c>
      <c r="U953">
        <v>3.7500652285619669E-2</v>
      </c>
      <c r="V953">
        <v>0.24603348167384845</v>
      </c>
      <c r="W953">
        <v>0.11887238639207791</v>
      </c>
      <c r="X953">
        <v>2.2179575088197991E-2</v>
      </c>
      <c r="Y953">
        <v>4.9733690754521151E-3</v>
      </c>
    </row>
    <row r="954" spans="1:25" x14ac:dyDescent="0.25">
      <c r="A954" s="881"/>
      <c r="B954" s="1131">
        <v>704</v>
      </c>
      <c r="C954" s="885">
        <v>1.0051754958681225</v>
      </c>
      <c r="D954" s="885">
        <v>0.98204928109112866</v>
      </c>
      <c r="E954" s="885">
        <v>1.0385756713438374</v>
      </c>
      <c r="F954" s="885">
        <v>0.98434208911791743</v>
      </c>
      <c r="G954" s="885">
        <v>1.0256524370952878</v>
      </c>
      <c r="H954" s="885">
        <v>0.96050411975915928</v>
      </c>
      <c r="I954" s="885">
        <v>1.0441412202006894</v>
      </c>
      <c r="K954">
        <v>1.9418726590002433</v>
      </c>
      <c r="L954">
        <v>0</v>
      </c>
      <c r="M954">
        <v>1.7358909964683698E-3</v>
      </c>
      <c r="N954">
        <v>0.19711645591450935</v>
      </c>
      <c r="O954">
        <v>2.5245006096950937E-2</v>
      </c>
      <c r="P954">
        <v>2.1784828231584469E-2</v>
      </c>
      <c r="Q954">
        <v>3.077823210490859E-3</v>
      </c>
      <c r="R954">
        <v>1.7251164451281857E-3</v>
      </c>
      <c r="S954">
        <v>0.21141374898247811</v>
      </c>
      <c r="T954">
        <v>1.0548579197671646</v>
      </c>
      <c r="U954">
        <v>3.7128153993333413E-2</v>
      </c>
      <c r="V954">
        <v>0.24934342031753309</v>
      </c>
      <c r="W954">
        <v>0.11479635933392963</v>
      </c>
      <c r="X954">
        <v>2.2424519424452241E-2</v>
      </c>
      <c r="Y954">
        <v>4.6951982791556225E-3</v>
      </c>
    </row>
    <row r="955" spans="1:25" x14ac:dyDescent="0.25">
      <c r="A955" s="881"/>
      <c r="B955" s="1131">
        <v>705</v>
      </c>
      <c r="C955" s="885">
        <v>0.98556487287492578</v>
      </c>
      <c r="D955" s="885">
        <v>0.99618882700737466</v>
      </c>
      <c r="E955" s="885">
        <v>0.97501106642460911</v>
      </c>
      <c r="F955" s="885">
        <v>0.97850551520757711</v>
      </c>
      <c r="G955" s="885">
        <v>0.97986527876879048</v>
      </c>
      <c r="H955" s="885">
        <v>1.0274197622656251</v>
      </c>
      <c r="I955" s="885">
        <v>1.0045578282067977</v>
      </c>
      <c r="K955">
        <v>1.9592636409698894</v>
      </c>
      <c r="L955">
        <v>0</v>
      </c>
      <c r="M955">
        <v>2.1500440736120607E-3</v>
      </c>
      <c r="N955">
        <v>0.20043813664102242</v>
      </c>
      <c r="O955">
        <v>2.5565505911182149E-2</v>
      </c>
      <c r="P955">
        <v>2.0903945046480313E-2</v>
      </c>
      <c r="Q955">
        <v>2.9275926279322549E-3</v>
      </c>
      <c r="R955">
        <v>2.1375556474866777E-3</v>
      </c>
      <c r="S955">
        <v>0.2130046115728749</v>
      </c>
      <c r="T955">
        <v>1.0606798859650319</v>
      </c>
      <c r="U955">
        <v>3.7866924469469224E-2</v>
      </c>
      <c r="V955">
        <v>0.25035323249462066</v>
      </c>
      <c r="W955">
        <v>0.12189543156366824</v>
      </c>
      <c r="X955">
        <v>1.9823141276303923E-2</v>
      </c>
      <c r="Y955">
        <v>5.817721827428921E-3</v>
      </c>
    </row>
    <row r="956" spans="1:25" x14ac:dyDescent="0.25">
      <c r="A956" s="881"/>
      <c r="B956" s="1131">
        <v>706</v>
      </c>
      <c r="C956" s="885">
        <v>0.99303365768256091</v>
      </c>
      <c r="D956" s="885">
        <v>1.0175997250966062</v>
      </c>
      <c r="E956" s="885">
        <v>1.0005280354845587</v>
      </c>
      <c r="F956" s="885">
        <v>1.0072784931868324</v>
      </c>
      <c r="G956" s="885">
        <v>0.98930655326463757</v>
      </c>
      <c r="H956" s="885">
        <v>0.9958445603409295</v>
      </c>
      <c r="I956" s="885">
        <v>1.0141929965123748</v>
      </c>
      <c r="K956">
        <v>1.9384851976289594</v>
      </c>
      <c r="L956">
        <v>0</v>
      </c>
      <c r="M956">
        <v>1.9397954876439602E-3</v>
      </c>
      <c r="N956">
        <v>0.19575499886285158</v>
      </c>
      <c r="O956">
        <v>2.5107792586471576E-2</v>
      </c>
      <c r="P956">
        <v>2.1156776795775632E-2</v>
      </c>
      <c r="Q956">
        <v>2.9547576140014973E-3</v>
      </c>
      <c r="R956">
        <v>1.9281539406689069E-3</v>
      </c>
      <c r="S956">
        <v>0.2081212674611736</v>
      </c>
      <c r="T956">
        <v>1.0583238291456523</v>
      </c>
      <c r="U956">
        <v>3.7582120517456699E-2</v>
      </c>
      <c r="V956">
        <v>0.24662855703488912</v>
      </c>
      <c r="W956">
        <v>0.1169693220985554</v>
      </c>
      <c r="X956">
        <v>2.0649617648382586E-2</v>
      </c>
      <c r="Y956">
        <v>5.2477994107250486E-3</v>
      </c>
    </row>
    <row r="957" spans="1:25" x14ac:dyDescent="0.25">
      <c r="A957" s="881"/>
      <c r="B957" s="1131">
        <v>707</v>
      </c>
      <c r="C957" s="885">
        <v>1.0064645862752724</v>
      </c>
      <c r="D957" s="885">
        <v>1.0111925872265837</v>
      </c>
      <c r="E957" s="885">
        <v>0.99747797049717346</v>
      </c>
      <c r="F957" s="885">
        <v>1.0198464219485215</v>
      </c>
      <c r="G957" s="885">
        <v>1.0040357078747566</v>
      </c>
      <c r="H957" s="885">
        <v>1.031818745519028</v>
      </c>
      <c r="I957" s="885">
        <v>0.98575190213482877</v>
      </c>
      <c r="K957">
        <v>1.9397691196002356</v>
      </c>
      <c r="L957">
        <v>0</v>
      </c>
      <c r="M957">
        <v>2.0020569043371589E-3</v>
      </c>
      <c r="N957">
        <v>0.20017253074189276</v>
      </c>
      <c r="O957">
        <v>2.48501571749958E-2</v>
      </c>
      <c r="P957">
        <v>2.1030615170288289E-2</v>
      </c>
      <c r="Q957">
        <v>2.9142058117347966E-3</v>
      </c>
      <c r="R957">
        <v>1.9904656504421752E-3</v>
      </c>
      <c r="S957">
        <v>0.20370982637222282</v>
      </c>
      <c r="T957">
        <v>1.0586041184831252</v>
      </c>
      <c r="U957">
        <v>3.7080599863957467E-2</v>
      </c>
      <c r="V957">
        <v>0.24553428595438526</v>
      </c>
      <c r="W957">
        <v>0.11985898256634892</v>
      </c>
      <c r="X957">
        <v>2.0607997371501083E-2</v>
      </c>
      <c r="Y957">
        <v>5.4173913436782774E-3</v>
      </c>
    </row>
    <row r="958" spans="1:25" x14ac:dyDescent="0.25">
      <c r="A958" s="881"/>
      <c r="B958" s="1131">
        <v>708</v>
      </c>
      <c r="C958" s="885">
        <v>0.98697661647786206</v>
      </c>
      <c r="D958" s="885">
        <v>1.0184421173899052</v>
      </c>
      <c r="E958" s="885">
        <v>1.0193885596537853</v>
      </c>
      <c r="F958" s="885">
        <v>0.97263323328135032</v>
      </c>
      <c r="G958" s="885">
        <v>1.0160313678415414</v>
      </c>
      <c r="H958" s="885">
        <v>1.0041333220197317</v>
      </c>
      <c r="I958" s="885">
        <v>0.99587963382082456</v>
      </c>
      <c r="K958">
        <v>1.9464165353008314</v>
      </c>
      <c r="L958">
        <v>0</v>
      </c>
      <c r="M958">
        <v>1.890425136382804E-3</v>
      </c>
      <c r="N958">
        <v>0.20230298668100219</v>
      </c>
      <c r="O958">
        <v>2.5251558665742132E-2</v>
      </c>
      <c r="P958">
        <v>2.1419701233336561E-2</v>
      </c>
      <c r="Q958">
        <v>3.0284100655571873E-3</v>
      </c>
      <c r="R958">
        <v>1.8791728930077117E-3</v>
      </c>
      <c r="S958">
        <v>0.20637827839457892</v>
      </c>
      <c r="T958">
        <v>1.0565986767302284</v>
      </c>
      <c r="U958">
        <v>3.7812760685353025E-2</v>
      </c>
      <c r="V958">
        <v>0.24738784201887265</v>
      </c>
      <c r="W958">
        <v>0.11934260143461865</v>
      </c>
      <c r="X958">
        <v>2.1790482489327318E-2</v>
      </c>
      <c r="Y958">
        <v>5.1144891455892974E-3</v>
      </c>
    </row>
    <row r="959" spans="1:25" x14ac:dyDescent="0.25">
      <c r="A959" s="881"/>
      <c r="B959" s="1131">
        <v>709</v>
      </c>
      <c r="C959" s="885">
        <v>0.96948866920911836</v>
      </c>
      <c r="D959" s="885">
        <v>0.99575314442326801</v>
      </c>
      <c r="E959" s="885">
        <v>1.0169007142816653</v>
      </c>
      <c r="F959" s="885">
        <v>1.0052789886490117</v>
      </c>
      <c r="G959" s="885">
        <v>0.98305362929598228</v>
      </c>
      <c r="H959" s="885">
        <v>0.97783499732181778</v>
      </c>
      <c r="I959" s="885">
        <v>0.99609121935667555</v>
      </c>
      <c r="K959">
        <v>1.95712936841489</v>
      </c>
      <c r="L959">
        <v>0</v>
      </c>
      <c r="M959">
        <v>1.9050837544137293E-3</v>
      </c>
      <c r="N959">
        <v>0.20227126116444283</v>
      </c>
      <c r="O959">
        <v>2.5995068179219642E-2</v>
      </c>
      <c r="P959">
        <v>2.1512173840975715E-2</v>
      </c>
      <c r="Q959">
        <v>3.1050044206588348E-3</v>
      </c>
      <c r="R959">
        <v>1.8934573996613399E-3</v>
      </c>
      <c r="S959">
        <v>0.20958834876074292</v>
      </c>
      <c r="T959">
        <v>1.0568254421649184</v>
      </c>
      <c r="U959">
        <v>3.8494839378949881E-2</v>
      </c>
      <c r="V959">
        <v>0.25278942565455648</v>
      </c>
      <c r="W959">
        <v>0.11952462713328055</v>
      </c>
      <c r="X959">
        <v>2.1881437208082079E-2</v>
      </c>
      <c r="Y959">
        <v>5.1533668638141196E-3</v>
      </c>
    </row>
    <row r="960" spans="1:25" x14ac:dyDescent="0.25">
      <c r="A960" s="881"/>
      <c r="B960" s="1131">
        <v>710</v>
      </c>
      <c r="C960" s="885">
        <v>1.0240327641944666</v>
      </c>
      <c r="D960" s="885">
        <v>0.97295880187292916</v>
      </c>
      <c r="E960" s="885">
        <v>1.0088734888931752</v>
      </c>
      <c r="F960" s="885">
        <v>1.0229388582990717</v>
      </c>
      <c r="G960" s="885">
        <v>0.98829702710903089</v>
      </c>
      <c r="H960" s="885">
        <v>0.97853878718451892</v>
      </c>
      <c r="I960" s="885">
        <v>1.0332678103378612</v>
      </c>
      <c r="K960">
        <v>1.9314886271092333</v>
      </c>
      <c r="L960">
        <v>0</v>
      </c>
      <c r="M960">
        <v>1.8569343940110356E-3</v>
      </c>
      <c r="N960">
        <v>0.19230356716596017</v>
      </c>
      <c r="O960">
        <v>2.4894821572966779E-2</v>
      </c>
      <c r="P960">
        <v>2.1279081511104109E-2</v>
      </c>
      <c r="Q960">
        <v>2.9450652206023729E-3</v>
      </c>
      <c r="R960">
        <v>1.8456283202729368E-3</v>
      </c>
      <c r="S960">
        <v>0.20810651035534145</v>
      </c>
      <c r="T960">
        <v>1.0575587669565434</v>
      </c>
      <c r="U960">
        <v>3.6444449734256409E-2</v>
      </c>
      <c r="V960">
        <v>0.24786754582229073</v>
      </c>
      <c r="W960">
        <v>0.11425484261331711</v>
      </c>
      <c r="X960">
        <v>2.0822090354017591E-2</v>
      </c>
      <c r="Y960">
        <v>5.02319187657067E-3</v>
      </c>
    </row>
    <row r="961" spans="1:25" x14ac:dyDescent="0.25">
      <c r="A961" s="881"/>
      <c r="B961" s="1131">
        <v>711</v>
      </c>
      <c r="C961" s="885">
        <v>1.0196035710800011</v>
      </c>
      <c r="D961" s="885">
        <v>0.98066072063133003</v>
      </c>
      <c r="E961" s="885">
        <v>0.96696417869549334</v>
      </c>
      <c r="F961" s="885">
        <v>0.98536133858416275</v>
      </c>
      <c r="G961" s="885">
        <v>1.0009083268059955</v>
      </c>
      <c r="H961" s="885">
        <v>0.98682090699828362</v>
      </c>
      <c r="I961" s="885">
        <v>0.99561742743434545</v>
      </c>
      <c r="K961">
        <v>1.9192929167851682</v>
      </c>
      <c r="L961">
        <v>0</v>
      </c>
      <c r="M961">
        <v>2.0459617276862539E-3</v>
      </c>
      <c r="N961">
        <v>0.18596581325785314</v>
      </c>
      <c r="O961">
        <v>2.4905254923057382E-2</v>
      </c>
      <c r="P961">
        <v>2.057730081450071E-2</v>
      </c>
      <c r="Q961">
        <v>2.8255257231463273E-3</v>
      </c>
      <c r="R961">
        <v>2.03360247519002E-3</v>
      </c>
      <c r="S961">
        <v>0.20149137939496115</v>
      </c>
      <c r="T961">
        <v>1.0614281168090345</v>
      </c>
      <c r="U961">
        <v>3.6602765682142435E-2</v>
      </c>
      <c r="V961">
        <v>0.24749609642573225</v>
      </c>
      <c r="W961">
        <v>0.11373144424591405</v>
      </c>
      <c r="X961">
        <v>1.8746783200727944E-2</v>
      </c>
      <c r="Y961">
        <v>5.5347955605914564E-3</v>
      </c>
    </row>
    <row r="962" spans="1:25" x14ac:dyDescent="0.25">
      <c r="A962" s="881"/>
      <c r="B962" s="1131">
        <v>712</v>
      </c>
      <c r="C962" s="885">
        <v>0.99723557075895852</v>
      </c>
      <c r="D962" s="885">
        <v>1.0273628245808646</v>
      </c>
      <c r="E962" s="885">
        <v>0.96455682364356832</v>
      </c>
      <c r="F962" s="885">
        <v>0.99090910027467449</v>
      </c>
      <c r="G962" s="885">
        <v>1.0015284616636908</v>
      </c>
      <c r="H962" s="885">
        <v>1.0018739253810833</v>
      </c>
      <c r="I962" s="885">
        <v>1.0026864762088179</v>
      </c>
      <c r="K962">
        <v>1.9246688083943979</v>
      </c>
      <c r="L962">
        <v>0</v>
      </c>
      <c r="M962">
        <v>2.0859689036676339E-3</v>
      </c>
      <c r="N962">
        <v>0.18819746648273972</v>
      </c>
      <c r="O962">
        <v>2.488446805583858E-2</v>
      </c>
      <c r="P962">
        <v>2.0559633101807653E-2</v>
      </c>
      <c r="Q962">
        <v>2.8253466336776727E-3</v>
      </c>
      <c r="R962">
        <v>2.0735172905693893E-3</v>
      </c>
      <c r="S962">
        <v>0.2046053063489712</v>
      </c>
      <c r="T962">
        <v>1.0616524486453733</v>
      </c>
      <c r="U962">
        <v>3.7423765953829541E-2</v>
      </c>
      <c r="V962">
        <v>0.24487496732716751</v>
      </c>
      <c r="W962">
        <v>0.11529062134076265</v>
      </c>
      <c r="X962">
        <v>1.8723805587190664E-2</v>
      </c>
      <c r="Y962">
        <v>5.6434305301387442E-3</v>
      </c>
    </row>
    <row r="963" spans="1:25" x14ac:dyDescent="0.25">
      <c r="A963" s="881"/>
      <c r="B963" s="1131">
        <v>713</v>
      </c>
      <c r="C963" s="885">
        <v>1.0105510093163683</v>
      </c>
      <c r="D963" s="885">
        <v>1.0095025527153079</v>
      </c>
      <c r="E963" s="885">
        <v>1.0414399639237972</v>
      </c>
      <c r="F963" s="885">
        <v>0.99552513194498826</v>
      </c>
      <c r="G963" s="885">
        <v>0.96889556022909706</v>
      </c>
      <c r="H963" s="885">
        <v>0.96980567146506735</v>
      </c>
      <c r="I963" s="885">
        <v>1.0213047638973711</v>
      </c>
      <c r="K963">
        <v>1.9268449718086427</v>
      </c>
      <c r="L963">
        <v>0</v>
      </c>
      <c r="M963">
        <v>1.7093478914614118E-3</v>
      </c>
      <c r="N963">
        <v>0.19584404945520872</v>
      </c>
      <c r="O963">
        <v>2.4770140888334097E-2</v>
      </c>
      <c r="P963">
        <v>2.1661185116971803E-2</v>
      </c>
      <c r="Q963">
        <v>3.0342833933024514E-3</v>
      </c>
      <c r="R963">
        <v>1.6988197176987328E-3</v>
      </c>
      <c r="S963">
        <v>0.204052038481006</v>
      </c>
      <c r="T963">
        <v>1.0545992928721697</v>
      </c>
      <c r="U963">
        <v>3.6930654916829821E-2</v>
      </c>
      <c r="V963">
        <v>0.24517385695120894</v>
      </c>
      <c r="W963">
        <v>0.11383813527601419</v>
      </c>
      <c r="X963">
        <v>2.2328235375552799E-2</v>
      </c>
      <c r="Y963">
        <v>4.6236272558065183E-3</v>
      </c>
    </row>
    <row r="964" spans="1:25" x14ac:dyDescent="0.25">
      <c r="A964" s="881"/>
      <c r="B964" s="1131">
        <v>714</v>
      </c>
      <c r="C964" s="885">
        <v>1.0019751434555577</v>
      </c>
      <c r="D964" s="885">
        <v>0.99826353455263739</v>
      </c>
      <c r="E964" s="885">
        <v>0.97380225195373671</v>
      </c>
      <c r="F964" s="885">
        <v>1.0043206169497807</v>
      </c>
      <c r="G964" s="885">
        <v>0.97822589247043823</v>
      </c>
      <c r="H964" s="885">
        <v>1.0093004774819749</v>
      </c>
      <c r="I964" s="885">
        <v>1.0107782473979781</v>
      </c>
      <c r="K964">
        <v>1.9391506166167645</v>
      </c>
      <c r="L964">
        <v>0</v>
      </c>
      <c r="M964">
        <v>2.0806655528426156E-3</v>
      </c>
      <c r="N964">
        <v>0.19322039578792888</v>
      </c>
      <c r="O964">
        <v>2.5120902766617145E-2</v>
      </c>
      <c r="P964">
        <v>2.0786170327743849E-2</v>
      </c>
      <c r="Q964">
        <v>2.8735536171189918E-3</v>
      </c>
      <c r="R964">
        <v>2.0683613708241408E-3</v>
      </c>
      <c r="S964">
        <v>0.20876049932969293</v>
      </c>
      <c r="T964">
        <v>1.0607921262656503</v>
      </c>
      <c r="U964">
        <v>3.7246742940357402E-2</v>
      </c>
      <c r="V964">
        <v>0.24774539008010374</v>
      </c>
      <c r="W964">
        <v>0.11760499126392178</v>
      </c>
      <c r="X964">
        <v>1.9382750603406551E-2</v>
      </c>
      <c r="Y964">
        <v>5.6293978162406657E-3</v>
      </c>
    </row>
    <row r="965" spans="1:25" x14ac:dyDescent="0.25">
      <c r="A965" s="881"/>
      <c r="B965" s="1131">
        <v>715</v>
      </c>
      <c r="C965" s="885">
        <v>1.0010522226211962</v>
      </c>
      <c r="D965" s="885">
        <v>0.9884876713500349</v>
      </c>
      <c r="E965" s="885">
        <v>1.0082638336996625</v>
      </c>
      <c r="F965" s="885">
        <v>0.98797407625451639</v>
      </c>
      <c r="G965" s="885">
        <v>0.99354033639792882</v>
      </c>
      <c r="H965" s="885">
        <v>1.0101329330087236</v>
      </c>
      <c r="I965" s="885">
        <v>1.0175622670657878</v>
      </c>
      <c r="K965">
        <v>1.9526457748847748</v>
      </c>
      <c r="L965">
        <v>0</v>
      </c>
      <c r="M965">
        <v>1.948059459512928E-3</v>
      </c>
      <c r="N965">
        <v>0.20139567148394835</v>
      </c>
      <c r="O965">
        <v>2.5266959001634292E-2</v>
      </c>
      <c r="P965">
        <v>2.1343927125506576E-2</v>
      </c>
      <c r="Q965">
        <v>2.9905942511003064E-3</v>
      </c>
      <c r="R965">
        <v>1.9365568176870518E-3</v>
      </c>
      <c r="S965">
        <v>0.2113952788061747</v>
      </c>
      <c r="T965">
        <v>1.0576145646032646</v>
      </c>
      <c r="U965">
        <v>3.7281082602459922E-2</v>
      </c>
      <c r="V965">
        <v>0.24910813390060882</v>
      </c>
      <c r="W965">
        <v>0.11970643446899558</v>
      </c>
      <c r="X965">
        <v>2.1283962010943517E-2</v>
      </c>
      <c r="Y965">
        <v>5.2706692719607746E-3</v>
      </c>
    </row>
    <row r="966" spans="1:25" x14ac:dyDescent="0.25">
      <c r="A966" s="881"/>
      <c r="B966" s="1131">
        <v>716</v>
      </c>
      <c r="C966" s="885">
        <v>0.95535808046676585</v>
      </c>
      <c r="D966" s="885">
        <v>1.0032160011397595</v>
      </c>
      <c r="E966" s="885">
        <v>1.0051746796664038</v>
      </c>
      <c r="F966" s="885">
        <v>1.0011889486385421</v>
      </c>
      <c r="G966" s="885">
        <v>0.98601797301909322</v>
      </c>
      <c r="H966" s="885">
        <v>1.0341478887484847</v>
      </c>
      <c r="I966" s="885">
        <v>0.95360332668608117</v>
      </c>
      <c r="K966">
        <v>1.9790217088835349</v>
      </c>
      <c r="L966">
        <v>0</v>
      </c>
      <c r="M966">
        <v>2.0880771297590657E-3</v>
      </c>
      <c r="N966">
        <v>0.21383558213928683</v>
      </c>
      <c r="O966">
        <v>2.6282232900996974E-2</v>
      </c>
      <c r="P966">
        <v>2.1351853704293641E-2</v>
      </c>
      <c r="Q966">
        <v>3.1043581342740626E-3</v>
      </c>
      <c r="R966">
        <v>2.0760216716378252E-3</v>
      </c>
      <c r="S966">
        <v>0.2085993383007424</v>
      </c>
      <c r="T966">
        <v>1.0578975170027416</v>
      </c>
      <c r="U966">
        <v>3.906421201010097E-2</v>
      </c>
      <c r="V966">
        <v>0.25398260018000768</v>
      </c>
      <c r="W966">
        <v>0.12736820347865205</v>
      </c>
      <c r="X966">
        <v>2.1897619860723992E-2</v>
      </c>
      <c r="Y966">
        <v>5.6502466298380309E-3</v>
      </c>
    </row>
    <row r="967" spans="1:25" x14ac:dyDescent="0.25">
      <c r="A967" s="881"/>
      <c r="B967" s="1131">
        <v>717</v>
      </c>
      <c r="C967" s="885">
        <v>1.0033656718256059</v>
      </c>
      <c r="D967" s="885">
        <v>0.98792197718339814</v>
      </c>
      <c r="E967" s="885">
        <v>1.0087249629878026</v>
      </c>
      <c r="F967" s="885">
        <v>1.0112536803999692</v>
      </c>
      <c r="G967" s="885">
        <v>1.0119934837302385</v>
      </c>
      <c r="H967" s="885">
        <v>0.95659914068620178</v>
      </c>
      <c r="I967" s="885">
        <v>0.96470284418124874</v>
      </c>
      <c r="K967">
        <v>1.9168867239384275</v>
      </c>
      <c r="L967">
        <v>0</v>
      </c>
      <c r="M967">
        <v>1.839297670543101E-3</v>
      </c>
      <c r="N967">
        <v>0.1903611527140377</v>
      </c>
      <c r="O967">
        <v>2.5215857043176138E-2</v>
      </c>
      <c r="P967">
        <v>2.1117462139782502E-2</v>
      </c>
      <c r="Q967">
        <v>2.9858032806062123E-3</v>
      </c>
      <c r="R967">
        <v>1.8278299094746486E-3</v>
      </c>
      <c r="S967">
        <v>0.19476421138052108</v>
      </c>
      <c r="T967">
        <v>1.0575723591992809</v>
      </c>
      <c r="U967">
        <v>3.7195124019953063E-2</v>
      </c>
      <c r="V967">
        <v>0.24885030668466404</v>
      </c>
      <c r="W967">
        <v>0.1131122049273704</v>
      </c>
      <c r="X967">
        <v>2.0748959840478535E-2</v>
      </c>
      <c r="Y967">
        <v>4.9747504696222716E-3</v>
      </c>
    </row>
    <row r="968" spans="1:25" x14ac:dyDescent="0.25">
      <c r="A968" s="881"/>
      <c r="B968" s="1131">
        <v>718</v>
      </c>
      <c r="C968" s="885">
        <v>0.9805245230554861</v>
      </c>
      <c r="D968" s="885">
        <v>1.0142646383217013</v>
      </c>
      <c r="E968" s="885">
        <v>1.0213804779709388</v>
      </c>
      <c r="F968" s="885">
        <v>0.98282574329340044</v>
      </c>
      <c r="G968" s="885">
        <v>1.0000528719076527</v>
      </c>
      <c r="H968" s="885">
        <v>1.0012420439871499</v>
      </c>
      <c r="I968" s="885">
        <v>0.99344979597642791</v>
      </c>
      <c r="K968">
        <v>1.9517223964891062</v>
      </c>
      <c r="L968">
        <v>0</v>
      </c>
      <c r="M968">
        <v>1.8932544916351705E-3</v>
      </c>
      <c r="N968">
        <v>0.203860147683324</v>
      </c>
      <c r="O968">
        <v>2.546937047561117E-2</v>
      </c>
      <c r="P968">
        <v>2.1484990267393669E-2</v>
      </c>
      <c r="Q968">
        <v>3.0597150233289288E-3</v>
      </c>
      <c r="R968">
        <v>1.8819560612176715E-3</v>
      </c>
      <c r="S968">
        <v>0.20732558170529974</v>
      </c>
      <c r="T968">
        <v>1.0564172891194712</v>
      </c>
      <c r="U968">
        <v>3.8061577985444253E-2</v>
      </c>
      <c r="V968">
        <v>0.24882510040019587</v>
      </c>
      <c r="W968">
        <v>0.12009971025254881</v>
      </c>
      <c r="X968">
        <v>2.2008147994918414E-2</v>
      </c>
      <c r="Y968">
        <v>5.1220640119856555E-3</v>
      </c>
    </row>
    <row r="969" spans="1:25" x14ac:dyDescent="0.25">
      <c r="A969" s="881"/>
      <c r="B969" s="1131">
        <v>719</v>
      </c>
      <c r="C969" s="885">
        <v>1.0264570257645809</v>
      </c>
      <c r="D969" s="885">
        <v>0.97375052952595498</v>
      </c>
      <c r="E969" s="885">
        <v>1.049294298198256</v>
      </c>
      <c r="F969" s="885">
        <v>1.0065256704616192</v>
      </c>
      <c r="G969" s="885">
        <v>0.97740892438235205</v>
      </c>
      <c r="H969" s="885">
        <v>0.96001288581816202</v>
      </c>
      <c r="I969" s="885">
        <v>1.0102859955656553</v>
      </c>
      <c r="K969">
        <v>1.924548260724722</v>
      </c>
      <c r="L969">
        <v>0</v>
      </c>
      <c r="M969">
        <v>1.6678688329051087E-3</v>
      </c>
      <c r="N969">
        <v>0.19579334124175896</v>
      </c>
      <c r="O969">
        <v>2.4825990498747265E-2</v>
      </c>
      <c r="P969">
        <v>2.1754906239646342E-2</v>
      </c>
      <c r="Q969">
        <v>3.0569106477790213E-3</v>
      </c>
      <c r="R969">
        <v>1.6575173421344541E-3</v>
      </c>
      <c r="S969">
        <v>0.2010514777050732</v>
      </c>
      <c r="T969">
        <v>1.053891748653196</v>
      </c>
      <c r="U969">
        <v>3.6358376107482875E-2</v>
      </c>
      <c r="V969">
        <v>0.24743181647376958</v>
      </c>
      <c r="W969">
        <v>0.11321751503272857</v>
      </c>
      <c r="X969">
        <v>2.2665313810465715E-2</v>
      </c>
      <c r="Y969">
        <v>4.5112158048449987E-3</v>
      </c>
    </row>
    <row r="970" spans="1:25" x14ac:dyDescent="0.25">
      <c r="A970" s="881"/>
      <c r="B970" s="1131">
        <v>720</v>
      </c>
      <c r="C970" s="885">
        <v>0.9727654314376617</v>
      </c>
      <c r="D970" s="885">
        <v>1.0031203081723321</v>
      </c>
      <c r="E970" s="885">
        <v>1.0131516643457417</v>
      </c>
      <c r="F970" s="885">
        <v>0.98659623892864268</v>
      </c>
      <c r="G970" s="885">
        <v>1.0216935968166496</v>
      </c>
      <c r="H970" s="885">
        <v>1.0213992690713969</v>
      </c>
      <c r="I970" s="885">
        <v>0.99105837678670183</v>
      </c>
      <c r="K970">
        <v>1.9691316685079043</v>
      </c>
      <c r="L970">
        <v>0</v>
      </c>
      <c r="M970">
        <v>1.9917369287644317E-3</v>
      </c>
      <c r="N970">
        <v>0.20907622504794959</v>
      </c>
      <c r="O970">
        <v>2.5813138356045855E-2</v>
      </c>
      <c r="P970">
        <v>2.1463917428573814E-2</v>
      </c>
      <c r="Q970">
        <v>3.0733512416582756E-3</v>
      </c>
      <c r="R970">
        <v>1.9800942370511187E-3</v>
      </c>
      <c r="S970">
        <v>0.211610074955734</v>
      </c>
      <c r="T970">
        <v>1.0571676223522046</v>
      </c>
      <c r="U970">
        <v>3.8365169438392535E-2</v>
      </c>
      <c r="V970">
        <v>0.25135696518334943</v>
      </c>
      <c r="W970">
        <v>0.12385978950000438</v>
      </c>
      <c r="X970">
        <v>2.1967893920339633E-2</v>
      </c>
      <c r="Y970">
        <v>5.389163775363328E-3</v>
      </c>
    </row>
    <row r="971" spans="1:25" x14ac:dyDescent="0.25">
      <c r="A971" s="881"/>
      <c r="B971" s="1131">
        <v>721</v>
      </c>
      <c r="C971" s="885">
        <v>0.99515931773833566</v>
      </c>
      <c r="D971" s="885">
        <v>0.98393352844098136</v>
      </c>
      <c r="E971" s="885">
        <v>1.0114035004929314</v>
      </c>
      <c r="F971" s="885">
        <v>1.0047107464482137</v>
      </c>
      <c r="G971" s="885">
        <v>1.0073063363403576</v>
      </c>
      <c r="H971" s="885">
        <v>0.9946843684606882</v>
      </c>
      <c r="I971" s="885">
        <v>0.99061128538493715</v>
      </c>
      <c r="K971">
        <v>1.9471980920301082</v>
      </c>
      <c r="L971">
        <v>0</v>
      </c>
      <c r="M971">
        <v>1.9212815084406066E-3</v>
      </c>
      <c r="N971">
        <v>0.20055742298357265</v>
      </c>
      <c r="O971">
        <v>2.5474854374994568E-2</v>
      </c>
      <c r="P971">
        <v>2.1336455134527407E-2</v>
      </c>
      <c r="Q971">
        <v>3.023700294755158E-3</v>
      </c>
      <c r="R971">
        <v>1.9097644967323822E-3</v>
      </c>
      <c r="S971">
        <v>0.20588654836905415</v>
      </c>
      <c r="T971">
        <v>1.0573273669777572</v>
      </c>
      <c r="U971">
        <v>3.7501845117356138E-2</v>
      </c>
      <c r="V971">
        <v>0.25053442821488614</v>
      </c>
      <c r="W971">
        <v>0.11895412018196506</v>
      </c>
      <c r="X971">
        <v>2.1415117986539847E-2</v>
      </c>
      <c r="Y971">
        <v>5.1977494064083946E-3</v>
      </c>
    </row>
    <row r="972" spans="1:25" x14ac:dyDescent="0.25">
      <c r="A972" s="881"/>
      <c r="B972" s="1131">
        <v>722</v>
      </c>
      <c r="C972" s="885">
        <v>1.0239933373062495</v>
      </c>
      <c r="D972" s="885">
        <v>1.0129745857003059</v>
      </c>
      <c r="E972" s="885">
        <v>1.0203092694523268</v>
      </c>
      <c r="F972" s="885">
        <v>0.97904349638459698</v>
      </c>
      <c r="G972" s="885">
        <v>1.0274318317932378</v>
      </c>
      <c r="H972" s="885">
        <v>1.0343104258513287</v>
      </c>
      <c r="I972" s="885">
        <v>0.99030781571053728</v>
      </c>
      <c r="K972">
        <v>1.9328383438583252</v>
      </c>
      <c r="L972">
        <v>0</v>
      </c>
      <c r="M972">
        <v>1.8781827511843603E-3</v>
      </c>
      <c r="N972">
        <v>0.20160422973153613</v>
      </c>
      <c r="O972">
        <v>2.4403528658018082E-2</v>
      </c>
      <c r="P972">
        <v>2.1281102606726662E-2</v>
      </c>
      <c r="Q972">
        <v>2.9282949115777557E-3</v>
      </c>
      <c r="R972">
        <v>1.867333567333954E-3</v>
      </c>
      <c r="S972">
        <v>0.2012279812828047</v>
      </c>
      <c r="T972">
        <v>1.0565148159847366</v>
      </c>
      <c r="U972">
        <v>3.6445852957493828E-2</v>
      </c>
      <c r="V972">
        <v>0.24294064763027431</v>
      </c>
      <c r="W972">
        <v>0.11885651739062877</v>
      </c>
      <c r="X972">
        <v>2.156395548443827E-2</v>
      </c>
      <c r="Y972">
        <v>5.0822664039379892E-3</v>
      </c>
    </row>
    <row r="973" spans="1:25" x14ac:dyDescent="0.25">
      <c r="A973" s="881"/>
      <c r="B973" s="1131">
        <v>723</v>
      </c>
      <c r="C973" s="885">
        <v>0.9848428061217902</v>
      </c>
      <c r="D973" s="885">
        <v>0.96466820949126375</v>
      </c>
      <c r="E973" s="885">
        <v>0.99259286505243816</v>
      </c>
      <c r="F973" s="885">
        <v>0.99555802226076029</v>
      </c>
      <c r="G973" s="885">
        <v>0.99972868262326042</v>
      </c>
      <c r="H973" s="885">
        <v>1.0298255653440038</v>
      </c>
      <c r="I973" s="885">
        <v>1.0337890474256484</v>
      </c>
      <c r="K973">
        <v>1.9845005525098123</v>
      </c>
      <c r="L973">
        <v>0</v>
      </c>
      <c r="M973">
        <v>2.11186961933727E-3</v>
      </c>
      <c r="N973">
        <v>0.20796760520469221</v>
      </c>
      <c r="O973">
        <v>2.5995829187754668E-2</v>
      </c>
      <c r="P973">
        <v>2.1354293349467219E-2</v>
      </c>
      <c r="Q973">
        <v>3.0235873312167783E-3</v>
      </c>
      <c r="R973">
        <v>2.0996590589009577E-3</v>
      </c>
      <c r="S973">
        <v>0.22289852323897716</v>
      </c>
      <c r="T973">
        <v>1.0590537955794179</v>
      </c>
      <c r="U973">
        <v>3.7894687729791529E-2</v>
      </c>
      <c r="V973">
        <v>0.25459398361459679</v>
      </c>
      <c r="W973">
        <v>0.12494489351830436</v>
      </c>
      <c r="X973">
        <v>2.1070984510124968E-2</v>
      </c>
      <c r="Y973">
        <v>5.7145798059056608E-3</v>
      </c>
    </row>
    <row r="974" spans="1:25" x14ac:dyDescent="0.25">
      <c r="A974" s="881"/>
      <c r="B974" s="1131">
        <v>724</v>
      </c>
      <c r="C974" s="885">
        <v>0.96688560784905087</v>
      </c>
      <c r="D974" s="885">
        <v>1.0221619504910326</v>
      </c>
      <c r="E974" s="885">
        <v>0.9912058674649612</v>
      </c>
      <c r="F974" s="885">
        <v>0.99322820692091218</v>
      </c>
      <c r="G974" s="885">
        <v>0.98268435749412719</v>
      </c>
      <c r="H974" s="885">
        <v>1.0056854335401642</v>
      </c>
      <c r="I974" s="885">
        <v>1.0019534151636111</v>
      </c>
      <c r="K974">
        <v>1.9567794436932733</v>
      </c>
      <c r="L974">
        <v>0</v>
      </c>
      <c r="M974">
        <v>2.0472822901201064E-3</v>
      </c>
      <c r="N974">
        <v>0.20070588577348575</v>
      </c>
      <c r="O974">
        <v>2.5729916661314023E-2</v>
      </c>
      <c r="P974">
        <v>2.1127978045851769E-2</v>
      </c>
      <c r="Q974">
        <v>3.0005930749945537E-3</v>
      </c>
      <c r="R974">
        <v>2.0351121568504237E-3</v>
      </c>
      <c r="S974">
        <v>0.21175902854337875</v>
      </c>
      <c r="T974">
        <v>1.0591816388213739</v>
      </c>
      <c r="U974">
        <v>3.8598475660363042E-2</v>
      </c>
      <c r="V974">
        <v>0.2498513528041548</v>
      </c>
      <c r="W974">
        <v>0.12069726597141223</v>
      </c>
      <c r="X974">
        <v>2.0600574053808669E-2</v>
      </c>
      <c r="Y974">
        <v>5.5389044164046511E-3</v>
      </c>
    </row>
    <row r="975" spans="1:25" x14ac:dyDescent="0.25">
      <c r="A975" s="881"/>
      <c r="B975" s="1131">
        <v>725</v>
      </c>
      <c r="C975" s="885">
        <v>0.99542127980261685</v>
      </c>
      <c r="D975" s="885">
        <v>1.0013860320694252</v>
      </c>
      <c r="E975" s="885">
        <v>1.0028532474055158</v>
      </c>
      <c r="F975" s="885">
        <v>0.97748926379677126</v>
      </c>
      <c r="G975" s="885">
        <v>0.99704738207378407</v>
      </c>
      <c r="H975" s="885">
        <v>1.0039016484162275</v>
      </c>
      <c r="I975" s="885">
        <v>0.97828595956351561</v>
      </c>
      <c r="K975">
        <v>1.9395446668057903</v>
      </c>
      <c r="L975">
        <v>0</v>
      </c>
      <c r="M975">
        <v>1.9567296900710185E-3</v>
      </c>
      <c r="N975">
        <v>0.19890832772259426</v>
      </c>
      <c r="O975">
        <v>2.5247238629912808E-2</v>
      </c>
      <c r="P975">
        <v>2.1135816530005888E-2</v>
      </c>
      <c r="Q975">
        <v>2.9747951487018144E-3</v>
      </c>
      <c r="R975">
        <v>1.9450936660437347E-3</v>
      </c>
      <c r="S975">
        <v>0.20255194639678675</v>
      </c>
      <c r="T975">
        <v>1.0581103944948367</v>
      </c>
      <c r="U975">
        <v>3.7491975868063722E-2</v>
      </c>
      <c r="V975">
        <v>0.24828627753621726</v>
      </c>
      <c r="W975">
        <v>0.11866480450222261</v>
      </c>
      <c r="X975">
        <v>2.0890822241460643E-2</v>
      </c>
      <c r="Y975">
        <v>5.2939037590163602E-3</v>
      </c>
    </row>
    <row r="976" spans="1:25" x14ac:dyDescent="0.25">
      <c r="A976" s="881"/>
      <c r="B976" s="1131">
        <v>726</v>
      </c>
      <c r="C976" s="885">
        <v>0.97847370271202971</v>
      </c>
      <c r="D976" s="885">
        <v>1.0088404597064686</v>
      </c>
      <c r="E976" s="885">
        <v>1.0038596699784523</v>
      </c>
      <c r="F976" s="885">
        <v>1.0381680931655051</v>
      </c>
      <c r="G976" s="885">
        <v>0.97700019363082835</v>
      </c>
      <c r="H976" s="885">
        <v>1.0026298752950003</v>
      </c>
      <c r="I976" s="885">
        <v>0.96975349075831641</v>
      </c>
      <c r="K976">
        <v>1.9473979116355491</v>
      </c>
      <c r="L976">
        <v>0</v>
      </c>
      <c r="M976">
        <v>1.9766293279720962E-3</v>
      </c>
      <c r="N976">
        <v>0.20155900914310687</v>
      </c>
      <c r="O976">
        <v>2.5590479241350474E-2</v>
      </c>
      <c r="P976">
        <v>2.1192203891825964E-2</v>
      </c>
      <c r="Q976">
        <v>3.0198416125678451E-3</v>
      </c>
      <c r="R976">
        <v>1.9648540211556309E-3</v>
      </c>
      <c r="S976">
        <v>0.20344213940226188</v>
      </c>
      <c r="T976">
        <v>1.0580180788136744</v>
      </c>
      <c r="U976">
        <v>3.8141352698060633E-2</v>
      </c>
      <c r="V976">
        <v>0.2498019323334347</v>
      </c>
      <c r="W976">
        <v>0.12016356536425578</v>
      </c>
      <c r="X976">
        <v>2.1133399510196185E-2</v>
      </c>
      <c r="Y976">
        <v>5.3476849316316296E-3</v>
      </c>
    </row>
    <row r="977" spans="1:25" x14ac:dyDescent="0.25">
      <c r="A977" s="881"/>
      <c r="B977" s="1131">
        <v>727</v>
      </c>
      <c r="C977" s="885">
        <v>0.99769226725824545</v>
      </c>
      <c r="D977" s="885">
        <v>0.99809166808561245</v>
      </c>
      <c r="E977" s="885">
        <v>1.0230098629820126</v>
      </c>
      <c r="F977" s="885">
        <v>1.0028747123332775</v>
      </c>
      <c r="G977" s="885">
        <v>0.99153158538096087</v>
      </c>
      <c r="H977" s="885">
        <v>1.0156366280939526</v>
      </c>
      <c r="I977" s="885">
        <v>0.97442867474562889</v>
      </c>
      <c r="K977">
        <v>1.9476459649981397</v>
      </c>
      <c r="L977">
        <v>0</v>
      </c>
      <c r="M977">
        <v>1.8959396097753922E-3</v>
      </c>
      <c r="N977">
        <v>0.20520387370702053</v>
      </c>
      <c r="O977">
        <v>2.5230892170251779E-2</v>
      </c>
      <c r="P977">
        <v>2.1429840538520515E-2</v>
      </c>
      <c r="Q977">
        <v>3.0325829054108789E-3</v>
      </c>
      <c r="R977">
        <v>1.8847978982993259E-3</v>
      </c>
      <c r="S977">
        <v>0.20275983991270172</v>
      </c>
      <c r="T977">
        <v>1.0562690297960073</v>
      </c>
      <c r="U977">
        <v>3.7406635117536467E-2</v>
      </c>
      <c r="V977">
        <v>0.24837476633476416</v>
      </c>
      <c r="W977">
        <v>0.12075869518290391</v>
      </c>
      <c r="X977">
        <v>2.2061152488788198E-2</v>
      </c>
      <c r="Y977">
        <v>5.1297985557105762E-3</v>
      </c>
    </row>
    <row r="978" spans="1:25" x14ac:dyDescent="0.25">
      <c r="A978" s="881"/>
      <c r="B978" s="1131">
        <v>728</v>
      </c>
      <c r="C978" s="885">
        <v>0.97763975961324812</v>
      </c>
      <c r="D978" s="885">
        <v>0.99317891232041056</v>
      </c>
      <c r="E978" s="885">
        <v>0.98740297227545659</v>
      </c>
      <c r="F978" s="885">
        <v>0.98440278829089634</v>
      </c>
      <c r="G978" s="885">
        <v>1.0292578907010408</v>
      </c>
      <c r="H978" s="885">
        <v>0.98413694125472984</v>
      </c>
      <c r="I978" s="885">
        <v>0.97206691547739721</v>
      </c>
      <c r="K978">
        <v>1.9433894116861996</v>
      </c>
      <c r="L978">
        <v>0</v>
      </c>
      <c r="M978">
        <v>2.0258700742223812E-3</v>
      </c>
      <c r="N978">
        <v>0.19624565703036645</v>
      </c>
      <c r="O978">
        <v>2.5811410531180998E-2</v>
      </c>
      <c r="P978">
        <v>2.0985422007436336E-2</v>
      </c>
      <c r="Q978">
        <v>2.992557435193356E-3</v>
      </c>
      <c r="R978">
        <v>2.0135879626683585E-3</v>
      </c>
      <c r="S978">
        <v>0.20370550677734553</v>
      </c>
      <c r="T978">
        <v>1.0595325453865885</v>
      </c>
      <c r="U978">
        <v>3.817388791110618E-2</v>
      </c>
      <c r="V978">
        <v>0.25190609893985338</v>
      </c>
      <c r="W978">
        <v>0.11832484359533087</v>
      </c>
      <c r="X978">
        <v>2.0243441528060346E-2</v>
      </c>
      <c r="Y978">
        <v>5.4803226552897696E-3</v>
      </c>
    </row>
    <row r="979" spans="1:25" x14ac:dyDescent="0.25">
      <c r="A979" s="881"/>
      <c r="B979" s="1131">
        <v>729</v>
      </c>
      <c r="C979" s="885">
        <v>0.99245028485590214</v>
      </c>
      <c r="D979" s="885">
        <v>0.96077173470709532</v>
      </c>
      <c r="E979" s="885">
        <v>1.0091588507319467</v>
      </c>
      <c r="F979" s="885">
        <v>1.0038665563119749</v>
      </c>
      <c r="G979" s="885">
        <v>0.99483112124922723</v>
      </c>
      <c r="H979" s="885">
        <v>0.97524750621651668</v>
      </c>
      <c r="I979" s="885">
        <v>1.0261128272991493</v>
      </c>
      <c r="K979">
        <v>1.9574926163224591</v>
      </c>
      <c r="L979">
        <v>0</v>
      </c>
      <c r="M979">
        <v>1.9204242489355549E-3</v>
      </c>
      <c r="N979">
        <v>0.19905204965435547</v>
      </c>
      <c r="O979">
        <v>2.5848568332058938E-2</v>
      </c>
      <c r="P979">
        <v>2.1466081006253308E-2</v>
      </c>
      <c r="Q979">
        <v>3.0560401777839303E-3</v>
      </c>
      <c r="R979">
        <v>1.908702547635535E-3</v>
      </c>
      <c r="S979">
        <v>0.21413348055479425</v>
      </c>
      <c r="T979">
        <v>1.0575326546862567</v>
      </c>
      <c r="U979">
        <v>3.7604211687374954E-2</v>
      </c>
      <c r="V979">
        <v>0.25398863244620024</v>
      </c>
      <c r="W979">
        <v>0.11824142711094482</v>
      </c>
      <c r="X979">
        <v>2.1386333236696378E-2</v>
      </c>
      <c r="Y979">
        <v>5.1948591310382016E-3</v>
      </c>
    </row>
    <row r="980" spans="1:25" x14ac:dyDescent="0.25">
      <c r="A980" s="881"/>
      <c r="B980" s="1131">
        <v>730</v>
      </c>
      <c r="C980" s="885">
        <v>0.99723313450524154</v>
      </c>
      <c r="D980" s="885">
        <v>0.99413963188871357</v>
      </c>
      <c r="E980" s="885">
        <v>0.99249199008650246</v>
      </c>
      <c r="F980" s="885">
        <v>0.98724160416206042</v>
      </c>
      <c r="G980" s="885">
        <v>0.99944811136257239</v>
      </c>
      <c r="H980" s="885">
        <v>0.99154843059949427</v>
      </c>
      <c r="I980" s="885">
        <v>1.0026145490377967</v>
      </c>
      <c r="K980">
        <v>1.9387599148945107</v>
      </c>
      <c r="L980">
        <v>0</v>
      </c>
      <c r="M980">
        <v>1.978778526362134E-3</v>
      </c>
      <c r="N980">
        <v>0.19475399217732969</v>
      </c>
      <c r="O980">
        <v>2.529215676310155E-2</v>
      </c>
      <c r="P980">
        <v>2.1048991285244161E-2</v>
      </c>
      <c r="Q980">
        <v>2.9476774974695288E-3</v>
      </c>
      <c r="R980">
        <v>1.9668707843198741E-3</v>
      </c>
      <c r="S980">
        <v>0.20664376373893614</v>
      </c>
      <c r="T980">
        <v>1.059063090969474</v>
      </c>
      <c r="U980">
        <v>3.7423857380583993E-2</v>
      </c>
      <c r="V980">
        <v>0.24893373428685195</v>
      </c>
      <c r="W980">
        <v>0.11701440324995477</v>
      </c>
      <c r="X980">
        <v>2.0296981391466309E-2</v>
      </c>
      <c r="Y980">
        <v>5.3531738961389028E-3</v>
      </c>
    </row>
    <row r="981" spans="1:25" x14ac:dyDescent="0.25">
      <c r="A981" s="881"/>
      <c r="B981" s="1131">
        <v>731</v>
      </c>
      <c r="C981" s="885">
        <v>1.0212064103378167</v>
      </c>
      <c r="D981" s="885">
        <v>1.0005104571395973</v>
      </c>
      <c r="E981" s="885">
        <v>1.0137350490222587</v>
      </c>
      <c r="F981" s="885">
        <v>1.0011981989681316</v>
      </c>
      <c r="G981" s="885">
        <v>0.98226341084914759</v>
      </c>
      <c r="H981" s="885">
        <v>0.9904766151448422</v>
      </c>
      <c r="I981" s="885">
        <v>1.0145269863158042</v>
      </c>
      <c r="K981">
        <v>1.9247251519770663</v>
      </c>
      <c r="L981">
        <v>0</v>
      </c>
      <c r="M981">
        <v>1.8399245476454741E-3</v>
      </c>
      <c r="N981">
        <v>0.19345541118361417</v>
      </c>
      <c r="O981">
        <v>2.4620410780773028E-2</v>
      </c>
      <c r="P981">
        <v>2.1245074607306288E-2</v>
      </c>
      <c r="Q981">
        <v>2.932517845176427E-3</v>
      </c>
      <c r="R981">
        <v>1.8288354957664609E-3</v>
      </c>
      <c r="S981">
        <v>0.203484594728011</v>
      </c>
      <c r="T981">
        <v>1.0571143400800855</v>
      </c>
      <c r="U981">
        <v>3.6545315641498273E-2</v>
      </c>
      <c r="V981">
        <v>0.2448130985691955</v>
      </c>
      <c r="W981">
        <v>0.11456048044016989</v>
      </c>
      <c r="X981">
        <v>2.0987509809096059E-2</v>
      </c>
      <c r="Y981">
        <v>4.9774873440171516E-3</v>
      </c>
    </row>
    <row r="982" spans="1:25" x14ac:dyDescent="0.25">
      <c r="A982" s="881"/>
      <c r="B982" s="1131">
        <v>732</v>
      </c>
      <c r="C982" s="885">
        <v>1.0233594394227483</v>
      </c>
      <c r="D982" s="885">
        <v>0.99636543824966295</v>
      </c>
      <c r="E982" s="885">
        <v>1.0135150129266592</v>
      </c>
      <c r="F982" s="885">
        <v>0.99570416958196151</v>
      </c>
      <c r="G982" s="885">
        <v>1.0372460376295844</v>
      </c>
      <c r="H982" s="885">
        <v>0.99362190000556716</v>
      </c>
      <c r="I982" s="885">
        <v>1.0113135684989323</v>
      </c>
      <c r="K982">
        <v>1.9254528640189379</v>
      </c>
      <c r="L982">
        <v>0</v>
      </c>
      <c r="M982">
        <v>1.8465277591468148E-3</v>
      </c>
      <c r="N982">
        <v>0.1940210278081029</v>
      </c>
      <c r="O982">
        <v>2.4619162764540983E-2</v>
      </c>
      <c r="P982">
        <v>2.1238708600716333E-2</v>
      </c>
      <c r="Q982">
        <v>2.9308766428986126E-3</v>
      </c>
      <c r="R982">
        <v>1.8354373315466581E-3</v>
      </c>
      <c r="S982">
        <v>0.20311453076599181</v>
      </c>
      <c r="T982">
        <v>1.0571344350754788</v>
      </c>
      <c r="U982">
        <v>3.6468428553283673E-2</v>
      </c>
      <c r="V982">
        <v>0.24502815714006618</v>
      </c>
      <c r="W982">
        <v>0.11491256364102172</v>
      </c>
      <c r="X982">
        <v>2.1000608089718938E-2</v>
      </c>
      <c r="Y982">
        <v>4.9954553647162695E-3</v>
      </c>
    </row>
    <row r="983" spans="1:25" x14ac:dyDescent="0.25">
      <c r="A983" s="881"/>
      <c r="B983" s="1131">
        <v>733</v>
      </c>
      <c r="C983" s="885">
        <v>1.0017879284949307</v>
      </c>
      <c r="D983" s="885">
        <v>0.99501309603155796</v>
      </c>
      <c r="E983" s="885">
        <v>1.0302587015261924</v>
      </c>
      <c r="F983" s="885">
        <v>0.97689104704788032</v>
      </c>
      <c r="G983" s="885">
        <v>1.0449557715056164</v>
      </c>
      <c r="H983" s="885">
        <v>0.98420043942203894</v>
      </c>
      <c r="I983" s="885">
        <v>1.01291751570348</v>
      </c>
      <c r="K983">
        <v>1.9415345478391597</v>
      </c>
      <c r="L983">
        <v>0</v>
      </c>
      <c r="M983">
        <v>1.8046698754318187E-3</v>
      </c>
      <c r="N983">
        <v>0.19973413020759564</v>
      </c>
      <c r="O983">
        <v>2.5166211051405457E-2</v>
      </c>
      <c r="P983">
        <v>2.158814362652094E-2</v>
      </c>
      <c r="Q983">
        <v>3.0459483994117655E-3</v>
      </c>
      <c r="R983">
        <v>1.7937281234121543E-3</v>
      </c>
      <c r="S983">
        <v>0.20698051490142622</v>
      </c>
      <c r="T983">
        <v>1.0556107098913809</v>
      </c>
      <c r="U983">
        <v>3.7253703642632495E-2</v>
      </c>
      <c r="V983">
        <v>0.24817438028942518</v>
      </c>
      <c r="W983">
        <v>0.11696895249482457</v>
      </c>
      <c r="X983">
        <v>2.2140858436945961E-2</v>
      </c>
      <c r="Y983">
        <v>4.8819366496109188E-3</v>
      </c>
    </row>
    <row r="984" spans="1:25" x14ac:dyDescent="0.25">
      <c r="A984" s="881"/>
      <c r="B984" s="1131">
        <v>734</v>
      </c>
      <c r="C984" s="885">
        <v>0.99874036337387018</v>
      </c>
      <c r="D984" s="885">
        <v>0.9842332521698467</v>
      </c>
      <c r="E984" s="885">
        <v>0.99957413308475285</v>
      </c>
      <c r="F984" s="885">
        <v>0.99415726719894915</v>
      </c>
      <c r="G984" s="885">
        <v>1.0078809541055973</v>
      </c>
      <c r="H984" s="885">
        <v>0.99653980257967767</v>
      </c>
      <c r="I984" s="885">
        <v>0.99075060094999101</v>
      </c>
      <c r="K984">
        <v>1.9427593978922375</v>
      </c>
      <c r="L984">
        <v>0</v>
      </c>
      <c r="M984">
        <v>1.9660883323502597E-3</v>
      </c>
      <c r="N984">
        <v>0.19782399439519002</v>
      </c>
      <c r="O984">
        <v>2.5379677658405896E-2</v>
      </c>
      <c r="P984">
        <v>2.1147678214288437E-2</v>
      </c>
      <c r="Q984">
        <v>2.9769670094022043E-3</v>
      </c>
      <c r="R984">
        <v>1.9543244220161298E-3</v>
      </c>
      <c r="S984">
        <v>0.20533617133124171</v>
      </c>
      <c r="T984">
        <v>1.0584114501980273</v>
      </c>
      <c r="U984">
        <v>3.7367379921288288E-2</v>
      </c>
      <c r="V984">
        <v>0.24997739884725084</v>
      </c>
      <c r="W984">
        <v>0.11828278240660525</v>
      </c>
      <c r="X984">
        <v>2.0748634987014226E-2</v>
      </c>
      <c r="Y984">
        <v>5.3190268338553321E-3</v>
      </c>
    </row>
    <row r="985" spans="1:25" x14ac:dyDescent="0.25">
      <c r="A985" s="881"/>
      <c r="B985" s="1131">
        <v>735</v>
      </c>
      <c r="C985" s="885">
        <v>0.96254678573137575</v>
      </c>
      <c r="D985" s="885">
        <v>0.97003614056200527</v>
      </c>
      <c r="E985" s="885">
        <v>0.96131685088670249</v>
      </c>
      <c r="F985" s="885">
        <v>0.98292489041104059</v>
      </c>
      <c r="G985" s="885">
        <v>1.0090768407215644</v>
      </c>
      <c r="H985" s="885">
        <v>0.98548493139883764</v>
      </c>
      <c r="I985" s="885">
        <v>1.0146433365612619</v>
      </c>
      <c r="K985">
        <v>1.9695190015259141</v>
      </c>
      <c r="L985">
        <v>0</v>
      </c>
      <c r="M985">
        <v>2.2019233361768799E-3</v>
      </c>
      <c r="N985">
        <v>0.19664621741213867</v>
      </c>
      <c r="O985">
        <v>2.652469150307258E-2</v>
      </c>
      <c r="P985">
        <v>2.0878172150788115E-2</v>
      </c>
      <c r="Q985">
        <v>2.989580349793854E-3</v>
      </c>
      <c r="R985">
        <v>2.188614079115519E-3</v>
      </c>
      <c r="S985">
        <v>0.21846307756400773</v>
      </c>
      <c r="T985">
        <v>1.0619547221594863</v>
      </c>
      <c r="U985">
        <v>3.8772464002941626E-2</v>
      </c>
      <c r="V985">
        <v>0.25727566150899034</v>
      </c>
      <c r="W985">
        <v>0.12074077910730413</v>
      </c>
      <c r="X985">
        <v>1.9330258977534882E-2</v>
      </c>
      <c r="Y985">
        <v>5.9566860469151646E-3</v>
      </c>
    </row>
    <row r="986" spans="1:25" x14ac:dyDescent="0.25">
      <c r="A986" s="881"/>
      <c r="B986" s="1131">
        <v>736</v>
      </c>
      <c r="C986" s="885">
        <v>1.0241069892237009</v>
      </c>
      <c r="D986" s="885">
        <v>0.97231806494451034</v>
      </c>
      <c r="E986" s="885">
        <v>0.99524309463921212</v>
      </c>
      <c r="F986" s="885">
        <v>1.0282570434227942</v>
      </c>
      <c r="G986" s="885">
        <v>0.9750761212040896</v>
      </c>
      <c r="H986" s="885">
        <v>0.9972973056029194</v>
      </c>
      <c r="I986" s="885">
        <v>0.98911388582103421</v>
      </c>
      <c r="K986">
        <v>1.9279857905991531</v>
      </c>
      <c r="L986">
        <v>0</v>
      </c>
      <c r="M986">
        <v>1.9481570049107726E-3</v>
      </c>
      <c r="N986">
        <v>0.19339763108647487</v>
      </c>
      <c r="O986">
        <v>2.4901166979687427E-2</v>
      </c>
      <c r="P986">
        <v>2.0987055850214258E-2</v>
      </c>
      <c r="Q986">
        <v>2.905640629914111E-3</v>
      </c>
      <c r="R986">
        <v>1.9365191606986745E-3</v>
      </c>
      <c r="S986">
        <v>0.2011188181380292</v>
      </c>
      <c r="T986">
        <v>1.0588097249952007</v>
      </c>
      <c r="U986">
        <v>3.6441808320443823E-2</v>
      </c>
      <c r="V986">
        <v>0.24794109635170589</v>
      </c>
      <c r="W986">
        <v>0.11597999032849561</v>
      </c>
      <c r="X986">
        <v>2.024392898114467E-2</v>
      </c>
      <c r="Y986">
        <v>5.2705667820520325E-3</v>
      </c>
    </row>
    <row r="987" spans="1:25" x14ac:dyDescent="0.25">
      <c r="A987" s="881"/>
      <c r="B987" s="1131">
        <v>737</v>
      </c>
      <c r="C987" s="885">
        <v>1.0028240853480404</v>
      </c>
      <c r="D987" s="885">
        <v>1.0233917933724836</v>
      </c>
      <c r="E987" s="885">
        <v>0.99215537458521186</v>
      </c>
      <c r="F987" s="885">
        <v>1.0386230639138441</v>
      </c>
      <c r="G987" s="885">
        <v>0.97878934704053044</v>
      </c>
      <c r="H987" s="885">
        <v>1.0361320872950552</v>
      </c>
      <c r="I987" s="885">
        <v>1.0410575426458388</v>
      </c>
      <c r="K987">
        <v>1.9500715129566426</v>
      </c>
      <c r="L987">
        <v>0</v>
      </c>
      <c r="M987">
        <v>2.028412443866237E-3</v>
      </c>
      <c r="N987">
        <v>0.1994795836407609</v>
      </c>
      <c r="O987">
        <v>2.4793111137457101E-2</v>
      </c>
      <c r="P987">
        <v>2.1097976612991287E-2</v>
      </c>
      <c r="Q987">
        <v>2.8943577633539774E-3</v>
      </c>
      <c r="R987">
        <v>2.0167078395447935E-3</v>
      </c>
      <c r="S987">
        <v>0.2151841316268911</v>
      </c>
      <c r="T987">
        <v>1.0590941121573609</v>
      </c>
      <c r="U987">
        <v>3.7215211666924097E-2</v>
      </c>
      <c r="V987">
        <v>0.24457371127830416</v>
      </c>
      <c r="W987">
        <v>0.11988144632483025</v>
      </c>
      <c r="X987">
        <v>2.0380761420410735E-2</v>
      </c>
      <c r="Y987">
        <v>5.4888139316802914E-3</v>
      </c>
    </row>
    <row r="988" spans="1:25" x14ac:dyDescent="0.25">
      <c r="A988" s="881"/>
      <c r="B988" s="1131">
        <v>738</v>
      </c>
      <c r="C988" s="885">
        <v>1.0035059068321472</v>
      </c>
      <c r="D988" s="885">
        <v>0.98721119632808518</v>
      </c>
      <c r="E988" s="885">
        <v>1.0044630448429388</v>
      </c>
      <c r="F988" s="885">
        <v>0.99149208874171757</v>
      </c>
      <c r="G988" s="885">
        <v>0.98886220624456622</v>
      </c>
      <c r="H988" s="885">
        <v>0.97895666370370404</v>
      </c>
      <c r="I988" s="885">
        <v>1.027001529039931</v>
      </c>
      <c r="K988">
        <v>1.9388504446389834</v>
      </c>
      <c r="L988">
        <v>0</v>
      </c>
      <c r="M988">
        <v>1.8996848221041671E-3</v>
      </c>
      <c r="N988">
        <v>0.19405041922194688</v>
      </c>
      <c r="O988">
        <v>2.5221332568337772E-2</v>
      </c>
      <c r="P988">
        <v>2.1261718731829995E-2</v>
      </c>
      <c r="Q988">
        <v>2.9735814122966546E-3</v>
      </c>
      <c r="R988">
        <v>1.8881116367641217E-3</v>
      </c>
      <c r="S988">
        <v>0.2097116075259331</v>
      </c>
      <c r="T988">
        <v>1.0579627522450326</v>
      </c>
      <c r="U988">
        <v>3.7189926184619235E-2</v>
      </c>
      <c r="V988">
        <v>0.24892130965908954</v>
      </c>
      <c r="W988">
        <v>0.11563955085099964</v>
      </c>
      <c r="X988">
        <v>2.0791001964798207E-2</v>
      </c>
      <c r="Y988">
        <v>5.1388174594381572E-3</v>
      </c>
    </row>
    <row r="989" spans="1:25" x14ac:dyDescent="0.25">
      <c r="A989" s="881"/>
      <c r="B989" s="1131">
        <v>739</v>
      </c>
      <c r="C989" s="885">
        <v>1.003619166096307</v>
      </c>
      <c r="D989" s="885">
        <v>0.98242254521675176</v>
      </c>
      <c r="E989" s="885">
        <v>0.9854521467656232</v>
      </c>
      <c r="F989" s="885">
        <v>1.0326038630828283</v>
      </c>
      <c r="G989" s="885">
        <v>0.97664042141106144</v>
      </c>
      <c r="H989" s="885">
        <v>0.97640326752313478</v>
      </c>
      <c r="I989" s="885">
        <v>1.0193152264083039</v>
      </c>
      <c r="K989">
        <v>1.9342667559957931</v>
      </c>
      <c r="L989">
        <v>0</v>
      </c>
      <c r="M989">
        <v>1.9765988062621239E-3</v>
      </c>
      <c r="N989">
        <v>0.19030471510448779</v>
      </c>
      <c r="O989">
        <v>2.5279386552563201E-2</v>
      </c>
      <c r="P989">
        <v>2.0973572725463477E-2</v>
      </c>
      <c r="Q989">
        <v>2.9228584016570058E-3</v>
      </c>
      <c r="R989">
        <v>1.964529652856224E-3</v>
      </c>
      <c r="S989">
        <v>0.20831959081589296</v>
      </c>
      <c r="T989">
        <v>1.0597127730101192</v>
      </c>
      <c r="U989">
        <v>3.7185729270275455E-2</v>
      </c>
      <c r="V989">
        <v>0.24951164481351809</v>
      </c>
      <c r="W989">
        <v>0.11489752541620624</v>
      </c>
      <c r="X989">
        <v>1.9824226930965739E-2</v>
      </c>
      <c r="Y989">
        <v>5.3468021080486268E-3</v>
      </c>
    </row>
    <row r="990" spans="1:25" x14ac:dyDescent="0.25">
      <c r="A990" s="881"/>
      <c r="B990" s="1131">
        <v>740</v>
      </c>
      <c r="C990" s="885">
        <v>0.98294062384849212</v>
      </c>
      <c r="D990" s="885">
        <v>1.0420523865528826</v>
      </c>
      <c r="E990" s="885">
        <v>1.0115805431364506</v>
      </c>
      <c r="F990" s="885">
        <v>1.0051459976950596</v>
      </c>
      <c r="G990" s="885">
        <v>1.0156585784150276</v>
      </c>
      <c r="H990" s="885">
        <v>1.0079846642534309</v>
      </c>
      <c r="I990" s="885">
        <v>0.99937281596671124</v>
      </c>
      <c r="K990">
        <v>1.9411140538203575</v>
      </c>
      <c r="L990">
        <v>0</v>
      </c>
      <c r="M990">
        <v>1.915390028586067E-3</v>
      </c>
      <c r="N990">
        <v>0.20006369299550189</v>
      </c>
      <c r="O990">
        <v>2.5070395327782959E-2</v>
      </c>
      <c r="P990">
        <v>2.127526135321639E-2</v>
      </c>
      <c r="Q990">
        <v>2.9880851634310189E-3</v>
      </c>
      <c r="R990">
        <v>1.9040149336073064E-3</v>
      </c>
      <c r="S990">
        <v>0.20617351750167923</v>
      </c>
      <c r="T990">
        <v>1.0573111836530227</v>
      </c>
      <c r="U990">
        <v>3.796802135900873E-2</v>
      </c>
      <c r="V990">
        <v>0.24514932188097971</v>
      </c>
      <c r="W990">
        <v>0.11864702123095372</v>
      </c>
      <c r="X990">
        <v>2.1296827458833191E-2</v>
      </c>
      <c r="Y990">
        <v>5.1821009909249136E-3</v>
      </c>
    </row>
    <row r="991" spans="1:25" x14ac:dyDescent="0.25">
      <c r="A991" s="881"/>
      <c r="B991" s="1131">
        <v>741</v>
      </c>
      <c r="C991" s="885">
        <v>1.0123644880732603</v>
      </c>
      <c r="D991" s="885">
        <v>0.98944011895217299</v>
      </c>
      <c r="E991" s="885">
        <v>0.97261682427532625</v>
      </c>
      <c r="F991" s="885">
        <v>1.0111565165633836</v>
      </c>
      <c r="G991" s="885">
        <v>1.0068895098515471</v>
      </c>
      <c r="H991" s="885">
        <v>0.99422142610235331</v>
      </c>
      <c r="I991" s="885">
        <v>1.0116750445475788</v>
      </c>
      <c r="K991">
        <v>1.9285457013258442</v>
      </c>
      <c r="L991">
        <v>0</v>
      </c>
      <c r="M991">
        <v>2.0425520527184793E-3</v>
      </c>
      <c r="N991">
        <v>0.18896500963686896</v>
      </c>
      <c r="O991">
        <v>2.4972697398169291E-2</v>
      </c>
      <c r="P991">
        <v>2.0723652564790453E-2</v>
      </c>
      <c r="Q991">
        <v>2.8513777372229654E-3</v>
      </c>
      <c r="R991">
        <v>2.0302976243307519E-3</v>
      </c>
      <c r="S991">
        <v>0.20611407473826307</v>
      </c>
      <c r="T991">
        <v>1.0609022500169525</v>
      </c>
      <c r="U991">
        <v>3.6864499931190925E-2</v>
      </c>
      <c r="V991">
        <v>0.24739630169657306</v>
      </c>
      <c r="W991">
        <v>0.115110017847774</v>
      </c>
      <c r="X991">
        <v>1.9132273340431494E-2</v>
      </c>
      <c r="Y991">
        <v>5.5258008459963199E-3</v>
      </c>
    </row>
    <row r="992" spans="1:25" x14ac:dyDescent="0.25">
      <c r="A992" s="881"/>
      <c r="B992" s="1131">
        <v>742</v>
      </c>
      <c r="C992" s="885">
        <v>1.0462236934964255</v>
      </c>
      <c r="D992" s="885">
        <v>0.99831206343202972</v>
      </c>
      <c r="E992" s="885">
        <v>1.0331998198369414</v>
      </c>
      <c r="F992" s="885">
        <v>0.98672183518568279</v>
      </c>
      <c r="G992" s="885">
        <v>0.99595745707579142</v>
      </c>
      <c r="H992" s="885">
        <v>0.97552283646167626</v>
      </c>
      <c r="I992" s="885">
        <v>1.0106626334931219</v>
      </c>
      <c r="K992">
        <v>1.9045183353128019</v>
      </c>
      <c r="L992">
        <v>0</v>
      </c>
      <c r="M992">
        <v>1.6993730989570092E-3</v>
      </c>
      <c r="N992">
        <v>0.18979449546803559</v>
      </c>
      <c r="O992">
        <v>2.405787070722187E-2</v>
      </c>
      <c r="P992">
        <v>2.1373570633034224E-2</v>
      </c>
      <c r="Q992">
        <v>2.9209486710179752E-3</v>
      </c>
      <c r="R992">
        <v>1.6889757238722153E-3</v>
      </c>
      <c r="S992">
        <v>0.19659908084994235</v>
      </c>
      <c r="T992">
        <v>1.0553441920898217</v>
      </c>
      <c r="U992">
        <v>3.5671444675654675E-2</v>
      </c>
      <c r="V992">
        <v>0.24176325703584073</v>
      </c>
      <c r="W992">
        <v>0.1109294878659115</v>
      </c>
      <c r="X992">
        <v>2.1477549541723734E-2</v>
      </c>
      <c r="Y992">
        <v>4.596835149682431E-3</v>
      </c>
    </row>
    <row r="993" spans="1:25" x14ac:dyDescent="0.25">
      <c r="A993" s="881"/>
      <c r="B993" s="1131">
        <v>743</v>
      </c>
      <c r="C993" s="885">
        <v>1.0154389081698558</v>
      </c>
      <c r="D993" s="885">
        <v>1.0369251662988761</v>
      </c>
      <c r="E993" s="885">
        <v>1.0139578474488398</v>
      </c>
      <c r="F993" s="885">
        <v>0.99016084686811112</v>
      </c>
      <c r="G993" s="885">
        <v>0.99635424173272336</v>
      </c>
      <c r="H993" s="885">
        <v>1.0124109147802582</v>
      </c>
      <c r="I993" s="885">
        <v>1.00815909563329</v>
      </c>
      <c r="K993">
        <v>1.9229658809545298</v>
      </c>
      <c r="L993">
        <v>0</v>
      </c>
      <c r="M993">
        <v>1.8574147278509075E-3</v>
      </c>
      <c r="N993">
        <v>0.19545248069054991</v>
      </c>
      <c r="O993">
        <v>2.4327045075081898E-2</v>
      </c>
      <c r="P993">
        <v>2.1185107401221322E-2</v>
      </c>
      <c r="Q993">
        <v>2.9053927515757592E-3</v>
      </c>
      <c r="R993">
        <v>1.8464358519185884E-3</v>
      </c>
      <c r="S993">
        <v>0.20222051426791285</v>
      </c>
      <c r="T993">
        <v>1.0570939947389226</v>
      </c>
      <c r="U993">
        <v>3.67528861664164E-2</v>
      </c>
      <c r="V993">
        <v>0.24128820521866745</v>
      </c>
      <c r="W993">
        <v>0.11572563161351945</v>
      </c>
      <c r="X993">
        <v>2.1000212195085733E-2</v>
      </c>
      <c r="Y993">
        <v>5.025389711507398E-3</v>
      </c>
    </row>
    <row r="994" spans="1:25" x14ac:dyDescent="0.25">
      <c r="A994" s="881"/>
      <c r="B994" s="1131">
        <v>744</v>
      </c>
      <c r="C994" s="885">
        <v>0.98116065760395621</v>
      </c>
      <c r="D994" s="885">
        <v>1.0091016767764254</v>
      </c>
      <c r="E994" s="885">
        <v>0.98203758303424715</v>
      </c>
      <c r="F994" s="885">
        <v>0.99808028742365518</v>
      </c>
      <c r="G994" s="885">
        <v>1.0023766953351825</v>
      </c>
      <c r="H994" s="885">
        <v>0.99589362787680358</v>
      </c>
      <c r="I994" s="885">
        <v>1.0067371005845782</v>
      </c>
      <c r="K994">
        <v>1.9456639168219958</v>
      </c>
      <c r="L994">
        <v>0</v>
      </c>
      <c r="M994">
        <v>2.0496865204620487E-3</v>
      </c>
      <c r="N994">
        <v>0.19527502338640235</v>
      </c>
      <c r="O994">
        <v>2.5517132288465048E-2</v>
      </c>
      <c r="P994">
        <v>2.0954524503705538E-2</v>
      </c>
      <c r="Q994">
        <v>2.9456541119197671E-3</v>
      </c>
      <c r="R994">
        <v>2.0373931805442403E-3</v>
      </c>
      <c r="S994">
        <v>0.20990110281711902</v>
      </c>
      <c r="T994">
        <v>1.0600285842212298</v>
      </c>
      <c r="U994">
        <v>3.8036900798748823E-2</v>
      </c>
      <c r="V994">
        <v>0.24937138188576036</v>
      </c>
      <c r="W994">
        <v>0.11817731343297094</v>
      </c>
      <c r="X994">
        <v>1.9923480104632893E-2</v>
      </c>
      <c r="Y994">
        <v>5.5451126109599602E-3</v>
      </c>
    </row>
    <row r="995" spans="1:25" x14ac:dyDescent="0.25">
      <c r="A995" s="881"/>
      <c r="B995" s="1131">
        <v>745</v>
      </c>
      <c r="C995" s="885">
        <v>0.99051633091035229</v>
      </c>
      <c r="D995" s="885">
        <v>0.99771923765591275</v>
      </c>
      <c r="E995" s="885">
        <v>0.97162599456799148</v>
      </c>
      <c r="F995" s="885">
        <v>0.99045233029155533</v>
      </c>
      <c r="G995" s="885">
        <v>1.0083209439848333</v>
      </c>
      <c r="H995" s="885">
        <v>0.98641938965150655</v>
      </c>
      <c r="I995" s="885">
        <v>1.0185225522759085</v>
      </c>
      <c r="K995">
        <v>1.9393850623136244</v>
      </c>
      <c r="L995">
        <v>0</v>
      </c>
      <c r="M995">
        <v>2.066986897236845E-3</v>
      </c>
      <c r="N995">
        <v>0.19062602953546537</v>
      </c>
      <c r="O995">
        <v>2.5418377596090013E-2</v>
      </c>
      <c r="P995">
        <v>2.0805463377216327E-2</v>
      </c>
      <c r="Q995">
        <v>2.901020661807285E-3</v>
      </c>
      <c r="R995">
        <v>2.0544805453480497E-3</v>
      </c>
      <c r="S995">
        <v>0.21046312025419195</v>
      </c>
      <c r="T995">
        <v>1.0609943377600064</v>
      </c>
      <c r="U995">
        <v>3.7677632802497085E-2</v>
      </c>
      <c r="V995">
        <v>0.24944225514967056</v>
      </c>
      <c r="W995">
        <v>0.1162021535460699</v>
      </c>
      <c r="X995">
        <v>1.9275559197387014E-2</v>
      </c>
      <c r="Y995">
        <v>5.5916187851076347E-3</v>
      </c>
    </row>
    <row r="996" spans="1:25" x14ac:dyDescent="0.25">
      <c r="A996" s="881"/>
      <c r="B996" s="1131">
        <v>746</v>
      </c>
      <c r="C996" s="885">
        <v>1.0389862202307436</v>
      </c>
      <c r="D996" s="885">
        <v>1.0010955757433164</v>
      </c>
      <c r="E996" s="885">
        <v>1.0043262825173038</v>
      </c>
      <c r="F996" s="885">
        <v>1.0026094110133956</v>
      </c>
      <c r="G996" s="885">
        <v>1.0173861961812143</v>
      </c>
      <c r="H996" s="885">
        <v>0.99062990781470983</v>
      </c>
      <c r="I996" s="885">
        <v>0.98784844549902884</v>
      </c>
      <c r="K996">
        <v>1.9047550459077849</v>
      </c>
      <c r="L996">
        <v>0</v>
      </c>
      <c r="M996">
        <v>1.844431620021959E-3</v>
      </c>
      <c r="N996">
        <v>0.18833874849204599</v>
      </c>
      <c r="O996">
        <v>2.4192088909138008E-2</v>
      </c>
      <c r="P996">
        <v>2.0947254258024108E-2</v>
      </c>
      <c r="Q996">
        <v>2.8546281249318762E-3</v>
      </c>
      <c r="R996">
        <v>1.8333166744619453E-3</v>
      </c>
      <c r="S996">
        <v>0.1947055688215821</v>
      </c>
      <c r="T996">
        <v>1.0579752914475373</v>
      </c>
      <c r="U996">
        <v>3.5919928363081284E-2</v>
      </c>
      <c r="V996">
        <v>0.24237546075890043</v>
      </c>
      <c r="W996">
        <v>0.1122462930342609</v>
      </c>
      <c r="X996">
        <v>2.0221215008635916E-2</v>
      </c>
      <c r="Y996">
        <v>4.9896836352061012E-3</v>
      </c>
    </row>
    <row r="997" spans="1:25" x14ac:dyDescent="0.25">
      <c r="A997" s="881"/>
      <c r="B997" s="1131">
        <v>747</v>
      </c>
      <c r="C997" s="885">
        <v>0.99583416722995233</v>
      </c>
      <c r="D997" s="885">
        <v>1.0242110180372721</v>
      </c>
      <c r="E997" s="885">
        <v>1.0351312607207455</v>
      </c>
      <c r="F997" s="885">
        <v>0.97425721076659488</v>
      </c>
      <c r="G997" s="885">
        <v>0.99986701506282494</v>
      </c>
      <c r="H997" s="885">
        <v>1.0171206802772792</v>
      </c>
      <c r="I997" s="885">
        <v>0.99090849779240642</v>
      </c>
      <c r="K997">
        <v>1.9452910486559238</v>
      </c>
      <c r="L997">
        <v>0</v>
      </c>
      <c r="M997">
        <v>1.8305976045980771E-3</v>
      </c>
      <c r="N997">
        <v>0.20572904737374048</v>
      </c>
      <c r="O997">
        <v>2.4957282881499294E-2</v>
      </c>
      <c r="P997">
        <v>2.1585582252272792E-2</v>
      </c>
      <c r="Q997">
        <v>3.0413268889247082E-3</v>
      </c>
      <c r="R997">
        <v>1.8198364261897393E-3</v>
      </c>
      <c r="S997">
        <v>0.20428855257348974</v>
      </c>
      <c r="T997">
        <v>1.0551693533876292</v>
      </c>
      <c r="U997">
        <v>3.7476431145888882E-2</v>
      </c>
      <c r="V997">
        <v>0.24544689304776349</v>
      </c>
      <c r="W997">
        <v>0.12008769967452429</v>
      </c>
      <c r="X997">
        <v>2.2566645765425192E-2</v>
      </c>
      <c r="Y997">
        <v>4.952994843171808E-3</v>
      </c>
    </row>
    <row r="998" spans="1:25" x14ac:dyDescent="0.25">
      <c r="A998" s="881"/>
      <c r="B998" s="1131">
        <v>748</v>
      </c>
      <c r="C998" s="885">
        <v>0.99998442800979037</v>
      </c>
      <c r="D998" s="885">
        <v>0.99782132923762423</v>
      </c>
      <c r="E998" s="885">
        <v>0.98826987398502597</v>
      </c>
      <c r="F998" s="885">
        <v>0.96483763832429537</v>
      </c>
      <c r="G998" s="885">
        <v>0.96627841630506572</v>
      </c>
      <c r="H998" s="885">
        <v>1.0382757511470184</v>
      </c>
      <c r="I998" s="885">
        <v>1.0140150456936297</v>
      </c>
      <c r="K998">
        <v>1.9569143261685258</v>
      </c>
      <c r="L998">
        <v>0</v>
      </c>
      <c r="M998">
        <v>2.0809456627130327E-3</v>
      </c>
      <c r="N998">
        <v>0.20218962156403827</v>
      </c>
      <c r="O998">
        <v>2.5176434633682923E-2</v>
      </c>
      <c r="P998">
        <v>2.1058656545990862E-2</v>
      </c>
      <c r="Q998">
        <v>2.9224524218289189E-3</v>
      </c>
      <c r="R998">
        <v>2.0689836121954791E-3</v>
      </c>
      <c r="S998">
        <v>0.21286528212114567</v>
      </c>
      <c r="T998">
        <v>1.0594525038470262</v>
      </c>
      <c r="U998">
        <v>3.7320891761478028E-2</v>
      </c>
      <c r="V998">
        <v>0.2480777077663161</v>
      </c>
      <c r="W998">
        <v>0.12183580375781922</v>
      </c>
      <c r="X998">
        <v>2.039584244758387E-2</v>
      </c>
      <c r="Y998">
        <v>5.6310913521316359E-3</v>
      </c>
    </row>
    <row r="999" spans="1:25" x14ac:dyDescent="0.25">
      <c r="A999" s="881"/>
      <c r="B999" s="1131">
        <v>749</v>
      </c>
      <c r="C999" s="885">
        <v>1.0081988182285837</v>
      </c>
      <c r="D999" s="885">
        <v>0.99734129623520285</v>
      </c>
      <c r="E999" s="885">
        <v>1.0020573736223375</v>
      </c>
      <c r="F999" s="885">
        <v>1.0167746060316294</v>
      </c>
      <c r="G999" s="885">
        <v>0.98841422562430215</v>
      </c>
      <c r="H999" s="885">
        <v>0.99628136445684112</v>
      </c>
      <c r="I999" s="885">
        <v>0.96700029770846241</v>
      </c>
      <c r="K999">
        <v>1.9258316753983573</v>
      </c>
      <c r="L999">
        <v>0</v>
      </c>
      <c r="M999">
        <v>1.9243319689021246E-3</v>
      </c>
      <c r="N999">
        <v>0.19512272309531317</v>
      </c>
      <c r="O999">
        <v>2.4977257955732832E-2</v>
      </c>
      <c r="P999">
        <v>2.1028287458560207E-2</v>
      </c>
      <c r="Q999">
        <v>2.9398042245129372E-3</v>
      </c>
      <c r="R999">
        <v>1.9128043106083315E-3</v>
      </c>
      <c r="S999">
        <v>0.19730490724728972</v>
      </c>
      <c r="T999">
        <v>1.0581834252141549</v>
      </c>
      <c r="U999">
        <v>3.7016816451430748E-2</v>
      </c>
      <c r="V999">
        <v>0.2469848679622885</v>
      </c>
      <c r="W999">
        <v>0.11646968709437648</v>
      </c>
      <c r="X999">
        <v>2.0609403575286449E-2</v>
      </c>
      <c r="Y999">
        <v>5.2060227777043517E-3</v>
      </c>
    </row>
    <row r="1000" spans="1:25" x14ac:dyDescent="0.25">
      <c r="A1000" s="881"/>
      <c r="B1000" s="1131">
        <v>750</v>
      </c>
      <c r="C1000" s="885">
        <v>0.97935116942865874</v>
      </c>
      <c r="D1000" s="885">
        <v>0.99272639598433743</v>
      </c>
      <c r="E1000" s="885">
        <v>1.0307391479277634</v>
      </c>
      <c r="F1000" s="885">
        <v>1.0073781516325742</v>
      </c>
      <c r="G1000" s="885">
        <v>1.0161949791016416</v>
      </c>
      <c r="H1000" s="885">
        <v>0.98892092933459153</v>
      </c>
      <c r="I1000" s="885">
        <v>1.0090053636354246</v>
      </c>
      <c r="K1000">
        <v>1.9612464344760507</v>
      </c>
      <c r="L1000">
        <v>0</v>
      </c>
      <c r="M1000">
        <v>1.8550956083792257E-3</v>
      </c>
      <c r="N1000">
        <v>0.20562767464009726</v>
      </c>
      <c r="O1000">
        <v>2.5772124008447337E-2</v>
      </c>
      <c r="P1000">
        <v>2.1721152276459783E-2</v>
      </c>
      <c r="Q1000">
        <v>3.1202638121477452E-3</v>
      </c>
      <c r="R1000">
        <v>1.8439036018711957E-3</v>
      </c>
      <c r="S1000">
        <v>0.21162158069816092</v>
      </c>
      <c r="T1000">
        <v>1.0555671497258947</v>
      </c>
      <c r="U1000">
        <v>3.8107179289619979E-2</v>
      </c>
      <c r="V1000">
        <v>0.25171161965617522</v>
      </c>
      <c r="W1000">
        <v>0.12038159893380632</v>
      </c>
      <c r="X1000">
        <v>2.2608785680114516E-2</v>
      </c>
      <c r="Y1000">
        <v>5.018497761634399E-3</v>
      </c>
    </row>
    <row r="1001" spans="1:25" x14ac:dyDescent="0.25">
      <c r="A1001" s="881"/>
      <c r="B1001" s="1131">
        <v>751</v>
      </c>
      <c r="C1001" s="885">
        <v>0.95189718861207884</v>
      </c>
      <c r="D1001" s="885">
        <v>1.0197326486534115</v>
      </c>
      <c r="E1001" s="885">
        <v>0.97495485501817403</v>
      </c>
      <c r="F1001" s="885">
        <v>1.0106656106859364</v>
      </c>
      <c r="G1001" s="885">
        <v>0.98187774088892543</v>
      </c>
      <c r="H1001" s="885">
        <v>1.0143583796303606</v>
      </c>
      <c r="I1001" s="885">
        <v>0.99761345906610766</v>
      </c>
      <c r="K1001">
        <v>1.9693366823181693</v>
      </c>
      <c r="L1001">
        <v>0</v>
      </c>
      <c r="M1001">
        <v>2.172828165167237E-3</v>
      </c>
      <c r="N1001">
        <v>0.20250952904614161</v>
      </c>
      <c r="O1001">
        <v>2.6165768046223815E-2</v>
      </c>
      <c r="P1001">
        <v>2.097939601160961E-2</v>
      </c>
      <c r="Q1001">
        <v>3.0010249998547343E-3</v>
      </c>
      <c r="R1001">
        <v>2.1600242505922492E-3</v>
      </c>
      <c r="S1001">
        <v>0.21530609792691777</v>
      </c>
      <c r="T1001">
        <v>1.0606851040267562</v>
      </c>
      <c r="U1001">
        <v>3.9206241017826764E-2</v>
      </c>
      <c r="V1001">
        <v>0.25240790762457543</v>
      </c>
      <c r="W1001">
        <v>0.12315995896814845</v>
      </c>
      <c r="X1001">
        <v>2.00495846063822E-2</v>
      </c>
      <c r="Y1001">
        <v>5.8788739583092641E-3</v>
      </c>
    </row>
    <row r="1002" spans="1:25" x14ac:dyDescent="0.25">
      <c r="A1002" s="881"/>
      <c r="B1002" s="1131">
        <v>752</v>
      </c>
      <c r="C1002" s="885">
        <v>1.0421267486453187</v>
      </c>
      <c r="D1002" s="885">
        <v>0.98953075039029248</v>
      </c>
      <c r="E1002" s="885">
        <v>0.99912875542788726</v>
      </c>
      <c r="F1002" s="885">
        <v>0.9781599041501069</v>
      </c>
      <c r="G1002" s="885">
        <v>1.0070628107591839</v>
      </c>
      <c r="H1002" s="885">
        <v>1.0382768490163361</v>
      </c>
      <c r="I1002" s="885">
        <v>0.98207350049898323</v>
      </c>
      <c r="K1002">
        <v>1.9246931138984114</v>
      </c>
      <c r="L1002">
        <v>0</v>
      </c>
      <c r="M1002">
        <v>1.9597731974459126E-3</v>
      </c>
      <c r="N1002">
        <v>0.19696274771255456</v>
      </c>
      <c r="O1002">
        <v>2.425839675863084E-2</v>
      </c>
      <c r="P1002">
        <v>2.0937656157316419E-2</v>
      </c>
      <c r="Q1002">
        <v>2.8452404651914342E-3</v>
      </c>
      <c r="R1002">
        <v>1.9485142327807772E-3</v>
      </c>
      <c r="S1002">
        <v>0.19858421490054523</v>
      </c>
      <c r="T1002">
        <v>1.0584523726627606</v>
      </c>
      <c r="U1002">
        <v>3.5811680920224263E-2</v>
      </c>
      <c r="V1002">
        <v>0.2433611432253607</v>
      </c>
      <c r="W1002">
        <v>0.11780373736353722</v>
      </c>
      <c r="X1002">
        <v>2.0383969282868789E-2</v>
      </c>
      <c r="Y1002">
        <v>5.3032134140850676E-3</v>
      </c>
    </row>
    <row r="1003" spans="1:25" x14ac:dyDescent="0.25">
      <c r="A1003" s="881"/>
      <c r="B1003" s="1131">
        <v>753</v>
      </c>
      <c r="C1003" s="885">
        <v>1.0042394116485978</v>
      </c>
      <c r="D1003" s="885">
        <v>0.97609795373734942</v>
      </c>
      <c r="E1003" s="885">
        <v>0.9626578616764544</v>
      </c>
      <c r="F1003" s="885">
        <v>0.98840076214670225</v>
      </c>
      <c r="G1003" s="885">
        <v>1.0081658370985522</v>
      </c>
      <c r="H1003" s="885">
        <v>1.0047760978863116</v>
      </c>
      <c r="I1003" s="885">
        <v>1.0237382110400155</v>
      </c>
      <c r="K1003">
        <v>1.9450800655636744</v>
      </c>
      <c r="L1003">
        <v>0</v>
      </c>
      <c r="M1003">
        <v>2.1391629676848194E-3</v>
      </c>
      <c r="N1003">
        <v>0.19186415839134108</v>
      </c>
      <c r="O1003">
        <v>2.5344904634939658E-2</v>
      </c>
      <c r="P1003">
        <v>2.0706779829437579E-2</v>
      </c>
      <c r="Q1003">
        <v>2.8618004115652349E-3</v>
      </c>
      <c r="R1003">
        <v>2.1264757638481311E-3</v>
      </c>
      <c r="S1003">
        <v>0.21267888896688392</v>
      </c>
      <c r="T1003">
        <v>1.061829563294314</v>
      </c>
      <c r="U1003">
        <v>3.7162762353302195E-2</v>
      </c>
      <c r="V1003">
        <v>0.25024489058000909</v>
      </c>
      <c r="W1003">
        <v>0.11769362968062387</v>
      </c>
      <c r="X1003">
        <v>1.8917808588447497E-2</v>
      </c>
      <c r="Y1003">
        <v>5.7875660366474577E-3</v>
      </c>
    </row>
    <row r="1004" spans="1:25" x14ac:dyDescent="0.25">
      <c r="A1004" s="881"/>
      <c r="B1004" s="1131">
        <v>754</v>
      </c>
      <c r="C1004" s="885">
        <v>0.99746913443200846</v>
      </c>
      <c r="D1004" s="885">
        <v>0.97551855500162055</v>
      </c>
      <c r="E1004" s="885">
        <v>1.0198519577483713</v>
      </c>
      <c r="F1004" s="885">
        <v>0.96337328949476486</v>
      </c>
      <c r="G1004" s="885">
        <v>1.0236549253208966</v>
      </c>
      <c r="H1004" s="885">
        <v>1.013266501719813</v>
      </c>
      <c r="I1004" s="885">
        <v>0.97950596636847376</v>
      </c>
      <c r="K1004">
        <v>1.9565633077281939</v>
      </c>
      <c r="L1004">
        <v>0</v>
      </c>
      <c r="M1004">
        <v>1.9263147446261456E-3</v>
      </c>
      <c r="N1004">
        <v>0.20645547013542709</v>
      </c>
      <c r="O1004">
        <v>2.5524458244921021E-2</v>
      </c>
      <c r="P1004">
        <v>2.146668750403179E-2</v>
      </c>
      <c r="Q1004">
        <v>3.0533571970979118E-3</v>
      </c>
      <c r="R1004">
        <v>1.9149861289679765E-3</v>
      </c>
      <c r="S1004">
        <v>0.2057811746825145</v>
      </c>
      <c r="T1004">
        <v>1.056556465032664</v>
      </c>
      <c r="U1004">
        <v>3.7415002943593081E-2</v>
      </c>
      <c r="V1004">
        <v>0.25129185651233349</v>
      </c>
      <c r="W1004">
        <v>0.12175414754499771</v>
      </c>
      <c r="X1004">
        <v>2.2064055578228971E-2</v>
      </c>
      <c r="Y1004">
        <v>5.2119609680430778E-3</v>
      </c>
    </row>
    <row r="1005" spans="1:25" x14ac:dyDescent="0.25">
      <c r="A1005" s="881"/>
      <c r="B1005" s="1131">
        <v>755</v>
      </c>
      <c r="C1005" s="885">
        <v>1.0089551030319293</v>
      </c>
      <c r="D1005" s="885">
        <v>0.98076423442289629</v>
      </c>
      <c r="E1005" s="885">
        <v>0.98725595343834505</v>
      </c>
      <c r="F1005" s="885">
        <v>1.0200119274599837</v>
      </c>
      <c r="G1005" s="885">
        <v>1.0143549154488616</v>
      </c>
      <c r="H1005" s="885">
        <v>1.0047547061574624</v>
      </c>
      <c r="I1005" s="885">
        <v>1.0030176815022305</v>
      </c>
      <c r="K1005">
        <v>1.9401544166535132</v>
      </c>
      <c r="L1005">
        <v>0</v>
      </c>
      <c r="M1005">
        <v>2.0172699767771829E-3</v>
      </c>
      <c r="N1005">
        <v>0.19534859383842382</v>
      </c>
      <c r="O1005">
        <v>2.5166785443166268E-2</v>
      </c>
      <c r="P1005">
        <v>2.0971365148837101E-2</v>
      </c>
      <c r="Q1005">
        <v>2.9148140106894688E-3</v>
      </c>
      <c r="R1005">
        <v>2.0053014630850067E-3</v>
      </c>
      <c r="S1005">
        <v>0.2069430564542932</v>
      </c>
      <c r="T1005">
        <v>1.0595461226171679</v>
      </c>
      <c r="U1005">
        <v>3.6989069670958212E-2</v>
      </c>
      <c r="V1005">
        <v>0.24897222205732894</v>
      </c>
      <c r="W1005">
        <v>0.11779592080502548</v>
      </c>
      <c r="X1005">
        <v>2.0060665586247865E-2</v>
      </c>
      <c r="Y1005">
        <v>5.4577695350677422E-3</v>
      </c>
    </row>
    <row r="1006" spans="1:25" x14ac:dyDescent="0.25">
      <c r="A1006" s="881"/>
      <c r="B1006" s="1131">
        <v>756</v>
      </c>
      <c r="C1006" s="885">
        <v>0.99330326637582922</v>
      </c>
      <c r="D1006" s="885">
        <v>0.99405870849086819</v>
      </c>
      <c r="E1006" s="885">
        <v>0.99749884417960766</v>
      </c>
      <c r="F1006" s="885">
        <v>1.0108976842729889</v>
      </c>
      <c r="G1006" s="885">
        <v>1.0099781546722253</v>
      </c>
      <c r="H1006" s="885">
        <v>0.99311429779982574</v>
      </c>
      <c r="I1006" s="885">
        <v>0.99593275871302134</v>
      </c>
      <c r="K1006">
        <v>1.9420513506861794</v>
      </c>
      <c r="L1006">
        <v>0</v>
      </c>
      <c r="M1006">
        <v>1.9689702056111939E-3</v>
      </c>
      <c r="N1006">
        <v>0.19683392225848725</v>
      </c>
      <c r="O1006">
        <v>2.5393245729504722E-2</v>
      </c>
      <c r="P1006">
        <v>2.1126275543270911E-2</v>
      </c>
      <c r="Q1006">
        <v>2.9744154221173521E-3</v>
      </c>
      <c r="R1006">
        <v>1.9571402363953469E-3</v>
      </c>
      <c r="S1006">
        <v>0.20624578256630752</v>
      </c>
      <c r="T1006">
        <v>1.0586021990401435</v>
      </c>
      <c r="U1006">
        <v>3.7571919739158716E-2</v>
      </c>
      <c r="V1006">
        <v>0.249507072982147</v>
      </c>
      <c r="W1006">
        <v>0.1178582097129673</v>
      </c>
      <c r="X1006">
        <v>2.0623447108929098E-2</v>
      </c>
      <c r="Y1006">
        <v>5.3266905523626012E-3</v>
      </c>
    </row>
    <row r="1007" spans="1:25" x14ac:dyDescent="0.25">
      <c r="A1007" s="881"/>
      <c r="B1007" s="1131">
        <v>757</v>
      </c>
      <c r="C1007" s="885">
        <v>1.0408062929736224</v>
      </c>
      <c r="D1007" s="885">
        <v>0.99406269919518819</v>
      </c>
      <c r="E1007" s="885">
        <v>0.9567519677035542</v>
      </c>
      <c r="F1007" s="885">
        <v>0.99817294083516594</v>
      </c>
      <c r="G1007" s="885">
        <v>1.021259426201844</v>
      </c>
      <c r="H1007" s="885">
        <v>0.99001142581461465</v>
      </c>
      <c r="I1007" s="885">
        <v>0.98053569189884737</v>
      </c>
      <c r="K1007">
        <v>1.8956461631773156</v>
      </c>
      <c r="L1007">
        <v>0</v>
      </c>
      <c r="M1007">
        <v>2.0404392438233498E-3</v>
      </c>
      <c r="N1007">
        <v>0.17965035792365691</v>
      </c>
      <c r="O1007">
        <v>2.4234234490406101E-2</v>
      </c>
      <c r="P1007">
        <v>2.0253072547276096E-2</v>
      </c>
      <c r="Q1007">
        <v>2.7233103803303298E-3</v>
      </c>
      <c r="R1007">
        <v>2.028141447768121E-3</v>
      </c>
      <c r="S1007">
        <v>0.19349252322481714</v>
      </c>
      <c r="T1007">
        <v>1.0623812906695445</v>
      </c>
      <c r="U1007">
        <v>3.5857114674327513E-2</v>
      </c>
      <c r="V1007">
        <v>0.24298367111443081</v>
      </c>
      <c r="W1007">
        <v>0.11066048324523027</v>
      </c>
      <c r="X1007">
        <v>1.7902470259173242E-2</v>
      </c>
      <c r="Y1007">
        <v>5.5199324441762522E-3</v>
      </c>
    </row>
    <row r="1008" spans="1:25" x14ac:dyDescent="0.25">
      <c r="A1008" s="881"/>
      <c r="B1008" s="1131">
        <v>758</v>
      </c>
      <c r="C1008" s="885">
        <v>1.0014961253343375</v>
      </c>
      <c r="D1008" s="885">
        <v>1.016398826366961</v>
      </c>
      <c r="E1008" s="885">
        <v>0.97298958482512254</v>
      </c>
      <c r="F1008" s="885">
        <v>1.0132074628074628</v>
      </c>
      <c r="G1008" s="885">
        <v>1.0033712004302575</v>
      </c>
      <c r="H1008" s="885">
        <v>0.99145654676470274</v>
      </c>
      <c r="I1008" s="885">
        <v>0.97924191579871955</v>
      </c>
      <c r="K1008">
        <v>1.9181241976155177</v>
      </c>
      <c r="L1008">
        <v>0</v>
      </c>
      <c r="M1008">
        <v>2.0302060403956106E-3</v>
      </c>
      <c r="N1008">
        <v>0.18803592859000967</v>
      </c>
      <c r="O1008">
        <v>2.4910157996691957E-2</v>
      </c>
      <c r="P1008">
        <v>2.0614255570108053E-2</v>
      </c>
      <c r="Q1008">
        <v>2.8506495320186642E-3</v>
      </c>
      <c r="R1008">
        <v>2.0179689698682527E-3</v>
      </c>
      <c r="S1008">
        <v>0.19892804985076604</v>
      </c>
      <c r="T1008">
        <v>1.0608676154776835</v>
      </c>
      <c r="U1008">
        <v>3.7264558151393665E-2</v>
      </c>
      <c r="V1008">
        <v>0.24559432254830268</v>
      </c>
      <c r="W1008">
        <v>0.11451428463638273</v>
      </c>
      <c r="X1008">
        <v>1.9064366019998939E-2</v>
      </c>
      <c r="Y1008">
        <v>5.4922463126892496E-3</v>
      </c>
    </row>
    <row r="1009" spans="1:25" x14ac:dyDescent="0.25">
      <c r="A1009" s="881"/>
      <c r="B1009" s="1131">
        <v>759</v>
      </c>
      <c r="C1009" s="885">
        <v>0.99517871759840248</v>
      </c>
      <c r="D1009" s="885">
        <v>0.99984167982502992</v>
      </c>
      <c r="E1009" s="885">
        <v>0.96859272717353051</v>
      </c>
      <c r="F1009" s="885">
        <v>0.97610044719053746</v>
      </c>
      <c r="G1009" s="885">
        <v>0.9714585892567309</v>
      </c>
      <c r="H1009" s="885">
        <v>1.0089607071568854</v>
      </c>
      <c r="I1009" s="885">
        <v>1.0414460452643091</v>
      </c>
      <c r="K1009">
        <v>1.9489343041943823</v>
      </c>
      <c r="L1009">
        <v>0</v>
      </c>
      <c r="M1009">
        <v>2.1155122648460088E-3</v>
      </c>
      <c r="N1009">
        <v>0.19329082790709018</v>
      </c>
      <c r="O1009">
        <v>2.527269096758893E-2</v>
      </c>
      <c r="P1009">
        <v>2.0824810700534511E-2</v>
      </c>
      <c r="Q1009">
        <v>2.8758916522069562E-3</v>
      </c>
      <c r="R1009">
        <v>2.1029964306596865E-3</v>
      </c>
      <c r="S1009">
        <v>0.21637035946535368</v>
      </c>
      <c r="T1009">
        <v>1.0612764858715973</v>
      </c>
      <c r="U1009">
        <v>3.7501114062185231E-2</v>
      </c>
      <c r="V1009">
        <v>0.248507886920906</v>
      </c>
      <c r="W1009">
        <v>0.1180765574747671</v>
      </c>
      <c r="X1009">
        <v>1.9226531974667529E-2</v>
      </c>
      <c r="Y1009">
        <v>5.7236630316686151E-3</v>
      </c>
    </row>
    <row r="1010" spans="1:25" x14ac:dyDescent="0.25">
      <c r="A1010" s="881"/>
      <c r="B1010" s="1131">
        <v>760</v>
      </c>
      <c r="C1010" s="885">
        <v>0.99785343534135973</v>
      </c>
      <c r="D1010" s="885">
        <v>1.0021114970358178</v>
      </c>
      <c r="E1010" s="885">
        <v>0.98917877074349181</v>
      </c>
      <c r="F1010" s="885">
        <v>0.99681603111870543</v>
      </c>
      <c r="G1010" s="885">
        <v>0.98679639078625114</v>
      </c>
      <c r="H1010" s="885">
        <v>1.0013216505533153</v>
      </c>
      <c r="I1010" s="885">
        <v>1.0127109510283474</v>
      </c>
      <c r="K1010">
        <v>1.9407693838653852</v>
      </c>
      <c r="L1010">
        <v>0</v>
      </c>
      <c r="M1010">
        <v>2.00307299665831E-3</v>
      </c>
      <c r="N1010">
        <v>0.19513290805953976</v>
      </c>
      <c r="O1010">
        <v>2.5176676743900502E-2</v>
      </c>
      <c r="P1010">
        <v>2.1015397186665286E-2</v>
      </c>
      <c r="Q1010">
        <v>2.9260435006368507E-3</v>
      </c>
      <c r="R1010">
        <v>1.9911300940927113E-3</v>
      </c>
      <c r="S1010">
        <v>0.20883426744878317</v>
      </c>
      <c r="T1010">
        <v>1.0593686162387159</v>
      </c>
      <c r="U1010">
        <v>3.7400593392906301E-2</v>
      </c>
      <c r="V1010">
        <v>0.24785115107757269</v>
      </c>
      <c r="W1010">
        <v>0.11750987446191453</v>
      </c>
      <c r="X1010">
        <v>2.0146598917052335E-2</v>
      </c>
      <c r="Y1010">
        <v>5.4191997402612477E-3</v>
      </c>
    </row>
    <row r="1011" spans="1:25" x14ac:dyDescent="0.25">
      <c r="A1011" s="881"/>
      <c r="B1011" s="1131">
        <v>761</v>
      </c>
      <c r="C1011" s="885">
        <v>0.97906321586074518</v>
      </c>
      <c r="D1011" s="885">
        <v>0.99707575953029326</v>
      </c>
      <c r="E1011" s="885">
        <v>0.9966272069109533</v>
      </c>
      <c r="F1011" s="885">
        <v>0.98371811149623201</v>
      </c>
      <c r="G1011" s="885">
        <v>0.99611348632580921</v>
      </c>
      <c r="H1011" s="885">
        <v>1.0150918595622491</v>
      </c>
      <c r="I1011" s="885">
        <v>1.0124655740602482</v>
      </c>
      <c r="K1011">
        <v>1.9648872566745463</v>
      </c>
      <c r="L1011">
        <v>0</v>
      </c>
      <c r="M1011">
        <v>2.0424991946004106E-3</v>
      </c>
      <c r="N1011">
        <v>0.20365779096883721</v>
      </c>
      <c r="O1011">
        <v>2.5723939172305685E-2</v>
      </c>
      <c r="P1011">
        <v>2.12595071895775E-2</v>
      </c>
      <c r="Q1011">
        <v>3.0111450954868418E-3</v>
      </c>
      <c r="R1011">
        <v>2.0304906152507898E-3</v>
      </c>
      <c r="S1011">
        <v>0.21472657087058425</v>
      </c>
      <c r="T1011">
        <v>1.0586823650272184</v>
      </c>
      <c r="U1011">
        <v>3.8118387042155019E-2</v>
      </c>
      <c r="V1011">
        <v>0.25119814853012606</v>
      </c>
      <c r="W1011">
        <v>0.12201703610332237</v>
      </c>
      <c r="X1011">
        <v>2.0978049150622565E-2</v>
      </c>
      <c r="Y1011">
        <v>5.5263261036612252E-3</v>
      </c>
    </row>
    <row r="1012" spans="1:25" x14ac:dyDescent="0.25">
      <c r="A1012" s="881"/>
      <c r="B1012" s="1131">
        <v>762</v>
      </c>
      <c r="C1012" s="885">
        <v>1.0122999053892625</v>
      </c>
      <c r="D1012" s="885">
        <v>0.99418881282178395</v>
      </c>
      <c r="E1012" s="885">
        <v>1.0208557282383464</v>
      </c>
      <c r="F1012" s="885">
        <v>1.0223576606637872</v>
      </c>
      <c r="G1012" s="885">
        <v>0.99390062493660292</v>
      </c>
      <c r="H1012" s="885">
        <v>1.038483356931188</v>
      </c>
      <c r="I1012" s="885">
        <v>0.98137077253558269</v>
      </c>
      <c r="K1012">
        <v>1.9490922093195981</v>
      </c>
      <c r="L1012">
        <v>0</v>
      </c>
      <c r="M1012">
        <v>1.9230556234411686E-3</v>
      </c>
      <c r="N1012">
        <v>0.20677796029869458</v>
      </c>
      <c r="O1012">
        <v>2.4915105220831964E-2</v>
      </c>
      <c r="P1012">
        <v>2.1385019890254025E-2</v>
      </c>
      <c r="Q1012">
        <v>2.9874106169775049E-3</v>
      </c>
      <c r="R1012">
        <v>1.9120061913113625E-3</v>
      </c>
      <c r="S1012">
        <v>0.20386830330758107</v>
      </c>
      <c r="T1012">
        <v>1.056465058708989</v>
      </c>
      <c r="U1012">
        <v>3.6866851811633815E-2</v>
      </c>
      <c r="V1012">
        <v>0.24681194933705033</v>
      </c>
      <c r="W1012">
        <v>0.12186178409747087</v>
      </c>
      <c r="X1012">
        <v>2.1959964902167332E-2</v>
      </c>
      <c r="Y1012">
        <v>5.2038505600779592E-3</v>
      </c>
    </row>
    <row r="1013" spans="1:25" x14ac:dyDescent="0.25">
      <c r="A1013" s="881"/>
      <c r="B1013" s="1131">
        <v>763</v>
      </c>
      <c r="C1013" s="885">
        <v>1.0013308527945506</v>
      </c>
      <c r="D1013" s="885">
        <v>0.98126645365861875</v>
      </c>
      <c r="E1013" s="885">
        <v>1.0061126194558916</v>
      </c>
      <c r="F1013" s="885">
        <v>1.0157303047179291</v>
      </c>
      <c r="G1013" s="885">
        <v>0.99741774912207981</v>
      </c>
      <c r="H1013" s="885">
        <v>1.0019026947481999</v>
      </c>
      <c r="I1013" s="885">
        <v>1.0191837117514593</v>
      </c>
      <c r="K1013">
        <v>1.9517160458093255</v>
      </c>
      <c r="L1013">
        <v>0</v>
      </c>
      <c r="M1013">
        <v>1.9474944418903146E-3</v>
      </c>
      <c r="N1013">
        <v>0.19998584085957641</v>
      </c>
      <c r="O1013">
        <v>2.5351966089379622E-2</v>
      </c>
      <c r="P1013">
        <v>2.1326478493217341E-2</v>
      </c>
      <c r="Q1013">
        <v>2.9926595932808779E-3</v>
      </c>
      <c r="R1013">
        <v>1.9359066025892262E-3</v>
      </c>
      <c r="S1013">
        <v>0.2115330526914469</v>
      </c>
      <c r="T1013">
        <v>1.0578115666528836</v>
      </c>
      <c r="U1013">
        <v>3.7270708773990142E-2</v>
      </c>
      <c r="V1013">
        <v>0.24999245000109557</v>
      </c>
      <c r="W1013">
        <v>0.11904267394489086</v>
      </c>
      <c r="X1013">
        <v>2.1151336948056702E-2</v>
      </c>
      <c r="Y1013">
        <v>5.2688996008078423E-3</v>
      </c>
    </row>
    <row r="1014" spans="1:25" x14ac:dyDescent="0.25">
      <c r="A1014" s="881"/>
      <c r="B1014" s="1131">
        <v>764</v>
      </c>
      <c r="C1014" s="885">
        <v>1.0174404768148742</v>
      </c>
      <c r="D1014" s="885">
        <v>1.0149987086510175</v>
      </c>
      <c r="E1014" s="885">
        <v>0.98530498052316895</v>
      </c>
      <c r="F1014" s="885">
        <v>1.0136976355791834</v>
      </c>
      <c r="G1014" s="885">
        <v>1.006534010933182</v>
      </c>
      <c r="H1014" s="885">
        <v>0.96572107486176695</v>
      </c>
      <c r="I1014" s="885">
        <v>0.9880621148008879</v>
      </c>
      <c r="K1014">
        <v>1.9006013176892504</v>
      </c>
      <c r="L1014">
        <v>0</v>
      </c>
      <c r="M1014">
        <v>1.8981350700788429E-3</v>
      </c>
      <c r="N1014">
        <v>0.18265158818665872</v>
      </c>
      <c r="O1014">
        <v>2.4536490337447064E-2</v>
      </c>
      <c r="P1014">
        <v>2.070722239310184E-2</v>
      </c>
      <c r="Q1014">
        <v>2.8430018820109078E-3</v>
      </c>
      <c r="R1014">
        <v>1.8863902806220227E-3</v>
      </c>
      <c r="S1014">
        <v>0.19518840052157643</v>
      </c>
      <c r="T1014">
        <v>1.0597263750050456</v>
      </c>
      <c r="U1014">
        <v>3.6680583730803781E-2</v>
      </c>
      <c r="V1014">
        <v>0.24357517327118444</v>
      </c>
      <c r="W1014">
        <v>0.11028812699366698</v>
      </c>
      <c r="X1014">
        <v>1.9281967661745444E-2</v>
      </c>
      <c r="Y1014">
        <v>5.1341324954642647E-3</v>
      </c>
    </row>
    <row r="1015" spans="1:25" x14ac:dyDescent="0.25">
      <c r="A1015" s="881"/>
      <c r="B1015" s="1131">
        <v>765</v>
      </c>
      <c r="C1015" s="885">
        <v>0.98084923732184792</v>
      </c>
      <c r="D1015" s="885">
        <v>0.9749745228742932</v>
      </c>
      <c r="E1015" s="885">
        <v>1.003253498060346</v>
      </c>
      <c r="F1015" s="885">
        <v>0.98806962988600799</v>
      </c>
      <c r="G1015" s="885">
        <v>0.99674786298085827</v>
      </c>
      <c r="H1015" s="885">
        <v>1.0096770370288279</v>
      </c>
      <c r="I1015" s="885">
        <v>0.96827547781398604</v>
      </c>
      <c r="K1015">
        <v>1.9622203296030005</v>
      </c>
      <c r="L1015">
        <v>0</v>
      </c>
      <c r="M1015">
        <v>2.0221401267304477E-3</v>
      </c>
      <c r="N1015">
        <v>0.20582291102214237</v>
      </c>
      <c r="O1015">
        <v>2.596414806616143E-2</v>
      </c>
      <c r="P1015">
        <v>2.1279616764522391E-2</v>
      </c>
      <c r="Q1015">
        <v>3.054767777256169E-3</v>
      </c>
      <c r="R1015">
        <v>2.0102061530991666E-3</v>
      </c>
      <c r="S1015">
        <v>0.20655873647196157</v>
      </c>
      <c r="T1015">
        <v>1.0580736761501688</v>
      </c>
      <c r="U1015">
        <v>3.8048977539930383E-2</v>
      </c>
      <c r="V1015">
        <v>0.25380986848863851</v>
      </c>
      <c r="W1015">
        <v>0.12275635715298475</v>
      </c>
      <c r="X1015">
        <v>2.1392085658410519E-2</v>
      </c>
      <c r="Y1015">
        <v>5.4711184844556584E-3</v>
      </c>
    </row>
    <row r="1016" spans="1:25" x14ac:dyDescent="0.25">
      <c r="A1016" s="881"/>
      <c r="B1016" s="1131">
        <v>766</v>
      </c>
      <c r="C1016" s="885">
        <v>0.97568185163878041</v>
      </c>
      <c r="D1016" s="885">
        <v>0.97235444987379116</v>
      </c>
      <c r="E1016" s="885">
        <v>1.0320520511615525</v>
      </c>
      <c r="F1016" s="885">
        <v>1.0049091481796379</v>
      </c>
      <c r="G1016" s="885">
        <v>0.99699601671491533</v>
      </c>
      <c r="H1016" s="885">
        <v>0.99123484212900115</v>
      </c>
      <c r="I1016" s="885">
        <v>0.98405872017858487</v>
      </c>
      <c r="K1016">
        <v>1.9688029938587999</v>
      </c>
      <c r="L1016">
        <v>0</v>
      </c>
      <c r="M1016">
        <v>1.8804835685411383E-3</v>
      </c>
      <c r="N1016">
        <v>0.20929775346584636</v>
      </c>
      <c r="O1016">
        <v>2.6136578140165654E-2</v>
      </c>
      <c r="P1016">
        <v>2.1756132430639629E-2</v>
      </c>
      <c r="Q1016">
        <v>3.1638837130771647E-3</v>
      </c>
      <c r="R1016">
        <v>1.8691812549113493E-3</v>
      </c>
      <c r="S1016">
        <v>0.20939080786590353</v>
      </c>
      <c r="T1016">
        <v>1.0554481601076413</v>
      </c>
      <c r="U1016">
        <v>3.8250491733788777E-2</v>
      </c>
      <c r="V1016">
        <v>0.25493946908829906</v>
      </c>
      <c r="W1016">
        <v>0.12242254055452316</v>
      </c>
      <c r="X1016">
        <v>2.2921183872110593E-2</v>
      </c>
      <c r="Y1016">
        <v>5.0872952004336128E-3</v>
      </c>
    </row>
    <row r="1017" spans="1:25" x14ac:dyDescent="0.25">
      <c r="A1017" s="881"/>
      <c r="B1017" s="1131">
        <v>767</v>
      </c>
      <c r="C1017" s="885">
        <v>1.0185739680518253</v>
      </c>
      <c r="D1017" s="885">
        <v>1.0390355047986664</v>
      </c>
      <c r="E1017" s="885">
        <v>1.0065502287766801</v>
      </c>
      <c r="F1017" s="885">
        <v>1.0266968005999355</v>
      </c>
      <c r="G1017" s="885">
        <v>0.97464758290354869</v>
      </c>
      <c r="H1017" s="885">
        <v>1.0000611262953978</v>
      </c>
      <c r="I1017" s="885">
        <v>0.97780699788261916</v>
      </c>
      <c r="K1017">
        <v>1.9071278592945966</v>
      </c>
      <c r="L1017">
        <v>0</v>
      </c>
      <c r="M1017">
        <v>1.8560557723669134E-3</v>
      </c>
      <c r="N1017">
        <v>0.19084902689229391</v>
      </c>
      <c r="O1017">
        <v>2.4227899524153308E-2</v>
      </c>
      <c r="P1017">
        <v>2.0957761813857421E-2</v>
      </c>
      <c r="Q1017">
        <v>2.8726077238081025E-3</v>
      </c>
      <c r="R1017">
        <v>1.8449479104013747E-3</v>
      </c>
      <c r="S1017">
        <v>0.19416987178690628</v>
      </c>
      <c r="T1017">
        <v>1.0577714770169593</v>
      </c>
      <c r="U1017">
        <v>3.6639764780458328E-2</v>
      </c>
      <c r="V1017">
        <v>0.24063638657709968</v>
      </c>
      <c r="W1017">
        <v>0.11357007359305261</v>
      </c>
      <c r="X1017">
        <v>2.0422757422772993E-2</v>
      </c>
      <c r="Y1017">
        <v>5.0213400251973321E-3</v>
      </c>
    </row>
    <row r="1018" spans="1:25" x14ac:dyDescent="0.25">
      <c r="A1018" s="881"/>
      <c r="B1018" s="1131">
        <v>768</v>
      </c>
      <c r="C1018" s="885">
        <v>0.99523960852291349</v>
      </c>
      <c r="D1018" s="885">
        <v>0.96537483208806119</v>
      </c>
      <c r="E1018" s="885">
        <v>0.97119719963515927</v>
      </c>
      <c r="F1018" s="885">
        <v>0.98220067378453479</v>
      </c>
      <c r="G1018" s="885">
        <v>1.0287408037460859</v>
      </c>
      <c r="H1018" s="885">
        <v>0.98701449935511465</v>
      </c>
      <c r="I1018" s="885">
        <v>1.0146419791206795</v>
      </c>
      <c r="K1018">
        <v>1.9484799399068091</v>
      </c>
      <c r="L1018">
        <v>0</v>
      </c>
      <c r="M1018">
        <v>2.0942136655959986E-3</v>
      </c>
      <c r="N1018">
        <v>0.19288237613166273</v>
      </c>
      <c r="O1018">
        <v>2.5714894766608657E-2</v>
      </c>
      <c r="P1018">
        <v>2.0863154204640737E-2</v>
      </c>
      <c r="Q1018">
        <v>2.9267901852375552E-3</v>
      </c>
      <c r="R1018">
        <v>2.0815793417981428E-3</v>
      </c>
      <c r="S1018">
        <v>0.21191678303926739</v>
      </c>
      <c r="T1018">
        <v>1.0610342017535919</v>
      </c>
      <c r="U1018">
        <v>3.7498819662438732E-2</v>
      </c>
      <c r="V1018">
        <v>0.25295911711118035</v>
      </c>
      <c r="W1018">
        <v>0.11761278205312969</v>
      </c>
      <c r="X1018">
        <v>1.9418282546919526E-2</v>
      </c>
      <c r="Y1018">
        <v>5.6653727759289401E-3</v>
      </c>
    </row>
    <row r="1019" spans="1:25" x14ac:dyDescent="0.25">
      <c r="A1019" s="881"/>
      <c r="B1019" s="1131">
        <v>769</v>
      </c>
      <c r="C1019" s="885">
        <v>0.98440316242455772</v>
      </c>
      <c r="D1019" s="885">
        <v>0.98664533920337605</v>
      </c>
      <c r="E1019" s="885">
        <v>1.0332872379028</v>
      </c>
      <c r="F1019" s="885">
        <v>0.98073903290688702</v>
      </c>
      <c r="G1019" s="885">
        <v>0.99662351944536354</v>
      </c>
      <c r="H1019" s="885">
        <v>0.98582939879561182</v>
      </c>
      <c r="I1019" s="885">
        <v>1.0199938904154693</v>
      </c>
      <c r="K1019">
        <v>1.9612812890605917</v>
      </c>
      <c r="L1019">
        <v>0</v>
      </c>
      <c r="M1019">
        <v>1.8354892000466225E-3</v>
      </c>
      <c r="N1019">
        <v>0.20506646358667413</v>
      </c>
      <c r="O1019">
        <v>2.5718073964501893E-2</v>
      </c>
      <c r="P1019">
        <v>2.1776691314875442E-2</v>
      </c>
      <c r="Q1019">
        <v>3.1202225672535343E-3</v>
      </c>
      <c r="R1019">
        <v>1.8243855047398499E-3</v>
      </c>
      <c r="S1019">
        <v>0.21310386526619376</v>
      </c>
      <c r="T1019">
        <v>1.0553362756375793</v>
      </c>
      <c r="U1019">
        <v>3.7911611853214712E-2</v>
      </c>
      <c r="V1019">
        <v>0.2517535114120773</v>
      </c>
      <c r="W1019">
        <v>0.1198485139253522</v>
      </c>
      <c r="X1019">
        <v>2.2691787292793385E-2</v>
      </c>
      <c r="Y1019">
        <v>4.9653759353818668E-3</v>
      </c>
    </row>
    <row r="1020" spans="1:25" x14ac:dyDescent="0.25">
      <c r="A1020" s="881"/>
      <c r="B1020" s="1131">
        <v>770</v>
      </c>
      <c r="C1020" s="885">
        <v>1.0452302305166616</v>
      </c>
      <c r="D1020" s="885">
        <v>0.95896555477314982</v>
      </c>
      <c r="E1020" s="885">
        <v>0.99715054452868623</v>
      </c>
      <c r="F1020" s="885">
        <v>0.95831302392017392</v>
      </c>
      <c r="G1020" s="885">
        <v>1.0374165701765645</v>
      </c>
      <c r="H1020" s="885">
        <v>0.98004503954465383</v>
      </c>
      <c r="I1020" s="885">
        <v>0.985834748266189</v>
      </c>
      <c r="K1020">
        <v>1.9108725666308652</v>
      </c>
      <c r="L1020">
        <v>0</v>
      </c>
      <c r="M1020">
        <v>1.8811338772436494E-3</v>
      </c>
      <c r="N1020">
        <v>0.18783715058402042</v>
      </c>
      <c r="O1020">
        <v>2.4566320139311631E-2</v>
      </c>
      <c r="P1020">
        <v>2.0918926930326463E-2</v>
      </c>
      <c r="Q1020">
        <v>2.869271535177876E-3</v>
      </c>
      <c r="R1020">
        <v>1.8697097157298918E-3</v>
      </c>
      <c r="S1020">
        <v>0.19597684538770602</v>
      </c>
      <c r="T1020">
        <v>1.0586342292132087</v>
      </c>
      <c r="U1020">
        <v>3.5705349416146608E-2</v>
      </c>
      <c r="V1020">
        <v>0.24678966782825226</v>
      </c>
      <c r="W1020">
        <v>0.11249807205294304</v>
      </c>
      <c r="X1020">
        <v>1.999942420871122E-2</v>
      </c>
      <c r="Y1020">
        <v>5.0887334965746241E-3</v>
      </c>
    </row>
    <row r="1021" spans="1:25" x14ac:dyDescent="0.25">
      <c r="A1021" s="881"/>
      <c r="B1021" s="1131">
        <v>771</v>
      </c>
      <c r="C1021" s="885">
        <v>1.0192284530067024</v>
      </c>
      <c r="D1021" s="885">
        <v>1.0192085256679717</v>
      </c>
      <c r="E1021" s="885">
        <v>0.97637029879924819</v>
      </c>
      <c r="F1021" s="885">
        <v>0.97975922354212253</v>
      </c>
      <c r="G1021" s="885">
        <v>1.0086741483711885</v>
      </c>
      <c r="H1021" s="885">
        <v>1.0204226987763922</v>
      </c>
      <c r="I1021" s="885">
        <v>1.0181490551293417</v>
      </c>
      <c r="K1021">
        <v>1.9249560728387647</v>
      </c>
      <c r="L1021">
        <v>0</v>
      </c>
      <c r="M1021">
        <v>2.0358843616704791E-3</v>
      </c>
      <c r="N1021">
        <v>0.19059192289481122</v>
      </c>
      <c r="O1021">
        <v>2.4443433975880547E-2</v>
      </c>
      <c r="P1021">
        <v>2.0710886791101391E-2</v>
      </c>
      <c r="Q1021">
        <v>2.807431842852677E-3</v>
      </c>
      <c r="R1021">
        <v>2.0239591399677432E-3</v>
      </c>
      <c r="S1021">
        <v>0.20587764459158664</v>
      </c>
      <c r="T1021">
        <v>1.0605537467314634</v>
      </c>
      <c r="U1021">
        <v>3.6616237008320104E-2</v>
      </c>
      <c r="V1021">
        <v>0.2428397529183165</v>
      </c>
      <c r="W1021">
        <v>0.11579790812461375</v>
      </c>
      <c r="X1021">
        <v>1.9220483600481505E-2</v>
      </c>
      <c r="Y1021">
        <v>5.5085495810410197E-3</v>
      </c>
    </row>
    <row r="1022" spans="1:25" x14ac:dyDescent="0.25">
      <c r="A1022" s="881"/>
      <c r="B1022" s="1131">
        <v>772</v>
      </c>
      <c r="C1022" s="885">
        <v>1.0262836312480503</v>
      </c>
      <c r="D1022" s="885">
        <v>1.007355362048721</v>
      </c>
      <c r="E1022" s="885">
        <v>0.99976951188721419</v>
      </c>
      <c r="F1022" s="885">
        <v>0.98025325184644785</v>
      </c>
      <c r="G1022" s="885">
        <v>1.0193819942221272</v>
      </c>
      <c r="H1022" s="885">
        <v>0.97999828943589007</v>
      </c>
      <c r="I1022" s="885">
        <v>0.97117303602951099</v>
      </c>
      <c r="K1022">
        <v>1.9025451346524531</v>
      </c>
      <c r="L1022">
        <v>0</v>
      </c>
      <c r="M1022">
        <v>1.8593006653226999E-3</v>
      </c>
      <c r="N1022">
        <v>0.18717211103986733</v>
      </c>
      <c r="O1022">
        <v>2.4416112239657506E-2</v>
      </c>
      <c r="P1022">
        <v>2.0866765645881802E-2</v>
      </c>
      <c r="Q1022">
        <v>2.8691554228523529E-3</v>
      </c>
      <c r="R1022">
        <v>1.8479696776187104E-3</v>
      </c>
      <c r="S1022">
        <v>0.19222040510843955</v>
      </c>
      <c r="T1022">
        <v>1.0583935007204504</v>
      </c>
      <c r="U1022">
        <v>3.6364518993187267E-2</v>
      </c>
      <c r="V1022">
        <v>0.24330154766641857</v>
      </c>
      <c r="W1022">
        <v>0.11189885210779539</v>
      </c>
      <c r="X1022">
        <v>2.0023932416167858E-2</v>
      </c>
      <c r="Y1022">
        <v>5.0295642794376235E-3</v>
      </c>
    </row>
    <row r="1023" spans="1:25" x14ac:dyDescent="0.25">
      <c r="A1023" s="881"/>
      <c r="B1023" s="1131">
        <v>773</v>
      </c>
      <c r="C1023" s="885">
        <v>1.0000548441065129</v>
      </c>
      <c r="D1023" s="885">
        <v>1.0195359879288817</v>
      </c>
      <c r="E1023" s="885">
        <v>1.0111544552841487</v>
      </c>
      <c r="F1023" s="885">
        <v>1.0019693074687144</v>
      </c>
      <c r="G1023" s="885">
        <v>1.0032977737344129</v>
      </c>
      <c r="H1023" s="885">
        <v>0.98602465904265635</v>
      </c>
      <c r="I1023" s="885">
        <v>1.0367302872405588</v>
      </c>
      <c r="K1023">
        <v>1.9349731216122239</v>
      </c>
      <c r="L1023">
        <v>0</v>
      </c>
      <c r="M1023">
        <v>1.8631912271853783E-3</v>
      </c>
      <c r="N1023">
        <v>0.19432981669944555</v>
      </c>
      <c r="O1023">
        <v>2.4908126621613177E-2</v>
      </c>
      <c r="P1023">
        <v>2.1317138176378873E-2</v>
      </c>
      <c r="Q1023">
        <v>2.9630257585476594E-3</v>
      </c>
      <c r="R1023">
        <v>1.8518965790268625E-3</v>
      </c>
      <c r="S1023">
        <v>0.21004830128215396</v>
      </c>
      <c r="T1023">
        <v>1.0573501340699829</v>
      </c>
      <c r="U1023">
        <v>3.7318263914075916E-2</v>
      </c>
      <c r="V1023">
        <v>0.24541503027980716</v>
      </c>
      <c r="W1023">
        <v>0.11527990680707377</v>
      </c>
      <c r="X1023">
        <v>2.1014420640733743E-2</v>
      </c>
      <c r="Y1023">
        <v>5.0402520105679131E-3</v>
      </c>
    </row>
    <row r="1024" spans="1:25" x14ac:dyDescent="0.25">
      <c r="A1024" s="881"/>
      <c r="B1024" s="1131">
        <v>774</v>
      </c>
      <c r="C1024" s="885">
        <v>1.0378271554409786</v>
      </c>
      <c r="D1024" s="885">
        <v>1.0293505724918985</v>
      </c>
      <c r="E1024" s="885">
        <v>1.0064051240027951</v>
      </c>
      <c r="F1024" s="885">
        <v>0.99268425110525471</v>
      </c>
      <c r="G1024" s="885">
        <v>0.96915126517862915</v>
      </c>
      <c r="H1024" s="885">
        <v>0.98655477854232854</v>
      </c>
      <c r="I1024" s="885">
        <v>1.0048154430696632</v>
      </c>
      <c r="K1024">
        <v>1.8970398339105903</v>
      </c>
      <c r="L1024">
        <v>0</v>
      </c>
      <c r="M1024">
        <v>1.80587736581288E-3</v>
      </c>
      <c r="N1024">
        <v>0.18559108710721386</v>
      </c>
      <c r="O1024">
        <v>2.388840563361776E-2</v>
      </c>
      <c r="P1024">
        <v>2.0943479161875393E-2</v>
      </c>
      <c r="Q1024">
        <v>2.830122645788277E-3</v>
      </c>
      <c r="R1024">
        <v>1.794928846987719E-3</v>
      </c>
      <c r="S1024">
        <v>0.19536645885364473</v>
      </c>
      <c r="T1024">
        <v>1.0577847693191675</v>
      </c>
      <c r="U1024">
        <v>3.5960044411305937E-2</v>
      </c>
      <c r="V1024">
        <v>0.23922923179391042</v>
      </c>
      <c r="W1024">
        <v>0.11045210528295198</v>
      </c>
      <c r="X1024">
        <v>2.0119873596573301E-2</v>
      </c>
      <c r="Y1024">
        <v>4.8852046233651839E-3</v>
      </c>
    </row>
    <row r="1025" spans="1:25" x14ac:dyDescent="0.25">
      <c r="A1025" s="881"/>
      <c r="B1025" s="1131">
        <v>775</v>
      </c>
      <c r="C1025" s="885">
        <v>0.95336786891788305</v>
      </c>
      <c r="D1025" s="885">
        <v>1.0139490625695518</v>
      </c>
      <c r="E1025" s="885">
        <v>1.0063576211979484</v>
      </c>
      <c r="F1025" s="885">
        <v>0.98822036650495959</v>
      </c>
      <c r="G1025" s="885">
        <v>1.0005030064278622</v>
      </c>
      <c r="H1025" s="885">
        <v>1.0047038117215836</v>
      </c>
      <c r="I1025" s="885">
        <v>0.991263991420966</v>
      </c>
      <c r="K1025">
        <v>1.9715223034372034</v>
      </c>
      <c r="L1025">
        <v>0</v>
      </c>
      <c r="M1025">
        <v>2.0171660380773502E-3</v>
      </c>
      <c r="N1025">
        <v>0.20729885167307052</v>
      </c>
      <c r="O1025">
        <v>2.6198892126051841E-2</v>
      </c>
      <c r="P1025">
        <v>2.1418063616051693E-2</v>
      </c>
      <c r="Q1025">
        <v>3.1004749181285634E-3</v>
      </c>
      <c r="R1025">
        <v>2.0051698714937394E-3</v>
      </c>
      <c r="S1025">
        <v>0.21315419556469828</v>
      </c>
      <c r="T1025">
        <v>1.0577891209852905</v>
      </c>
      <c r="U1025">
        <v>3.9145760852290136E-2</v>
      </c>
      <c r="V1025">
        <v>0.25291482315288444</v>
      </c>
      <c r="W1025">
        <v>0.12337518934491847</v>
      </c>
      <c r="X1025">
        <v>2.1681515984264182E-2</v>
      </c>
      <c r="Y1025">
        <v>5.4574113861354705E-3</v>
      </c>
    </row>
    <row r="1026" spans="1:25" x14ac:dyDescent="0.25">
      <c r="A1026" s="881"/>
      <c r="B1026" s="1131">
        <v>776</v>
      </c>
      <c r="C1026" s="885">
        <v>1.0220703918539118</v>
      </c>
      <c r="D1026" s="885">
        <v>1.0084466765513316</v>
      </c>
      <c r="E1026" s="885">
        <v>0.97448467739313616</v>
      </c>
      <c r="F1026" s="885">
        <v>0.99587245259757706</v>
      </c>
      <c r="G1026" s="885">
        <v>0.96850955566597063</v>
      </c>
      <c r="H1026" s="885">
        <v>0.98409425167253362</v>
      </c>
      <c r="I1026" s="885">
        <v>1.0280611129173598</v>
      </c>
      <c r="K1026">
        <v>1.9135667035545776</v>
      </c>
      <c r="L1026">
        <v>0</v>
      </c>
      <c r="M1026">
        <v>1.9760324707698024E-3</v>
      </c>
      <c r="N1026">
        <v>0.18386562728216074</v>
      </c>
      <c r="O1026">
        <v>2.4503639647107278E-2</v>
      </c>
      <c r="P1026">
        <v>2.067744294701895E-2</v>
      </c>
      <c r="Q1026">
        <v>2.8068790154455788E-3</v>
      </c>
      <c r="R1026">
        <v>1.9640393193959189E-3</v>
      </c>
      <c r="S1026">
        <v>0.20463270270641498</v>
      </c>
      <c r="T1026">
        <v>1.0607287550479283</v>
      </c>
      <c r="U1026">
        <v>3.6514422977484341E-2</v>
      </c>
      <c r="V1026">
        <v>0.2437378830366731</v>
      </c>
      <c r="W1026">
        <v>0.11185794477820844</v>
      </c>
      <c r="X1026">
        <v>1.8907931685501592E-2</v>
      </c>
      <c r="Y1026">
        <v>5.3454675820080585E-3</v>
      </c>
    </row>
    <row r="1027" spans="1:25" x14ac:dyDescent="0.25">
      <c r="A1027" s="881"/>
      <c r="B1027" s="1131">
        <v>777</v>
      </c>
      <c r="C1027" s="885">
        <v>0.97222520567257076</v>
      </c>
      <c r="D1027" s="885">
        <v>1.0065146999255743</v>
      </c>
      <c r="E1027" s="885">
        <v>0.97866015955916585</v>
      </c>
      <c r="F1027" s="885">
        <v>0.99539928591926885</v>
      </c>
      <c r="G1027" s="885">
        <v>1.0042460584445694</v>
      </c>
      <c r="H1027" s="885">
        <v>1.0034587689590544</v>
      </c>
      <c r="I1027" s="885">
        <v>1.0184777405984424</v>
      </c>
      <c r="K1027">
        <v>1.9588318766779946</v>
      </c>
      <c r="L1027">
        <v>0</v>
      </c>
      <c r="M1027">
        <v>2.1017327758935515E-3</v>
      </c>
      <c r="N1027">
        <v>0.19814674752444073</v>
      </c>
      <c r="O1027">
        <v>2.5784359138797029E-2</v>
      </c>
      <c r="P1027">
        <v>2.1004952406266458E-2</v>
      </c>
      <c r="Q1027">
        <v>2.9657751177059504E-3</v>
      </c>
      <c r="R1027">
        <v>2.0892245309556525E-3</v>
      </c>
      <c r="S1027">
        <v>0.21535242058531762</v>
      </c>
      <c r="T1027">
        <v>1.0603414053909639</v>
      </c>
      <c r="U1027">
        <v>3.8386487393215887E-2</v>
      </c>
      <c r="V1027">
        <v>0.25101043612968665</v>
      </c>
      <c r="W1027">
        <v>0.12019652420987027</v>
      </c>
      <c r="X1027">
        <v>1.9969096566088536E-2</v>
      </c>
      <c r="Y1027">
        <v>5.686180460579753E-3</v>
      </c>
    </row>
    <row r="1028" spans="1:25" x14ac:dyDescent="0.25">
      <c r="A1028" s="881"/>
      <c r="B1028" s="1131">
        <v>778</v>
      </c>
      <c r="C1028" s="885">
        <v>1.0106841549337975</v>
      </c>
      <c r="D1028" s="885">
        <v>1.0044774688225597</v>
      </c>
      <c r="E1028" s="885">
        <v>1.0231526040217787</v>
      </c>
      <c r="F1028" s="885">
        <v>1.0116305592831261</v>
      </c>
      <c r="G1028" s="885">
        <v>1.004104650336185</v>
      </c>
      <c r="H1028" s="885">
        <v>1.0096308272953465</v>
      </c>
      <c r="I1028" s="885">
        <v>0.98334909103243462</v>
      </c>
      <c r="K1028">
        <v>1.9345773584278667</v>
      </c>
      <c r="L1028">
        <v>0</v>
      </c>
      <c r="M1028">
        <v>1.8540834103365248E-3</v>
      </c>
      <c r="N1028">
        <v>0.20075503392822203</v>
      </c>
      <c r="O1028">
        <v>2.4828071394726245E-2</v>
      </c>
      <c r="P1028">
        <v>2.1361882258725894E-2</v>
      </c>
      <c r="Q1028">
        <v>2.9859158169762783E-3</v>
      </c>
      <c r="R1028">
        <v>1.8431180160864275E-3</v>
      </c>
      <c r="S1028">
        <v>0.20080497384781618</v>
      </c>
      <c r="T1028">
        <v>1.0562560465968276</v>
      </c>
      <c r="U1028">
        <v>3.6925789742257756E-2</v>
      </c>
      <c r="V1028">
        <v>0.24576725754243034</v>
      </c>
      <c r="W1028">
        <v>0.11812928074253475</v>
      </c>
      <c r="X1028">
        <v>2.1757712295502545E-2</v>
      </c>
      <c r="Y1028">
        <v>5.016359656096544E-3</v>
      </c>
    </row>
    <row r="1029" spans="1:25" x14ac:dyDescent="0.25">
      <c r="A1029" s="881"/>
      <c r="B1029" s="1131">
        <v>779</v>
      </c>
      <c r="C1029" s="885">
        <v>1.0241449178421003</v>
      </c>
      <c r="D1029" s="885">
        <v>1.0320622259612451</v>
      </c>
      <c r="E1029" s="885">
        <v>0.99959550369136796</v>
      </c>
      <c r="F1029" s="885">
        <v>1.0011527136726386</v>
      </c>
      <c r="G1029" s="885">
        <v>1.0076841670282104</v>
      </c>
      <c r="H1029" s="885">
        <v>1.0337828662767208</v>
      </c>
      <c r="I1029" s="885">
        <v>1.0354372029834356</v>
      </c>
      <c r="K1029">
        <v>1.9301983040484154</v>
      </c>
      <c r="L1029">
        <v>0</v>
      </c>
      <c r="M1029">
        <v>1.9428003930818637E-3</v>
      </c>
      <c r="N1029">
        <v>0.19553247548498262</v>
      </c>
      <c r="O1029">
        <v>2.4176173946516086E-2</v>
      </c>
      <c r="P1029">
        <v>2.1052150088118064E-2</v>
      </c>
      <c r="Q1029">
        <v>2.845224166880865E-3</v>
      </c>
      <c r="R1029">
        <v>1.9315578309311782E-3</v>
      </c>
      <c r="S1029">
        <v>0.20852228157207242</v>
      </c>
      <c r="T1029">
        <v>1.0584094868050204</v>
      </c>
      <c r="U1029">
        <v>3.6440458719017785E-2</v>
      </c>
      <c r="V1029">
        <v>0.24069386265516143</v>
      </c>
      <c r="W1029">
        <v>0.11691092899013762</v>
      </c>
      <c r="X1029">
        <v>2.0369440504729754E-2</v>
      </c>
      <c r="Y1029">
        <v>5.2570636779268277E-3</v>
      </c>
    </row>
    <row r="1030" spans="1:25" x14ac:dyDescent="0.25">
      <c r="A1030" s="881"/>
      <c r="B1030" s="1131">
        <v>780</v>
      </c>
      <c r="C1030" s="885">
        <v>0.96193445017874646</v>
      </c>
      <c r="D1030" s="885">
        <v>1.0106723781902365</v>
      </c>
      <c r="E1030" s="885">
        <v>1.0071990961649209</v>
      </c>
      <c r="F1030" s="885">
        <v>0.98389713772899212</v>
      </c>
      <c r="G1030" s="885">
        <v>1.0105003690521452</v>
      </c>
      <c r="H1030" s="885">
        <v>0.99369021883596842</v>
      </c>
      <c r="I1030" s="885">
        <v>1.0016637852980308</v>
      </c>
      <c r="K1030">
        <v>1.9633538152281851</v>
      </c>
      <c r="L1030">
        <v>0</v>
      </c>
      <c r="M1030">
        <v>1.9769391693864567E-3</v>
      </c>
      <c r="N1030">
        <v>0.20368390902949382</v>
      </c>
      <c r="O1030">
        <v>2.6007141151082852E-2</v>
      </c>
      <c r="P1030">
        <v>2.1406228473591742E-2</v>
      </c>
      <c r="Q1030">
        <v>3.0796857770054821E-3</v>
      </c>
      <c r="R1030">
        <v>1.9650545769110133E-3</v>
      </c>
      <c r="S1030">
        <v>0.21263471425169811</v>
      </c>
      <c r="T1030">
        <v>1.0577120476594311</v>
      </c>
      <c r="U1030">
        <v>3.8797145267000281E-2</v>
      </c>
      <c r="V1030">
        <v>0.25202278935803207</v>
      </c>
      <c r="W1030">
        <v>0.12115428592179205</v>
      </c>
      <c r="X1030">
        <v>2.1519522153248805E-2</v>
      </c>
      <c r="Y1030">
        <v>5.348230778284592E-3</v>
      </c>
    </row>
    <row r="1031" spans="1:25" x14ac:dyDescent="0.25">
      <c r="A1031" s="881"/>
      <c r="B1031" s="1131">
        <v>781</v>
      </c>
      <c r="C1031" s="885">
        <v>0.99734020958155067</v>
      </c>
      <c r="D1031" s="885">
        <v>0.99807037659995046</v>
      </c>
      <c r="E1031" s="885">
        <v>0.98714840571896245</v>
      </c>
      <c r="F1031" s="885">
        <v>0.9737083889575936</v>
      </c>
      <c r="G1031" s="885">
        <v>0.97232071834019906</v>
      </c>
      <c r="H1031" s="885">
        <v>0.98889945320727057</v>
      </c>
      <c r="I1031" s="885">
        <v>0.98706902987756806</v>
      </c>
      <c r="K1031">
        <v>1.9316423076361162</v>
      </c>
      <c r="L1031">
        <v>0</v>
      </c>
      <c r="M1031">
        <v>1.9916828227822276E-3</v>
      </c>
      <c r="N1031">
        <v>0.1927863238579289</v>
      </c>
      <c r="O1031">
        <v>2.5240065177417313E-2</v>
      </c>
      <c r="P1031">
        <v>2.0912029024669297E-2</v>
      </c>
      <c r="Q1031">
        <v>2.9265661101263154E-3</v>
      </c>
      <c r="R1031">
        <v>1.9796620285963008E-3</v>
      </c>
      <c r="S1031">
        <v>0.20278408537641707</v>
      </c>
      <c r="T1031">
        <v>1.0595560552108303</v>
      </c>
      <c r="U1031">
        <v>3.7419839531562853E-2</v>
      </c>
      <c r="V1031">
        <v>0.24842675042943757</v>
      </c>
      <c r="W1031">
        <v>0.11625949455859684</v>
      </c>
      <c r="X1031">
        <v>1.99551317068874E-2</v>
      </c>
      <c r="Y1031">
        <v>5.3879874464267943E-3</v>
      </c>
    </row>
    <row r="1032" spans="1:25" x14ac:dyDescent="0.25">
      <c r="A1032" s="881"/>
      <c r="B1032" s="1131">
        <v>782</v>
      </c>
      <c r="C1032" s="885">
        <v>0.98624613930497318</v>
      </c>
      <c r="D1032" s="885">
        <v>0.97192652211385089</v>
      </c>
      <c r="E1032" s="885">
        <v>1.0269684472628062</v>
      </c>
      <c r="F1032" s="885">
        <v>1.0075531917406466</v>
      </c>
      <c r="G1032" s="885">
        <v>1.0003810123603154</v>
      </c>
      <c r="H1032" s="885">
        <v>1.0059606944521715</v>
      </c>
      <c r="I1032" s="885">
        <v>0.99907419064063741</v>
      </c>
      <c r="K1032">
        <v>1.9693813023282434</v>
      </c>
      <c r="L1032">
        <v>0</v>
      </c>
      <c r="M1032">
        <v>1.908807301543938E-3</v>
      </c>
      <c r="N1032">
        <v>0.20914233880132335</v>
      </c>
      <c r="O1032">
        <v>2.5862269839312921E-2</v>
      </c>
      <c r="P1032">
        <v>2.1690027119887548E-2</v>
      </c>
      <c r="Q1032">
        <v>3.114881444139626E-3</v>
      </c>
      <c r="R1032">
        <v>1.8975030442489214E-3</v>
      </c>
      <c r="S1032">
        <v>0.21188245754848517</v>
      </c>
      <c r="T1032">
        <v>1.0559092670209984</v>
      </c>
      <c r="U1032">
        <v>3.7840767242158506E-2</v>
      </c>
      <c r="V1032">
        <v>0.25341303237593893</v>
      </c>
      <c r="W1032">
        <v>0.12274922335284513</v>
      </c>
      <c r="X1032">
        <v>2.2623964065710191E-2</v>
      </c>
      <c r="Y1032">
        <v>5.1643777747351367E-3</v>
      </c>
    </row>
    <row r="1033" spans="1:25" x14ac:dyDescent="0.25">
      <c r="A1033" s="881"/>
      <c r="B1033" s="1131">
        <v>783</v>
      </c>
      <c r="C1033" s="885">
        <v>0.95951867807321312</v>
      </c>
      <c r="D1033" s="885">
        <v>1.010659565835504</v>
      </c>
      <c r="E1033" s="885">
        <v>1.0385346441298671</v>
      </c>
      <c r="F1033" s="885">
        <v>0.9900262980895882</v>
      </c>
      <c r="G1033" s="885">
        <v>0.99280478584921994</v>
      </c>
      <c r="H1033" s="885">
        <v>0.99856603976042912</v>
      </c>
      <c r="I1033" s="885">
        <v>0.99122987289600129</v>
      </c>
      <c r="K1033">
        <v>1.9720480166858887</v>
      </c>
      <c r="L1033">
        <v>0</v>
      </c>
      <c r="M1033">
        <v>1.8640383826602398E-3</v>
      </c>
      <c r="N1033">
        <v>0.21168894570473221</v>
      </c>
      <c r="O1033">
        <v>2.607278248033449E-2</v>
      </c>
      <c r="P1033">
        <v>2.1852503711748558E-2</v>
      </c>
      <c r="Q1033">
        <v>3.1849959316829139E-3</v>
      </c>
      <c r="R1033">
        <v>1.8528872320391894E-3</v>
      </c>
      <c r="S1033">
        <v>0.21145785934720904</v>
      </c>
      <c r="T1033">
        <v>1.0548616265927186</v>
      </c>
      <c r="U1033">
        <v>3.8894824513326751E-2</v>
      </c>
      <c r="V1033">
        <v>0.25239551998593079</v>
      </c>
      <c r="W1033">
        <v>0.12328643158484039</v>
      </c>
      <c r="X1033">
        <v>2.332072974248544E-2</v>
      </c>
      <c r="Y1033">
        <v>5.0429482414987891E-3</v>
      </c>
    </row>
    <row r="1034" spans="1:25" x14ac:dyDescent="0.25">
      <c r="A1034" s="881"/>
      <c r="B1034" s="1131">
        <v>784</v>
      </c>
      <c r="C1034" s="885">
        <v>1.008358709412515</v>
      </c>
      <c r="D1034" s="885">
        <v>0.99122447478820086</v>
      </c>
      <c r="E1034" s="885">
        <v>0.97998255380971977</v>
      </c>
      <c r="F1034" s="885">
        <v>1.0107700607964221</v>
      </c>
      <c r="G1034" s="885">
        <v>0.98959704089580736</v>
      </c>
      <c r="H1034" s="885">
        <v>1.0284505579694669</v>
      </c>
      <c r="I1034" s="885">
        <v>1.0201221485737373</v>
      </c>
      <c r="K1034">
        <v>1.9485967828210484</v>
      </c>
      <c r="L1034">
        <v>0</v>
      </c>
      <c r="M1034">
        <v>2.0868738264948499E-3</v>
      </c>
      <c r="N1034">
        <v>0.19758819425600399</v>
      </c>
      <c r="O1034">
        <v>2.5049522463310252E-2</v>
      </c>
      <c r="P1034">
        <v>2.091682111186392E-2</v>
      </c>
      <c r="Q1034">
        <v>2.8820505335509466E-3</v>
      </c>
      <c r="R1034">
        <v>2.0747686737841034E-3</v>
      </c>
      <c r="S1034">
        <v>0.21200766363719178</v>
      </c>
      <c r="T1034">
        <v>1.0602188708885592</v>
      </c>
      <c r="U1034">
        <v>3.7010946851106431E-2</v>
      </c>
      <c r="V1034">
        <v>0.24772600347673235</v>
      </c>
      <c r="W1034">
        <v>0.11974772085862996</v>
      </c>
      <c r="X1034">
        <v>1.9814257514079201E-2</v>
      </c>
      <c r="Y1034">
        <v>5.646836382730832E-3</v>
      </c>
    </row>
    <row r="1035" spans="1:25" x14ac:dyDescent="0.25">
      <c r="A1035" s="881"/>
      <c r="B1035" s="1131">
        <v>785</v>
      </c>
      <c r="C1035" s="885">
        <v>1.0011050373601038</v>
      </c>
      <c r="D1035" s="885">
        <v>1.0226495360515446</v>
      </c>
      <c r="E1035" s="885">
        <v>1.0369665214599599</v>
      </c>
      <c r="F1035" s="885">
        <v>0.96505795893008106</v>
      </c>
      <c r="G1035" s="885">
        <v>1.0180275291800793</v>
      </c>
      <c r="H1035" s="885">
        <v>0.99371385486251573</v>
      </c>
      <c r="I1035" s="885">
        <v>0.99208657382281284</v>
      </c>
      <c r="K1035">
        <v>1.9323008527143051</v>
      </c>
      <c r="L1035">
        <v>0</v>
      </c>
      <c r="M1035">
        <v>1.7734875014035058E-3</v>
      </c>
      <c r="N1035">
        <v>0.2004212306349458</v>
      </c>
      <c r="O1035">
        <v>2.4844577831578257E-2</v>
      </c>
      <c r="P1035">
        <v>2.1559166717445462E-2</v>
      </c>
      <c r="Q1035">
        <v>3.0327535608375275E-3</v>
      </c>
      <c r="R1035">
        <v>1.7628175912149946E-3</v>
      </c>
      <c r="S1035">
        <v>0.20127511894402825</v>
      </c>
      <c r="T1035">
        <v>1.0550033565672725</v>
      </c>
      <c r="U1035">
        <v>3.7279115785222562E-2</v>
      </c>
      <c r="V1035">
        <v>0.24489639744858785</v>
      </c>
      <c r="W1035">
        <v>0.11684624332083211</v>
      </c>
      <c r="X1035">
        <v>2.2355753443119211E-2</v>
      </c>
      <c r="Y1035">
        <v>4.7978083706244493E-3</v>
      </c>
    </row>
    <row r="1036" spans="1:25" x14ac:dyDescent="0.25">
      <c r="A1036" s="881"/>
      <c r="B1036" s="1131">
        <v>786</v>
      </c>
      <c r="C1036" s="885">
        <v>0.96893644671222579</v>
      </c>
      <c r="D1036" s="885">
        <v>1.0139227008361116</v>
      </c>
      <c r="E1036" s="885">
        <v>1.0272708293854633</v>
      </c>
      <c r="F1036" s="885">
        <v>1.0386868648639045</v>
      </c>
      <c r="G1036" s="885">
        <v>1.0338484190163999</v>
      </c>
      <c r="H1036" s="885">
        <v>1.0262970222215568</v>
      </c>
      <c r="I1036" s="885">
        <v>0.96380052309329411</v>
      </c>
      <c r="K1036">
        <v>1.9671268958553729</v>
      </c>
      <c r="L1036">
        <v>0</v>
      </c>
      <c r="M1036">
        <v>1.9398636171471249E-3</v>
      </c>
      <c r="N1036">
        <v>0.2127661858005801</v>
      </c>
      <c r="O1036">
        <v>2.5778267368254459E-2</v>
      </c>
      <c r="P1036">
        <v>2.1583428389546331E-2</v>
      </c>
      <c r="Q1036">
        <v>3.1148954204807148E-3</v>
      </c>
      <c r="R1036">
        <v>1.9285699172937368E-3</v>
      </c>
      <c r="S1036">
        <v>0.20607991357076966</v>
      </c>
      <c r="T1036">
        <v>1.0558818112346229</v>
      </c>
      <c r="U1036">
        <v>3.8516778605605519E-2</v>
      </c>
      <c r="V1036">
        <v>0.25056843395782119</v>
      </c>
      <c r="W1036">
        <v>0.12485076953653049</v>
      </c>
      <c r="X1036">
        <v>2.274877410904291E-2</v>
      </c>
      <c r="Y1036">
        <v>5.248931561971178E-3</v>
      </c>
    </row>
    <row r="1037" spans="1:25" x14ac:dyDescent="0.25">
      <c r="A1037" s="881"/>
      <c r="B1037" s="1131">
        <v>787</v>
      </c>
      <c r="C1037" s="885">
        <v>0.9940992792135348</v>
      </c>
      <c r="D1037" s="885">
        <v>1.0289498853718702</v>
      </c>
      <c r="E1037" s="885">
        <v>1.0005827732117487</v>
      </c>
      <c r="F1037" s="885">
        <v>0.96765427248227998</v>
      </c>
      <c r="G1037" s="885">
        <v>1.0094484956666394</v>
      </c>
      <c r="H1037" s="885">
        <v>1.0170905058962882</v>
      </c>
      <c r="I1037" s="885">
        <v>0.99319264150276287</v>
      </c>
      <c r="K1037">
        <v>1.9380273257497667</v>
      </c>
      <c r="L1037">
        <v>0</v>
      </c>
      <c r="M1037">
        <v>1.9680366393857751E-3</v>
      </c>
      <c r="N1037">
        <v>0.19866294406476051</v>
      </c>
      <c r="O1037">
        <v>2.494398299468497E-2</v>
      </c>
      <c r="P1037">
        <v>2.1089501013317274E-2</v>
      </c>
      <c r="Q1037">
        <v>2.9378894503515477E-3</v>
      </c>
      <c r="R1037">
        <v>1.956463522777392E-3</v>
      </c>
      <c r="S1037">
        <v>0.20468096470978994</v>
      </c>
      <c r="T1037">
        <v>1.0583188022671943</v>
      </c>
      <c r="U1037">
        <v>3.7541834484018814E-2</v>
      </c>
      <c r="V1037">
        <v>0.24512365824051816</v>
      </c>
      <c r="W1037">
        <v>0.1187024599659966</v>
      </c>
      <c r="X1037">
        <v>2.0712012914767795E-2</v>
      </c>
      <c r="Y1037">
        <v>5.3248487609731119E-3</v>
      </c>
    </row>
    <row r="1038" spans="1:25" x14ac:dyDescent="0.25">
      <c r="A1038" s="881"/>
      <c r="B1038" s="1131">
        <v>788</v>
      </c>
      <c r="C1038" s="885">
        <v>0.98526685969622907</v>
      </c>
      <c r="D1038" s="885">
        <v>1.0004916574049356</v>
      </c>
      <c r="E1038" s="885">
        <v>1.0083244579254591</v>
      </c>
      <c r="F1038" s="885">
        <v>1.0001288589915927</v>
      </c>
      <c r="G1038" s="885">
        <v>1.0001115602096824</v>
      </c>
      <c r="H1038" s="885">
        <v>0.9855925474998809</v>
      </c>
      <c r="I1038" s="885">
        <v>0.99790536653722217</v>
      </c>
      <c r="K1038">
        <v>1.9449155865574517</v>
      </c>
      <c r="L1038">
        <v>0</v>
      </c>
      <c r="M1038">
        <v>1.9194366043566665E-3</v>
      </c>
      <c r="N1038">
        <v>0.19844360382041509</v>
      </c>
      <c r="O1038">
        <v>2.5518726123696212E-2</v>
      </c>
      <c r="P1038">
        <v>2.1302286600188011E-2</v>
      </c>
      <c r="Q1038">
        <v>3.0231255465802661E-3</v>
      </c>
      <c r="R1038">
        <v>1.9078110298331244E-3</v>
      </c>
      <c r="S1038">
        <v>0.2069529802766826</v>
      </c>
      <c r="T1038">
        <v>1.05760901542555</v>
      </c>
      <c r="U1038">
        <v>3.7878378059344506E-2</v>
      </c>
      <c r="V1038">
        <v>0.24985662242261064</v>
      </c>
      <c r="W1038">
        <v>0.11794690715839913</v>
      </c>
      <c r="X1038">
        <v>2.1203133985038085E-2</v>
      </c>
      <c r="Y1038">
        <v>5.1924327134688034E-3</v>
      </c>
    </row>
    <row r="1039" spans="1:25" x14ac:dyDescent="0.25">
      <c r="A1039" s="881"/>
      <c r="B1039" s="1131">
        <v>789</v>
      </c>
      <c r="C1039" s="885">
        <v>0.96199004734645999</v>
      </c>
      <c r="D1039" s="885">
        <v>0.95845793691415726</v>
      </c>
      <c r="E1039" s="885">
        <v>1.0382708875152697</v>
      </c>
      <c r="F1039" s="885">
        <v>1.0017620466710255</v>
      </c>
      <c r="G1039" s="885">
        <v>0.9919308149961088</v>
      </c>
      <c r="H1039" s="885">
        <v>0.9880236902185584</v>
      </c>
      <c r="I1039" s="885">
        <v>0.99477159329902454</v>
      </c>
      <c r="K1039">
        <v>1.9883972078813745</v>
      </c>
      <c r="L1039">
        <v>0</v>
      </c>
      <c r="M1039">
        <v>1.8896745041202371E-3</v>
      </c>
      <c r="N1039">
        <v>0.21441582761878056</v>
      </c>
      <c r="O1039">
        <v>2.6699060568371014E-2</v>
      </c>
      <c r="P1039">
        <v>2.1999985739816288E-2</v>
      </c>
      <c r="Q1039">
        <v>3.248537752555204E-3</v>
      </c>
      <c r="R1039">
        <v>1.8782915737546738E-3</v>
      </c>
      <c r="S1039">
        <v>0.21577008944165585</v>
      </c>
      <c r="T1039">
        <v>1.0548854586861447</v>
      </c>
      <c r="U1039">
        <v>3.8794903028218086E-2</v>
      </c>
      <c r="V1039">
        <v>0.25896302654378112</v>
      </c>
      <c r="W1039">
        <v>0.12489649732084399</v>
      </c>
      <c r="X1039">
        <v>2.3623113626465478E-2</v>
      </c>
      <c r="Y1039">
        <v>5.1120904851093421E-3</v>
      </c>
    </row>
    <row r="1040" spans="1:25" x14ac:dyDescent="0.25">
      <c r="A1040" s="881"/>
      <c r="B1040" s="1131">
        <v>790</v>
      </c>
      <c r="C1040" s="885">
        <v>0.9678226054386958</v>
      </c>
      <c r="D1040" s="885">
        <v>1.0175692302894541</v>
      </c>
      <c r="E1040" s="885">
        <v>1.0025109110178458</v>
      </c>
      <c r="F1040" s="885">
        <v>1.0119087828275519</v>
      </c>
      <c r="G1040" s="885">
        <v>0.97417645602352743</v>
      </c>
      <c r="H1040" s="885">
        <v>0.99665962142636133</v>
      </c>
      <c r="I1040" s="885">
        <v>0.97350814935166829</v>
      </c>
      <c r="K1040">
        <v>1.950139828386229</v>
      </c>
      <c r="L1040">
        <v>0</v>
      </c>
      <c r="M1040">
        <v>1.9836814314519928E-3</v>
      </c>
      <c r="N1040">
        <v>0.20142335800183517</v>
      </c>
      <c r="O1040">
        <v>2.5762212963664384E-2</v>
      </c>
      <c r="P1040">
        <v>2.1207060438587982E-2</v>
      </c>
      <c r="Q1040">
        <v>3.0378090971567373E-3</v>
      </c>
      <c r="R1040">
        <v>1.9717862663292877E-3</v>
      </c>
      <c r="S1040">
        <v>0.20506137171527364</v>
      </c>
      <c r="T1040">
        <v>1.0581418048329916</v>
      </c>
      <c r="U1040">
        <v>3.8561106540800721E-2</v>
      </c>
      <c r="V1040">
        <v>0.25028062913675031</v>
      </c>
      <c r="W1040">
        <v>0.12019332041654829</v>
      </c>
      <c r="X1040">
        <v>2.1116498189961766E-2</v>
      </c>
      <c r="Y1040">
        <v>5.3665522177803165E-3</v>
      </c>
    </row>
    <row r="1041" spans="1:25" x14ac:dyDescent="0.25">
      <c r="A1041" s="881"/>
      <c r="B1041" s="1131">
        <v>791</v>
      </c>
      <c r="C1041" s="885">
        <v>0.99530823751811615</v>
      </c>
      <c r="D1041" s="885">
        <v>1.0209734458600326</v>
      </c>
      <c r="E1041" s="885">
        <v>0.99675056527850736</v>
      </c>
      <c r="F1041" s="885">
        <v>1.0001975223207933</v>
      </c>
      <c r="G1041" s="885">
        <v>1.0076688337972894</v>
      </c>
      <c r="H1041" s="885">
        <v>1.0220441364469479</v>
      </c>
      <c r="I1041" s="885">
        <v>0.99303018857352199</v>
      </c>
      <c r="K1041">
        <v>1.9415232180372872</v>
      </c>
      <c r="L1041">
        <v>0</v>
      </c>
      <c r="M1041">
        <v>1.998874234270219E-3</v>
      </c>
      <c r="N1041">
        <v>0.1993905711365688</v>
      </c>
      <c r="O1041">
        <v>2.5009513441532641E-2</v>
      </c>
      <c r="P1041">
        <v>2.1056829920417429E-2</v>
      </c>
      <c r="Q1041">
        <v>2.9327001721468852E-3</v>
      </c>
      <c r="R1041">
        <v>1.9871829855804156E-3</v>
      </c>
      <c r="S1041">
        <v>0.20562333527231641</v>
      </c>
      <c r="T1041">
        <v>1.0586710177480332</v>
      </c>
      <c r="U1041">
        <v>3.749623402492698E-2</v>
      </c>
      <c r="V1041">
        <v>0.24590421668328383</v>
      </c>
      <c r="W1041">
        <v>0.11945032004335542</v>
      </c>
      <c r="X1041">
        <v>2.0591713831340369E-2</v>
      </c>
      <c r="Y1041">
        <v>5.4084570120547498E-3</v>
      </c>
    </row>
    <row r="1042" spans="1:25" x14ac:dyDescent="0.25">
      <c r="A1042" s="881"/>
      <c r="B1042" s="1131">
        <v>792</v>
      </c>
      <c r="C1042" s="885">
        <v>1.0004318706496287</v>
      </c>
      <c r="D1042" s="885">
        <v>1.0201599194843329</v>
      </c>
      <c r="E1042" s="885">
        <v>0.97791470225337973</v>
      </c>
      <c r="F1042" s="885">
        <v>0.9819681131590573</v>
      </c>
      <c r="G1042" s="885">
        <v>1.002023801690533</v>
      </c>
      <c r="H1042" s="885">
        <v>1.0056672529511639</v>
      </c>
      <c r="I1042" s="885">
        <v>0.99789809688546771</v>
      </c>
      <c r="K1042">
        <v>1.9282643016915999</v>
      </c>
      <c r="L1042">
        <v>0</v>
      </c>
      <c r="M1042">
        <v>2.0365919553924387E-3</v>
      </c>
      <c r="N1042">
        <v>0.19156137182551788</v>
      </c>
      <c r="O1042">
        <v>2.489122112019292E-2</v>
      </c>
      <c r="P1042">
        <v>2.0750398296224312E-2</v>
      </c>
      <c r="Q1042">
        <v>2.8635450619806367E-3</v>
      </c>
      <c r="R1042">
        <v>2.0244867818452828E-3</v>
      </c>
      <c r="S1042">
        <v>0.20401122962746937</v>
      </c>
      <c r="T1042">
        <v>1.0604105101659407</v>
      </c>
      <c r="U1042">
        <v>3.7304200011823933E-2</v>
      </c>
      <c r="V1042">
        <v>0.24528833252827878</v>
      </c>
      <c r="W1042">
        <v>0.11626200692589178</v>
      </c>
      <c r="X1042">
        <v>1.9423605653531028E-2</v>
      </c>
      <c r="Y1042">
        <v>5.5099856482945849E-3</v>
      </c>
    </row>
    <row r="1043" spans="1:25" x14ac:dyDescent="0.25">
      <c r="A1043" s="881"/>
      <c r="B1043" s="1131">
        <v>793</v>
      </c>
      <c r="C1043" s="885">
        <v>0.98912215253630864</v>
      </c>
      <c r="D1043" s="885">
        <v>1.0119418959976576</v>
      </c>
      <c r="E1043" s="885">
        <v>0.9639699800727507</v>
      </c>
      <c r="F1043" s="885">
        <v>1.014820899697803</v>
      </c>
      <c r="G1043" s="885">
        <v>0.98765966592976995</v>
      </c>
      <c r="H1043" s="885">
        <v>1.0029839482910312</v>
      </c>
      <c r="I1043" s="885">
        <v>0.99061366631801817</v>
      </c>
      <c r="K1043">
        <v>1.9344997108195572</v>
      </c>
      <c r="L1043">
        <v>0</v>
      </c>
      <c r="M1043">
        <v>2.1237826760292801E-3</v>
      </c>
      <c r="N1043">
        <v>0.19126107697962963</v>
      </c>
      <c r="O1043">
        <v>2.5276603961010852E-2</v>
      </c>
      <c r="P1043">
        <v>2.0604590016949968E-2</v>
      </c>
      <c r="Q1043">
        <v>2.8651462458790843E-3</v>
      </c>
      <c r="R1043">
        <v>2.1111325257192684E-3</v>
      </c>
      <c r="S1043">
        <v>0.20532765973808612</v>
      </c>
      <c r="T1043">
        <v>1.0617071682034513</v>
      </c>
      <c r="U1043">
        <v>3.7730739833518115E-2</v>
      </c>
      <c r="V1043">
        <v>0.24787636969030757</v>
      </c>
      <c r="W1043">
        <v>0.11721565532882845</v>
      </c>
      <c r="X1043">
        <v>1.8901544171847404E-2</v>
      </c>
      <c r="Y1043">
        <v>5.7458068003577809E-3</v>
      </c>
    </row>
    <row r="1044" spans="1:25" x14ac:dyDescent="0.25">
      <c r="A1044" s="881"/>
      <c r="B1044" s="1131">
        <v>794</v>
      </c>
      <c r="C1044" s="885">
        <v>1.0256141688869851</v>
      </c>
      <c r="D1044" s="885">
        <v>1.0253362535737693</v>
      </c>
      <c r="E1044" s="885">
        <v>1.0173646991938194</v>
      </c>
      <c r="F1044" s="885">
        <v>0.98972548071604127</v>
      </c>
      <c r="G1044" s="885">
        <v>1.0178000751663072</v>
      </c>
      <c r="H1044" s="885">
        <v>0.99610361871168973</v>
      </c>
      <c r="I1044" s="885">
        <v>0.98441546013778414</v>
      </c>
      <c r="K1044">
        <v>1.9090095819319333</v>
      </c>
      <c r="L1044">
        <v>0</v>
      </c>
      <c r="M1044">
        <v>1.8063708463444351E-3</v>
      </c>
      <c r="N1044">
        <v>0.19208645896833978</v>
      </c>
      <c r="O1044">
        <v>2.4219493790397527E-2</v>
      </c>
      <c r="P1044">
        <v>2.1128146049606621E-2</v>
      </c>
      <c r="Q1044">
        <v>2.9001421127412027E-3</v>
      </c>
      <c r="R1044">
        <v>1.7955272207490966E-3</v>
      </c>
      <c r="S1044">
        <v>0.1949415906238299</v>
      </c>
      <c r="T1044">
        <v>1.0567831319022682</v>
      </c>
      <c r="U1044">
        <v>3.6388255674565738E-2</v>
      </c>
      <c r="V1044">
        <v>0.24127503099742895</v>
      </c>
      <c r="W1044">
        <v>0.1134706970758681</v>
      </c>
      <c r="X1044">
        <v>2.0940645162992849E-2</v>
      </c>
      <c r="Y1044">
        <v>4.8868331994897955E-3</v>
      </c>
    </row>
    <row r="1045" spans="1:25" x14ac:dyDescent="0.25">
      <c r="A1045" s="881"/>
      <c r="B1045" s="1131">
        <v>795</v>
      </c>
      <c r="C1045" s="885">
        <v>0.97347809412073294</v>
      </c>
      <c r="D1045" s="885">
        <v>1.0021919189027286</v>
      </c>
      <c r="E1045" s="885">
        <v>0.99079455434882191</v>
      </c>
      <c r="F1045" s="885">
        <v>1.0361467993242541</v>
      </c>
      <c r="G1045" s="885">
        <v>1.0023048214022903</v>
      </c>
      <c r="H1045" s="885">
        <v>0.99580836626551839</v>
      </c>
      <c r="I1045" s="885">
        <v>0.98292925454085056</v>
      </c>
      <c r="K1045">
        <v>1.9510983846245462</v>
      </c>
      <c r="L1045">
        <v>0</v>
      </c>
      <c r="M1045">
        <v>2.0349174694905799E-3</v>
      </c>
      <c r="N1045">
        <v>0.19922822771390791</v>
      </c>
      <c r="O1045">
        <v>2.5806061696282117E-2</v>
      </c>
      <c r="P1045">
        <v>2.1077156216539664E-2</v>
      </c>
      <c r="Q1045">
        <v>3.004109914904636E-3</v>
      </c>
      <c r="R1045">
        <v>2.0227174601908219E-3</v>
      </c>
      <c r="S1045">
        <v>0.20719780548298869</v>
      </c>
      <c r="T1045">
        <v>1.0592195650222074</v>
      </c>
      <c r="U1045">
        <v>3.8337083110869065E-2</v>
      </c>
      <c r="V1045">
        <v>0.25136883742716681</v>
      </c>
      <c r="W1045">
        <v>0.11984259207168495</v>
      </c>
      <c r="X1045">
        <v>2.0523975839283774E-2</v>
      </c>
      <c r="Y1045">
        <v>5.5051701380078692E-3</v>
      </c>
    </row>
    <row r="1046" spans="1:25" x14ac:dyDescent="0.25">
      <c r="A1046" s="881"/>
      <c r="B1046" s="1131">
        <v>796</v>
      </c>
      <c r="C1046" s="885">
        <v>0.99410523382954707</v>
      </c>
      <c r="D1046" s="885">
        <v>0.98718898638915875</v>
      </c>
      <c r="E1046" s="885">
        <v>1.0200558175645211</v>
      </c>
      <c r="F1046" s="885">
        <v>1.0112431268021318</v>
      </c>
      <c r="G1046" s="885">
        <v>1.0031737006617722</v>
      </c>
      <c r="H1046" s="885">
        <v>1.0035067375729589</v>
      </c>
      <c r="I1046" s="885">
        <v>1.026430687519055</v>
      </c>
      <c r="K1046">
        <v>1.9599669252249738</v>
      </c>
      <c r="L1046">
        <v>0</v>
      </c>
      <c r="M1046">
        <v>1.902141920377167E-3</v>
      </c>
      <c r="N1046">
        <v>0.20398111162066884</v>
      </c>
      <c r="O1046">
        <v>2.5460120025611023E-2</v>
      </c>
      <c r="P1046">
        <v>2.1573211490708427E-2</v>
      </c>
      <c r="Q1046">
        <v>3.0488255285988962E-3</v>
      </c>
      <c r="R1046">
        <v>1.8908372796234425E-3</v>
      </c>
      <c r="S1046">
        <v>0.21416091847322469</v>
      </c>
      <c r="T1046">
        <v>1.0565378977642892</v>
      </c>
      <c r="U1046">
        <v>3.7541609611237516E-2</v>
      </c>
      <c r="V1046">
        <v>0.25026283257150184</v>
      </c>
      <c r="W1046">
        <v>0.12027838297744101</v>
      </c>
      <c r="X1046">
        <v>2.1987084041653084E-2</v>
      </c>
      <c r="Y1046">
        <v>5.1462357607933032E-3</v>
      </c>
    </row>
    <row r="1047" spans="1:25" x14ac:dyDescent="0.25">
      <c r="A1047" s="881"/>
      <c r="B1047" s="1131">
        <v>797</v>
      </c>
      <c r="C1047" s="885">
        <v>1.0018777830369288</v>
      </c>
      <c r="D1047" s="885">
        <v>0.99141813276277735</v>
      </c>
      <c r="E1047" s="885">
        <v>0.97715072461799768</v>
      </c>
      <c r="F1047" s="885">
        <v>1.0108017984812194</v>
      </c>
      <c r="G1047" s="885">
        <v>0.97796898492321238</v>
      </c>
      <c r="H1047" s="885">
        <v>1.0048924987799479</v>
      </c>
      <c r="I1047" s="885">
        <v>0.95799929845846488</v>
      </c>
      <c r="K1047">
        <v>1.9296584870555591</v>
      </c>
      <c r="L1047">
        <v>0</v>
      </c>
      <c r="M1047">
        <v>2.0642958538344964E-3</v>
      </c>
      <c r="N1047">
        <v>0.19370686883811175</v>
      </c>
      <c r="O1047">
        <v>2.5209121559998885E-2</v>
      </c>
      <c r="P1047">
        <v>2.0703614627457883E-2</v>
      </c>
      <c r="Q1047">
        <v>2.8921098019898239E-3</v>
      </c>
      <c r="R1047">
        <v>2.0520407855335689E-3</v>
      </c>
      <c r="S1047">
        <v>0.1980774402644267</v>
      </c>
      <c r="T1047">
        <v>1.0604813541472957</v>
      </c>
      <c r="U1047">
        <v>3.7250362502091051E-2</v>
      </c>
      <c r="V1047">
        <v>0.24861753516775681</v>
      </c>
      <c r="W1047">
        <v>0.11762659464326111</v>
      </c>
      <c r="X1047">
        <v>1.9520762008307938E-2</v>
      </c>
      <c r="Y1047">
        <v>5.5849785631592258E-3</v>
      </c>
    </row>
    <row r="1048" spans="1:25" x14ac:dyDescent="0.25">
      <c r="A1048" s="881"/>
      <c r="B1048" s="1131">
        <v>798</v>
      </c>
      <c r="C1048" s="885">
        <v>0.99678417928394614</v>
      </c>
      <c r="D1048" s="885">
        <v>1.0212967602203662</v>
      </c>
      <c r="E1048" s="885">
        <v>1.0114997697292776</v>
      </c>
      <c r="F1048" s="885">
        <v>0.9832756292452578</v>
      </c>
      <c r="G1048" s="885">
        <v>0.9728937911402683</v>
      </c>
      <c r="H1048" s="885">
        <v>1.0346904598897866</v>
      </c>
      <c r="I1048" s="885">
        <v>0.99707715261932939</v>
      </c>
      <c r="K1048">
        <v>1.9496532811640381</v>
      </c>
      <c r="L1048">
        <v>0</v>
      </c>
      <c r="M1048">
        <v>1.9584694784451706E-3</v>
      </c>
      <c r="N1048">
        <v>0.20454518429526936</v>
      </c>
      <c r="O1048">
        <v>2.4968579531571593E-2</v>
      </c>
      <c r="P1048">
        <v>2.1290639412200624E-2</v>
      </c>
      <c r="Q1048">
        <v>2.9715961057748927E-3</v>
      </c>
      <c r="R1048">
        <v>1.9471543136404996E-3</v>
      </c>
      <c r="S1048">
        <v>0.20739264694171142</v>
      </c>
      <c r="T1048">
        <v>1.0573185669330052</v>
      </c>
      <c r="U1048">
        <v>3.7440713222120399E-2</v>
      </c>
      <c r="V1048">
        <v>0.24565953962432754</v>
      </c>
      <c r="W1048">
        <v>0.12131140359414651</v>
      </c>
      <c r="X1048">
        <v>2.1466214506231866E-2</v>
      </c>
      <c r="Y1048">
        <v>5.2995121624824565E-3</v>
      </c>
    </row>
    <row r="1049" spans="1:25" x14ac:dyDescent="0.25">
      <c r="A1049" s="881"/>
      <c r="B1049" s="1131">
        <v>799</v>
      </c>
      <c r="C1049" s="885">
        <v>0.99175022191312212</v>
      </c>
      <c r="D1049" s="885">
        <v>0.99864107720555995</v>
      </c>
      <c r="E1049" s="885">
        <v>1.0101713081877113</v>
      </c>
      <c r="F1049" s="885">
        <v>1.0429141763379099</v>
      </c>
      <c r="G1049" s="885">
        <v>1.0027445743188845</v>
      </c>
      <c r="H1049" s="885">
        <v>1.0030171725929189</v>
      </c>
      <c r="I1049" s="885">
        <v>0.97755253818154841</v>
      </c>
      <c r="K1049">
        <v>1.9444099550419154</v>
      </c>
      <c r="L1049">
        <v>0</v>
      </c>
      <c r="M1049">
        <v>1.9348284406080418E-3</v>
      </c>
      <c r="N1049">
        <v>0.2012082311860128</v>
      </c>
      <c r="O1049">
        <v>2.5375147751693198E-2</v>
      </c>
      <c r="P1049">
        <v>2.1265972851750737E-2</v>
      </c>
      <c r="Q1049">
        <v>3.0112847918106096E-3</v>
      </c>
      <c r="R1049">
        <v>1.9233147002948848E-3</v>
      </c>
      <c r="S1049">
        <v>0.20331720043535792</v>
      </c>
      <c r="T1049">
        <v>1.0574400345710495</v>
      </c>
      <c r="U1049">
        <v>3.763075598705156E-2</v>
      </c>
      <c r="V1049">
        <v>0.2491491988029903</v>
      </c>
      <c r="W1049">
        <v>0.1194400314345288</v>
      </c>
      <c r="X1049">
        <v>2.1348982376297648E-2</v>
      </c>
      <c r="Y1049">
        <v>5.2346285936821207E-3</v>
      </c>
    </row>
    <row r="1050" spans="1:25" x14ac:dyDescent="0.25">
      <c r="A1050" s="881"/>
      <c r="B1050" s="1131">
        <v>800</v>
      </c>
      <c r="C1050" s="885">
        <v>0.96646213812741844</v>
      </c>
      <c r="D1050" s="885">
        <v>1.0013046217965229</v>
      </c>
      <c r="E1050" s="885">
        <v>0.98352288480723438</v>
      </c>
      <c r="F1050" s="885">
        <v>0.99132839898136305</v>
      </c>
      <c r="G1050" s="885">
        <v>1.0087214200841881</v>
      </c>
      <c r="H1050" s="885">
        <v>0.96735416179045919</v>
      </c>
      <c r="I1050" s="885">
        <v>1.0397974174984235</v>
      </c>
      <c r="K1050">
        <v>1.9550781527475689</v>
      </c>
      <c r="L1050">
        <v>0</v>
      </c>
      <c r="M1050">
        <v>2.0226716067211505E-3</v>
      </c>
      <c r="N1050">
        <v>0.1935611402811783</v>
      </c>
      <c r="O1050">
        <v>2.6004795024017313E-2</v>
      </c>
      <c r="P1050">
        <v>2.1132825683232929E-2</v>
      </c>
      <c r="Q1050">
        <v>3.0048558359121054E-3</v>
      </c>
      <c r="R1050">
        <v>2.0101890838529184E-3</v>
      </c>
      <c r="S1050">
        <v>0.21777025642250261</v>
      </c>
      <c r="T1050">
        <v>1.0598911538232021</v>
      </c>
      <c r="U1050">
        <v>3.8615388155015938E-2</v>
      </c>
      <c r="V1050">
        <v>0.25253698346560161</v>
      </c>
      <c r="W1050">
        <v>0.1170196672893697</v>
      </c>
      <c r="X1050">
        <v>2.0082497262809824E-2</v>
      </c>
      <c r="Y1050">
        <v>5.4710720275942459E-3</v>
      </c>
    </row>
    <row r="1051" spans="1:25" x14ac:dyDescent="0.25">
      <c r="A1051" s="881"/>
      <c r="B1051" s="1131">
        <v>801</v>
      </c>
      <c r="C1051" s="885">
        <v>1.0333915060536059</v>
      </c>
      <c r="D1051" s="885">
        <v>0.95274014892274006</v>
      </c>
      <c r="E1051" s="885">
        <v>1.0224522054292349</v>
      </c>
      <c r="F1051" s="885">
        <v>0.99960471026371944</v>
      </c>
      <c r="G1051" s="885">
        <v>0.97368682950495733</v>
      </c>
      <c r="H1051" s="885">
        <v>1.0396119517731859</v>
      </c>
      <c r="I1051" s="885">
        <v>1.0064764314537185</v>
      </c>
      <c r="K1051">
        <v>1.9569062206246832</v>
      </c>
      <c r="L1051">
        <v>0</v>
      </c>
      <c r="M1051">
        <v>1.9196594591406211E-3</v>
      </c>
      <c r="N1051">
        <v>0.2074437722608409</v>
      </c>
      <c r="O1051">
        <v>2.4928495948339482E-2</v>
      </c>
      <c r="P1051">
        <v>2.1502078877113889E-2</v>
      </c>
      <c r="Q1051">
        <v>2.9847794667545273E-3</v>
      </c>
      <c r="R1051">
        <v>1.9086743676161233E-3</v>
      </c>
      <c r="S1051">
        <v>0.20899587086571533</v>
      </c>
      <c r="T1051">
        <v>1.0563197599111318</v>
      </c>
      <c r="U1051">
        <v>3.6114396511191194E-2</v>
      </c>
      <c r="V1051">
        <v>0.24921605928990409</v>
      </c>
      <c r="W1051">
        <v>0.1221226927088383</v>
      </c>
      <c r="X1051">
        <v>2.2094517442059917E-2</v>
      </c>
      <c r="Y1051">
        <v>5.194782434314902E-3</v>
      </c>
    </row>
    <row r="1052" spans="1:25" x14ac:dyDescent="0.25">
      <c r="A1052" s="881"/>
      <c r="B1052" s="1131">
        <v>802</v>
      </c>
      <c r="C1052" s="885">
        <v>1.0295397711618195</v>
      </c>
      <c r="D1052" s="885">
        <v>0.99004176425097434</v>
      </c>
      <c r="E1052" s="885">
        <v>1.0360441642981217</v>
      </c>
      <c r="F1052" s="885">
        <v>1.0341753515285967</v>
      </c>
      <c r="G1052" s="885">
        <v>0.98340158295073543</v>
      </c>
      <c r="H1052" s="885">
        <v>0.9864489602785641</v>
      </c>
      <c r="I1052" s="885">
        <v>1.0207976286071394</v>
      </c>
      <c r="K1052">
        <v>1.92681158705032</v>
      </c>
      <c r="L1052">
        <v>0</v>
      </c>
      <c r="M1052">
        <v>1.7429323986795635E-3</v>
      </c>
      <c r="N1052">
        <v>0.19639925120487273</v>
      </c>
      <c r="O1052">
        <v>2.4548692445527216E-2</v>
      </c>
      <c r="P1052">
        <v>2.1566016749291747E-2</v>
      </c>
      <c r="Q1052">
        <v>2.9871761278794933E-3</v>
      </c>
      <c r="R1052">
        <v>1.7323927206563344E-3</v>
      </c>
      <c r="S1052">
        <v>0.20366226867824547</v>
      </c>
      <c r="T1052">
        <v>1.0550867660121988</v>
      </c>
      <c r="U1052">
        <v>3.6249508417534465E-2</v>
      </c>
      <c r="V1052">
        <v>0.24496926592373966</v>
      </c>
      <c r="W1052">
        <v>0.11457189159116579</v>
      </c>
      <c r="X1052">
        <v>2.2066287675367714E-2</v>
      </c>
      <c r="Y1052">
        <v>4.7150019025196587E-3</v>
      </c>
    </row>
    <row r="1053" spans="1:25" x14ac:dyDescent="0.25">
      <c r="A1053" s="881"/>
      <c r="B1053" s="1131">
        <v>803</v>
      </c>
      <c r="C1053" s="885">
        <v>0.99125041070454312</v>
      </c>
      <c r="D1053" s="885">
        <v>0.99997881090781804</v>
      </c>
      <c r="E1053" s="885">
        <v>0.98703485211490127</v>
      </c>
      <c r="F1053" s="885">
        <v>1.0346757996545639</v>
      </c>
      <c r="G1053" s="885">
        <v>1.0054498787411379</v>
      </c>
      <c r="H1053" s="885">
        <v>0.97583921685536312</v>
      </c>
      <c r="I1053" s="885">
        <v>1.0096869331178056</v>
      </c>
      <c r="K1053">
        <v>1.9345108674247025</v>
      </c>
      <c r="L1053">
        <v>0</v>
      </c>
      <c r="M1053">
        <v>1.976057293157675E-3</v>
      </c>
      <c r="N1053">
        <v>0.19119051971677767</v>
      </c>
      <c r="O1053">
        <v>2.5371123775621212E-2</v>
      </c>
      <c r="P1053">
        <v>2.0981302800627256E-2</v>
      </c>
      <c r="Q1053">
        <v>2.9418159826382381E-3</v>
      </c>
      <c r="R1053">
        <v>1.9639695868663427E-3</v>
      </c>
      <c r="S1053">
        <v>0.2071759007454744</v>
      </c>
      <c r="T1053">
        <v>1.0595665429669872</v>
      </c>
      <c r="U1053">
        <v>3.7649730277933564E-2</v>
      </c>
      <c r="V1053">
        <v>0.24905254708072216</v>
      </c>
      <c r="W1053">
        <v>0.11530618730873994</v>
      </c>
      <c r="X1053">
        <v>1.9942006682420157E-2</v>
      </c>
      <c r="Y1053">
        <v>5.3452777930498721E-3</v>
      </c>
    </row>
    <row r="1054" spans="1:25" x14ac:dyDescent="0.25">
      <c r="A1054" s="881"/>
      <c r="B1054" s="1131">
        <v>804</v>
      </c>
      <c r="C1054" s="885">
        <v>0.97810139361015092</v>
      </c>
      <c r="D1054" s="885">
        <v>0.98587211936942309</v>
      </c>
      <c r="E1054" s="885">
        <v>0.97837105624719534</v>
      </c>
      <c r="F1054" s="885">
        <v>1.0287563000168238</v>
      </c>
      <c r="G1054" s="885">
        <v>0.98093867564500703</v>
      </c>
      <c r="H1054" s="885">
        <v>1.0055509834100247</v>
      </c>
      <c r="I1054" s="885">
        <v>1.0339391773211479</v>
      </c>
      <c r="K1054">
        <v>1.9669222354535123</v>
      </c>
      <c r="L1054">
        <v>0</v>
      </c>
      <c r="M1054">
        <v>2.1163228043463737E-3</v>
      </c>
      <c r="N1054">
        <v>0.19934679649520681</v>
      </c>
      <c r="O1054">
        <v>2.5893837794414554E-2</v>
      </c>
      <c r="P1054">
        <v>2.1078596289430325E-2</v>
      </c>
      <c r="Q1054">
        <v>2.9731864562028325E-3</v>
      </c>
      <c r="R1054">
        <v>2.1037720003637857E-3</v>
      </c>
      <c r="S1054">
        <v>0.2196122214703386</v>
      </c>
      <c r="T1054">
        <v>1.0603682030530397</v>
      </c>
      <c r="U1054">
        <v>3.8155871001439287E-2</v>
      </c>
      <c r="V1054">
        <v>0.25278306799182798</v>
      </c>
      <c r="W1054">
        <v>0.12094876411007018</v>
      </c>
      <c r="X1054">
        <v>2.0048467718785438E-2</v>
      </c>
      <c r="Y1054">
        <v>5.7257738767366884E-3</v>
      </c>
    </row>
    <row r="1055" spans="1:25" x14ac:dyDescent="0.25">
      <c r="A1055" s="881"/>
      <c r="B1055" s="1131">
        <v>805</v>
      </c>
      <c r="C1055" s="885">
        <v>0.98542723458869186</v>
      </c>
      <c r="D1055" s="885">
        <v>1.0059958954921564</v>
      </c>
      <c r="E1055" s="885">
        <v>0.98089022233609025</v>
      </c>
      <c r="F1055" s="885">
        <v>1.0177591981710772</v>
      </c>
      <c r="G1055" s="885">
        <v>1.0320464142062347</v>
      </c>
      <c r="H1055" s="885">
        <v>1.0059984336391774</v>
      </c>
      <c r="I1055" s="885">
        <v>1.0393118756539286</v>
      </c>
      <c r="K1055">
        <v>1.9547016690007115</v>
      </c>
      <c r="L1055">
        <v>0</v>
      </c>
      <c r="M1055">
        <v>2.0696413640065615E-3</v>
      </c>
      <c r="N1055">
        <v>0.19648474944355848</v>
      </c>
      <c r="O1055">
        <v>2.5445406710119019E-2</v>
      </c>
      <c r="P1055">
        <v>2.102972840275253E-2</v>
      </c>
      <c r="Q1055">
        <v>2.9333252092925695E-3</v>
      </c>
      <c r="R1055">
        <v>2.0573556406973913E-3</v>
      </c>
      <c r="S1055">
        <v>0.21713510040715822</v>
      </c>
      <c r="T1055">
        <v>1.0601348045761525</v>
      </c>
      <c r="U1055">
        <v>3.7872213483620729E-2</v>
      </c>
      <c r="V1055">
        <v>0.24914152227720596</v>
      </c>
      <c r="W1055">
        <v>0.11900402947028826</v>
      </c>
      <c r="X1055">
        <v>1.9933630896997016E-2</v>
      </c>
      <c r="Y1055">
        <v>5.5994438468736155E-3</v>
      </c>
    </row>
    <row r="1056" spans="1:25" x14ac:dyDescent="0.25">
      <c r="A1056" s="881"/>
      <c r="B1056" s="1131">
        <v>806</v>
      </c>
      <c r="C1056" s="885">
        <v>0.98884845497194751</v>
      </c>
      <c r="D1056" s="885">
        <v>0.98342446056763644</v>
      </c>
      <c r="E1056" s="885">
        <v>0.99532290276188418</v>
      </c>
      <c r="F1056" s="885">
        <v>1.0247575633538206</v>
      </c>
      <c r="G1056" s="885">
        <v>0.9960268747981933</v>
      </c>
      <c r="H1056" s="885">
        <v>1.0029315860326702</v>
      </c>
      <c r="I1056" s="885">
        <v>0.98177494133827592</v>
      </c>
      <c r="K1056">
        <v>1.9506727817788132</v>
      </c>
      <c r="L1056">
        <v>0</v>
      </c>
      <c r="M1056">
        <v>2.0172797891691335E-3</v>
      </c>
      <c r="N1056">
        <v>0.20031515212374212</v>
      </c>
      <c r="O1056">
        <v>2.5644018954993374E-2</v>
      </c>
      <c r="P1056">
        <v>2.1124147226931098E-2</v>
      </c>
      <c r="Q1056">
        <v>2.9949561601058119E-3</v>
      </c>
      <c r="R1056">
        <v>2.0052871921732345E-3</v>
      </c>
      <c r="S1056">
        <v>0.2062367070920802</v>
      </c>
      <c r="T1056">
        <v>1.0588023793744994</v>
      </c>
      <c r="U1056">
        <v>3.7741183103709948E-2</v>
      </c>
      <c r="V1056">
        <v>0.2515188743383639</v>
      </c>
      <c r="W1056">
        <v>0.12012182589492607</v>
      </c>
      <c r="X1056">
        <v>2.0727799412104692E-2</v>
      </c>
      <c r="Y1056">
        <v>5.4577306943503039E-3</v>
      </c>
    </row>
    <row r="1057" spans="1:25" x14ac:dyDescent="0.25">
      <c r="A1057" s="881"/>
      <c r="B1057" s="1131">
        <v>807</v>
      </c>
      <c r="C1057" s="885">
        <v>0.9600996138317085</v>
      </c>
      <c r="D1057" s="885">
        <v>1.0048963390957684</v>
      </c>
      <c r="E1057" s="885">
        <v>1.001105142768655</v>
      </c>
      <c r="F1057" s="885">
        <v>0.98636390624991865</v>
      </c>
      <c r="G1057" s="885">
        <v>0.96965641452722751</v>
      </c>
      <c r="H1057" s="885">
        <v>0.96449193343030204</v>
      </c>
      <c r="I1057" s="885">
        <v>0.99327047333982166</v>
      </c>
      <c r="K1057">
        <v>1.9509872748146633</v>
      </c>
      <c r="L1057">
        <v>0</v>
      </c>
      <c r="M1057">
        <v>1.9528859912796785E-3</v>
      </c>
      <c r="N1057">
        <v>0.1973924831160449</v>
      </c>
      <c r="O1057">
        <v>2.613079242800587E-2</v>
      </c>
      <c r="P1057">
        <v>2.1279039232569106E-2</v>
      </c>
      <c r="Q1057">
        <v>3.0742506033912135E-3</v>
      </c>
      <c r="R1057">
        <v>1.940795376151875E-3</v>
      </c>
      <c r="S1057">
        <v>0.20876216827772218</v>
      </c>
      <c r="T1057">
        <v>1.0582708359566384</v>
      </c>
      <c r="U1057">
        <v>3.887129008621662E-2</v>
      </c>
      <c r="V1057">
        <v>0.25303566109452003</v>
      </c>
      <c r="W1057">
        <v>0.11790122717046951</v>
      </c>
      <c r="X1057">
        <v>2.0999412233352201E-2</v>
      </c>
      <c r="Y1057">
        <v>5.2822052308616014E-3</v>
      </c>
    </row>
    <row r="1058" spans="1:25" x14ac:dyDescent="0.25">
      <c r="A1058" s="881"/>
      <c r="B1058" s="1131">
        <v>808</v>
      </c>
      <c r="C1058" s="885">
        <v>0.97975191323757183</v>
      </c>
      <c r="D1058" s="885">
        <v>1.0065067535637133</v>
      </c>
      <c r="E1058" s="885">
        <v>0.98525707446613919</v>
      </c>
      <c r="F1058" s="885">
        <v>1.0375458990913857</v>
      </c>
      <c r="G1058" s="885">
        <v>1.0053899925813348</v>
      </c>
      <c r="H1058" s="885">
        <v>0.99830324601694853</v>
      </c>
      <c r="I1058" s="885">
        <v>1.0138760086865133</v>
      </c>
      <c r="K1058">
        <v>1.9510262054738516</v>
      </c>
      <c r="L1058">
        <v>0</v>
      </c>
      <c r="M1058">
        <v>2.0463336240049328E-3</v>
      </c>
      <c r="N1058">
        <v>0.19692358687345418</v>
      </c>
      <c r="O1058">
        <v>2.5586376924192893E-2</v>
      </c>
      <c r="P1058">
        <v>2.104057196771111E-2</v>
      </c>
      <c r="Q1058">
        <v>2.9627789185795363E-3</v>
      </c>
      <c r="R1058">
        <v>2.0340921945890679E-3</v>
      </c>
      <c r="S1058">
        <v>0.21219507773775689</v>
      </c>
      <c r="T1058">
        <v>1.0597308029542547</v>
      </c>
      <c r="U1058">
        <v>3.8091592470172027E-2</v>
      </c>
      <c r="V1058">
        <v>0.24990518149789101</v>
      </c>
      <c r="W1058">
        <v>0.11890973993532283</v>
      </c>
      <c r="X1058">
        <v>2.0156609208571326E-2</v>
      </c>
      <c r="Y1058">
        <v>5.5361284153597071E-3</v>
      </c>
    </row>
    <row r="1059" spans="1:25" x14ac:dyDescent="0.25">
      <c r="A1059" s="881"/>
      <c r="B1059" s="1131">
        <v>809</v>
      </c>
      <c r="C1059" s="885">
        <v>0.99459044777087335</v>
      </c>
      <c r="D1059" s="885">
        <v>1.0367412359250394</v>
      </c>
      <c r="E1059" s="885">
        <v>0.98928279798672003</v>
      </c>
      <c r="F1059" s="885">
        <v>0.99505249480062075</v>
      </c>
      <c r="G1059" s="885">
        <v>0.99057508498913183</v>
      </c>
      <c r="H1059" s="885">
        <v>1.0108591515948615</v>
      </c>
      <c r="I1059" s="885">
        <v>0.98660613432599109</v>
      </c>
      <c r="K1059">
        <v>1.9283621690434232</v>
      </c>
      <c r="L1059">
        <v>0</v>
      </c>
      <c r="M1059">
        <v>1.9946345982349732E-3</v>
      </c>
      <c r="N1059">
        <v>0.19438211460499824</v>
      </c>
      <c r="O1059">
        <v>2.4839155228550267E-2</v>
      </c>
      <c r="P1059">
        <v>2.0874617613977617E-2</v>
      </c>
      <c r="Q1059">
        <v>2.8939086257016677E-3</v>
      </c>
      <c r="R1059">
        <v>1.9828266821611345E-3</v>
      </c>
      <c r="S1059">
        <v>0.20190897856403464</v>
      </c>
      <c r="T1059">
        <v>1.0593590169794518</v>
      </c>
      <c r="U1059">
        <v>3.7523294824076653E-2</v>
      </c>
      <c r="V1059">
        <v>0.24414344714217318</v>
      </c>
      <c r="W1059">
        <v>0.11704934860317816</v>
      </c>
      <c r="X1059">
        <v>2.0003494183150717E-2</v>
      </c>
      <c r="Y1059">
        <v>5.3966005902025029E-3</v>
      </c>
    </row>
    <row r="1060" spans="1:25" x14ac:dyDescent="0.25">
      <c r="A1060" s="881"/>
      <c r="B1060" s="1131">
        <v>810</v>
      </c>
      <c r="C1060" s="885">
        <v>1.0023830557093085</v>
      </c>
      <c r="D1060" s="885">
        <v>0.99276939339011405</v>
      </c>
      <c r="E1060" s="885">
        <v>0.96599213732504663</v>
      </c>
      <c r="F1060" s="885">
        <v>1.0122468821433759</v>
      </c>
      <c r="G1060" s="885">
        <v>0.99807314385210544</v>
      </c>
      <c r="H1060" s="885">
        <v>0.99969120651568899</v>
      </c>
      <c r="I1060" s="885">
        <v>0.99742408743599476</v>
      </c>
      <c r="K1060">
        <v>1.9326162995507032</v>
      </c>
      <c r="L1060">
        <v>0</v>
      </c>
      <c r="M1060">
        <v>2.0997433059311023E-3</v>
      </c>
      <c r="N1060">
        <v>0.19029042316500719</v>
      </c>
      <c r="O1060">
        <v>2.5179414185003603E-2</v>
      </c>
      <c r="P1060">
        <v>2.0636080225546777E-2</v>
      </c>
      <c r="Q1060">
        <v>2.856243932535966E-3</v>
      </c>
      <c r="R1060">
        <v>2.0872117537731405E-3</v>
      </c>
      <c r="S1060">
        <v>0.20547035118184848</v>
      </c>
      <c r="T1060">
        <v>1.0615186705208453</v>
      </c>
      <c r="U1060">
        <v>3.7231585658147603E-2</v>
      </c>
      <c r="V1060">
        <v>0.24837344408181433</v>
      </c>
      <c r="W1060">
        <v>0.11645552540276873</v>
      </c>
      <c r="X1060">
        <v>1.8936390404741696E-2</v>
      </c>
      <c r="Y1060">
        <v>5.6807023446007751E-3</v>
      </c>
    </row>
    <row r="1061" spans="1:25" x14ac:dyDescent="0.25">
      <c r="A1061" s="881"/>
      <c r="B1061" s="1131">
        <v>811</v>
      </c>
      <c r="C1061" s="885">
        <v>0.99828947483427777</v>
      </c>
      <c r="D1061" s="885">
        <v>1.0031445138998725</v>
      </c>
      <c r="E1061" s="885">
        <v>0.98007014026174699</v>
      </c>
      <c r="F1061" s="885">
        <v>1.014703980394535</v>
      </c>
      <c r="G1061" s="885">
        <v>1.0147704946218985</v>
      </c>
      <c r="H1061" s="885">
        <v>1.0162104653535462</v>
      </c>
      <c r="I1061" s="885">
        <v>0.99576336058918213</v>
      </c>
      <c r="K1061">
        <v>1.9410090864153018</v>
      </c>
      <c r="L1061">
        <v>0</v>
      </c>
      <c r="M1061">
        <v>2.0701725910430759E-3</v>
      </c>
      <c r="N1061">
        <v>0.19604565530327181</v>
      </c>
      <c r="O1061">
        <v>2.5152853468933794E-2</v>
      </c>
      <c r="P1061">
        <v>2.0850247358763188E-2</v>
      </c>
      <c r="Q1061">
        <v>2.8966126091853213E-3</v>
      </c>
      <c r="R1061">
        <v>2.0580095945569843E-3</v>
      </c>
      <c r="S1061">
        <v>0.20665333552435247</v>
      </c>
      <c r="T1061">
        <v>1.0602107574262665</v>
      </c>
      <c r="U1061">
        <v>3.73842573138541E-2</v>
      </c>
      <c r="V1061">
        <v>0.24766000043764638</v>
      </c>
      <c r="W1061">
        <v>0.11880564929861091</v>
      </c>
      <c r="X1061">
        <v>1.9760656977198254E-2</v>
      </c>
      <c r="Y1061">
        <v>5.6012236937035961E-3</v>
      </c>
    </row>
    <row r="1062" spans="1:25" x14ac:dyDescent="0.25">
      <c r="A1062" s="881"/>
      <c r="B1062" s="1131">
        <v>812</v>
      </c>
      <c r="C1062" s="885">
        <v>0.96309133770774669</v>
      </c>
      <c r="D1062" s="885">
        <v>1.0169126293282187</v>
      </c>
      <c r="E1062" s="885">
        <v>1.011238748338956</v>
      </c>
      <c r="F1062" s="885">
        <v>0.99421707603479292</v>
      </c>
      <c r="G1062" s="885">
        <v>0.98786311567990082</v>
      </c>
      <c r="H1062" s="885">
        <v>0.99223438405561748</v>
      </c>
      <c r="I1062" s="885">
        <v>0.9596160872704057</v>
      </c>
      <c r="K1062">
        <v>1.9510357711506894</v>
      </c>
      <c r="L1062">
        <v>0</v>
      </c>
      <c r="M1062">
        <v>1.9490144355662792E-3</v>
      </c>
      <c r="N1062">
        <v>0.20334238162514268</v>
      </c>
      <c r="O1062">
        <v>2.5897025386041512E-2</v>
      </c>
      <c r="P1062">
        <v>2.1315376474346021E-2</v>
      </c>
      <c r="Q1062">
        <v>3.0803738784448329E-3</v>
      </c>
      <c r="R1062">
        <v>1.9372755487723019E-3</v>
      </c>
      <c r="S1062">
        <v>0.20274563717815358</v>
      </c>
      <c r="T1062">
        <v>1.0573424279379517</v>
      </c>
      <c r="U1062">
        <v>3.8750541241231527E-2</v>
      </c>
      <c r="V1062">
        <v>0.25106863475556079</v>
      </c>
      <c r="W1062">
        <v>0.12061941772544885</v>
      </c>
      <c r="X1062">
        <v>2.1613068414116102E-2</v>
      </c>
      <c r="Y1062">
        <v>5.272625421045187E-3</v>
      </c>
    </row>
    <row r="1063" spans="1:25" x14ac:dyDescent="0.25">
      <c r="A1063" s="881"/>
      <c r="B1063" s="1131">
        <v>813</v>
      </c>
      <c r="C1063" s="885">
        <v>1.0366213146906802</v>
      </c>
      <c r="D1063" s="885">
        <v>1.0360941838756468</v>
      </c>
      <c r="E1063" s="885">
        <v>0.96240020924502734</v>
      </c>
      <c r="F1063" s="885">
        <v>0.98981191784564881</v>
      </c>
      <c r="G1063" s="885">
        <v>0.9815102306157204</v>
      </c>
      <c r="H1063" s="885">
        <v>0.99657797192726016</v>
      </c>
      <c r="I1063" s="885">
        <v>0.9812780118966864</v>
      </c>
      <c r="K1063">
        <v>1.8867763683847329</v>
      </c>
      <c r="L1063">
        <v>0</v>
      </c>
      <c r="M1063">
        <v>1.9968007199186373E-3</v>
      </c>
      <c r="N1063">
        <v>0.17893838040388341</v>
      </c>
      <c r="O1063">
        <v>2.3839356106483654E-2</v>
      </c>
      <c r="P1063">
        <v>2.0250992566899242E-2</v>
      </c>
      <c r="Q1063">
        <v>2.7022768169155864E-3</v>
      </c>
      <c r="R1063">
        <v>1.9848110975630639E-3</v>
      </c>
      <c r="S1063">
        <v>0.19138678295015657</v>
      </c>
      <c r="T1063">
        <v>1.0618536050558873</v>
      </c>
      <c r="U1063">
        <v>3.6001874620968065E-2</v>
      </c>
      <c r="V1063">
        <v>0.23862290944288633</v>
      </c>
      <c r="W1063">
        <v>0.10978454613088738</v>
      </c>
      <c r="X1063">
        <v>1.800563239735371E-2</v>
      </c>
      <c r="Y1063">
        <v>5.4020015147641922E-3</v>
      </c>
    </row>
    <row r="1064" spans="1:25" x14ac:dyDescent="0.25">
      <c r="A1064" s="881"/>
      <c r="B1064" s="1131">
        <v>814</v>
      </c>
      <c r="C1064" s="885">
        <v>0.99399548643111235</v>
      </c>
      <c r="D1064" s="885">
        <v>0.96412865412451909</v>
      </c>
      <c r="E1064" s="885">
        <v>1.0044063166752433</v>
      </c>
      <c r="F1064" s="885">
        <v>1.0114633649894056</v>
      </c>
      <c r="G1064" s="885">
        <v>1.0038604107081743</v>
      </c>
      <c r="H1064" s="885">
        <v>0.98514045367982961</v>
      </c>
      <c r="I1064" s="885">
        <v>0.97092164238518908</v>
      </c>
      <c r="K1064">
        <v>1.9465555479262979</v>
      </c>
      <c r="L1064">
        <v>0</v>
      </c>
      <c r="M1064">
        <v>1.9530028196821975E-3</v>
      </c>
      <c r="N1064">
        <v>0.19947127787130689</v>
      </c>
      <c r="O1064">
        <v>2.5763630146884164E-2</v>
      </c>
      <c r="P1064">
        <v>2.1233516912807268E-2</v>
      </c>
      <c r="Q1064">
        <v>3.0322854158887796E-3</v>
      </c>
      <c r="R1064">
        <v>1.9411990758851766E-3</v>
      </c>
      <c r="S1064">
        <v>0.20297160058395855</v>
      </c>
      <c r="T1064">
        <v>1.0579679533402502</v>
      </c>
      <c r="U1064">
        <v>3.7545754593829667E-2</v>
      </c>
      <c r="V1064">
        <v>0.25330614045201583</v>
      </c>
      <c r="W1064">
        <v>0.11887457742976712</v>
      </c>
      <c r="X1064">
        <v>2.1117310954930763E-2</v>
      </c>
      <c r="Y1064">
        <v>5.2833039684560658E-3</v>
      </c>
    </row>
    <row r="1065" spans="1:25" x14ac:dyDescent="0.25">
      <c r="A1065" s="881"/>
      <c r="B1065" s="1131">
        <v>815</v>
      </c>
      <c r="C1065" s="885">
        <v>1.0195501591223506</v>
      </c>
      <c r="D1065" s="885">
        <v>0.99459961121845408</v>
      </c>
      <c r="E1065" s="885">
        <v>0.99407724187981161</v>
      </c>
      <c r="F1065" s="885">
        <v>1.0086368087294011</v>
      </c>
      <c r="G1065" s="885">
        <v>0.96576119590837961</v>
      </c>
      <c r="H1065" s="885">
        <v>0.97127088775835291</v>
      </c>
      <c r="I1065" s="885">
        <v>0.99797016795227533</v>
      </c>
      <c r="K1065">
        <v>1.9128819842587144</v>
      </c>
      <c r="L1065">
        <v>0</v>
      </c>
      <c r="M1065">
        <v>1.889139141181448E-3</v>
      </c>
      <c r="N1065">
        <v>0.18682763004039743</v>
      </c>
      <c r="O1065">
        <v>2.4732866195297392E-2</v>
      </c>
      <c r="P1065">
        <v>2.0915692358869066E-2</v>
      </c>
      <c r="Q1065">
        <v>2.8872021977646065E-3</v>
      </c>
      <c r="R1065">
        <v>1.8775331111233898E-3</v>
      </c>
      <c r="S1065">
        <v>0.19912746983358104</v>
      </c>
      <c r="T1065">
        <v>1.0589170595241764</v>
      </c>
      <c r="U1065">
        <v>3.6604683219355248E-2</v>
      </c>
      <c r="V1065">
        <v>0.24575996251289906</v>
      </c>
      <c r="W1065">
        <v>0.11212972708169282</v>
      </c>
      <c r="X1065">
        <v>1.9881271124882697E-2</v>
      </c>
      <c r="Y1065">
        <v>5.1100261998541273E-3</v>
      </c>
    </row>
    <row r="1066" spans="1:25" x14ac:dyDescent="0.25">
      <c r="A1066" s="881"/>
      <c r="B1066" s="1131">
        <v>816</v>
      </c>
      <c r="C1066" s="885">
        <v>0.97128903911860731</v>
      </c>
      <c r="D1066" s="885">
        <v>0.98835065614926243</v>
      </c>
      <c r="E1066" s="885">
        <v>0.98169636875207078</v>
      </c>
      <c r="F1066" s="885">
        <v>0.99880312518248715</v>
      </c>
      <c r="G1066" s="885">
        <v>1.018583072979534</v>
      </c>
      <c r="H1066" s="885">
        <v>0.99811588423308217</v>
      </c>
      <c r="I1066" s="885">
        <v>0.9644329896606133</v>
      </c>
      <c r="K1066">
        <v>1.9536464043892938</v>
      </c>
      <c r="L1066">
        <v>0</v>
      </c>
      <c r="M1066">
        <v>2.0980802369111292E-3</v>
      </c>
      <c r="N1066">
        <v>0.1996775764732967</v>
      </c>
      <c r="O1066">
        <v>2.6043003524052873E-2</v>
      </c>
      <c r="P1066">
        <v>2.0948077631301059E-2</v>
      </c>
      <c r="Q1066">
        <v>3.0009659146986519E-3</v>
      </c>
      <c r="R1066">
        <v>2.0855427396400837E-3</v>
      </c>
      <c r="S1066">
        <v>0.20529601135558517</v>
      </c>
      <c r="T1066">
        <v>1.0600601678200252</v>
      </c>
      <c r="U1066">
        <v>3.8423485798607472E-2</v>
      </c>
      <c r="V1066">
        <v>0.25348228869134087</v>
      </c>
      <c r="W1066">
        <v>0.12087024499667186</v>
      </c>
      <c r="X1066">
        <v>2.018095984266215E-2</v>
      </c>
      <c r="Y1066">
        <v>5.6761598383209561E-3</v>
      </c>
    </row>
    <row r="1067" spans="1:25" x14ac:dyDescent="0.25">
      <c r="A1067" s="881"/>
      <c r="B1067" s="1131">
        <v>817</v>
      </c>
      <c r="C1067" s="885">
        <v>0.97278740368495453</v>
      </c>
      <c r="D1067" s="885">
        <v>0.99793712334114504</v>
      </c>
      <c r="E1067" s="885">
        <v>0.99658462221917454</v>
      </c>
      <c r="F1067" s="885">
        <v>0.98015489594405003</v>
      </c>
      <c r="G1067" s="885">
        <v>0.99265140359511739</v>
      </c>
      <c r="H1067" s="885">
        <v>0.99624180293524378</v>
      </c>
      <c r="I1067" s="885">
        <v>1.0257916877848492</v>
      </c>
      <c r="K1067">
        <v>1.9640041299064388</v>
      </c>
      <c r="L1067">
        <v>0</v>
      </c>
      <c r="M1067">
        <v>2.0168216412354066E-3</v>
      </c>
      <c r="N1067">
        <v>0.20104825933081244</v>
      </c>
      <c r="O1067">
        <v>2.587882616769447E-2</v>
      </c>
      <c r="P1067">
        <v>2.1302366574314616E-2</v>
      </c>
      <c r="Q1067">
        <v>3.0293282091945041E-3</v>
      </c>
      <c r="R1067">
        <v>2.0047389457460087E-3</v>
      </c>
      <c r="S1067">
        <v>0.21685584868224855</v>
      </c>
      <c r="T1067">
        <v>1.0586862823727838</v>
      </c>
      <c r="U1067">
        <v>3.8364302888324965E-2</v>
      </c>
      <c r="V1067">
        <v>0.25201719722979771</v>
      </c>
      <c r="W1067">
        <v>0.12045711144129814</v>
      </c>
      <c r="X1067">
        <v>2.0920451157155694E-2</v>
      </c>
      <c r="Y1067">
        <v>5.4562385483047822E-3</v>
      </c>
    </row>
    <row r="1068" spans="1:25" x14ac:dyDescent="0.25">
      <c r="A1068" s="881"/>
      <c r="B1068" s="1131">
        <v>818</v>
      </c>
      <c r="C1068" s="885">
        <v>0.98532589007502247</v>
      </c>
      <c r="D1068" s="885">
        <v>0.99286320186141785</v>
      </c>
      <c r="E1068" s="885">
        <v>0.9839159376474178</v>
      </c>
      <c r="F1068" s="885">
        <v>0.9762687871455642</v>
      </c>
      <c r="G1068" s="885">
        <v>1.0069987818163078</v>
      </c>
      <c r="H1068" s="885">
        <v>0.97952554638743705</v>
      </c>
      <c r="I1068" s="885">
        <v>1.0352156445451679</v>
      </c>
      <c r="K1068">
        <v>1.9482662765933072</v>
      </c>
      <c r="L1068">
        <v>0</v>
      </c>
      <c r="M1068">
        <v>2.0156782850869522E-3</v>
      </c>
      <c r="N1068">
        <v>0.19314380973284342</v>
      </c>
      <c r="O1068">
        <v>2.5614100652531942E-2</v>
      </c>
      <c r="P1068">
        <v>2.1065211366186051E-2</v>
      </c>
      <c r="Q1068">
        <v>2.9591420650200446E-3</v>
      </c>
      <c r="R1068">
        <v>2.0034007033151707E-3</v>
      </c>
      <c r="S1068">
        <v>0.2147860375848476</v>
      </c>
      <c r="T1068">
        <v>1.0598548001818069</v>
      </c>
      <c r="U1068">
        <v>3.7876108784754815E-2</v>
      </c>
      <c r="V1068">
        <v>0.25081587693742236</v>
      </c>
      <c r="W1068">
        <v>0.11673560591449454</v>
      </c>
      <c r="X1068">
        <v>1.9975264661608885E-2</v>
      </c>
      <c r="Y1068">
        <v>5.4525962935595392E-3</v>
      </c>
    </row>
    <row r="1069" spans="1:25" x14ac:dyDescent="0.25">
      <c r="A1069" s="881"/>
      <c r="B1069" s="1131">
        <v>819</v>
      </c>
      <c r="C1069" s="885">
        <v>0.95914382942737553</v>
      </c>
      <c r="D1069" s="885">
        <v>0.99399135916630865</v>
      </c>
      <c r="E1069" s="885">
        <v>1.0267799922056526</v>
      </c>
      <c r="F1069" s="885">
        <v>0.97519429988367157</v>
      </c>
      <c r="G1069" s="885">
        <v>1.043268490177222</v>
      </c>
      <c r="H1069" s="885">
        <v>0.99989839732122088</v>
      </c>
      <c r="I1069" s="885">
        <v>1.0142906631324606</v>
      </c>
      <c r="K1069">
        <v>1.9824349860161317</v>
      </c>
      <c r="L1069">
        <v>0</v>
      </c>
      <c r="M1069">
        <v>1.9300936208139815E-3</v>
      </c>
      <c r="N1069">
        <v>0.2113412905827578</v>
      </c>
      <c r="O1069">
        <v>2.6298496427581003E-2</v>
      </c>
      <c r="P1069">
        <v>2.18074741706905E-2</v>
      </c>
      <c r="Q1069">
        <v>3.1718272641498204E-3</v>
      </c>
      <c r="R1069">
        <v>1.9185759632247455E-3</v>
      </c>
      <c r="S1069">
        <v>0.21826318372399986</v>
      </c>
      <c r="T1069">
        <v>1.0559263802321828</v>
      </c>
      <c r="U1069">
        <v>3.8910025228643494E-2</v>
      </c>
      <c r="V1069">
        <v>0.25459739131837938</v>
      </c>
      <c r="W1069">
        <v>0.12405552536862145</v>
      </c>
      <c r="X1069">
        <v>2.2853178043212276E-2</v>
      </c>
      <c r="Y1069">
        <v>5.2217313135014577E-3</v>
      </c>
    </row>
    <row r="1070" spans="1:25" x14ac:dyDescent="0.25">
      <c r="A1070" s="881"/>
      <c r="B1070" s="1131">
        <v>820</v>
      </c>
      <c r="C1070" s="885">
        <v>0.99177874480267159</v>
      </c>
      <c r="D1070" s="885">
        <v>1.0390336479048534</v>
      </c>
      <c r="E1070" s="885">
        <v>0.99726335671963051</v>
      </c>
      <c r="F1070" s="885">
        <v>1.0037809921432896</v>
      </c>
      <c r="G1070" s="885">
        <v>1.0286710865972217</v>
      </c>
      <c r="H1070" s="885">
        <v>0.98934378695756098</v>
      </c>
      <c r="I1070" s="885">
        <v>1.009415291552509</v>
      </c>
      <c r="K1070">
        <v>1.926738373783083</v>
      </c>
      <c r="L1070">
        <v>0</v>
      </c>
      <c r="M1070">
        <v>1.923030112487896E-3</v>
      </c>
      <c r="N1070">
        <v>0.19209258866821524</v>
      </c>
      <c r="O1070">
        <v>2.4882494811191657E-2</v>
      </c>
      <c r="P1070">
        <v>2.1032209401211449E-2</v>
      </c>
      <c r="Q1070">
        <v>2.9228368300497696E-3</v>
      </c>
      <c r="R1070">
        <v>1.9113967623569257E-3</v>
      </c>
      <c r="S1070">
        <v>0.20477902591446928</v>
      </c>
      <c r="T1070">
        <v>1.058623854312996</v>
      </c>
      <c r="U1070">
        <v>3.7629673751822884E-2</v>
      </c>
      <c r="V1070">
        <v>0.24426120979181046</v>
      </c>
      <c r="W1070">
        <v>0.11503781081439547</v>
      </c>
      <c r="X1070">
        <v>2.0286110941686746E-2</v>
      </c>
      <c r="Y1070">
        <v>5.2021918953621803E-3</v>
      </c>
    </row>
    <row r="1071" spans="1:25" x14ac:dyDescent="0.25">
      <c r="A1071" s="881"/>
      <c r="B1071" s="1131">
        <v>821</v>
      </c>
      <c r="C1071" s="885">
        <v>1.0054365729107579</v>
      </c>
      <c r="D1071" s="885">
        <v>0.99710843499945323</v>
      </c>
      <c r="E1071" s="885">
        <v>0.99283382279709909</v>
      </c>
      <c r="F1071" s="885">
        <v>0.98491094533247581</v>
      </c>
      <c r="G1071" s="885">
        <v>0.96839472608657784</v>
      </c>
      <c r="H1071" s="885">
        <v>1.0197081495874305</v>
      </c>
      <c r="I1071" s="885">
        <v>0.99524808050253777</v>
      </c>
      <c r="K1071">
        <v>1.9420426660795107</v>
      </c>
      <c r="L1071">
        <v>0</v>
      </c>
      <c r="M1071">
        <v>2.0139469308672292E-3</v>
      </c>
      <c r="N1071">
        <v>0.19845927045410636</v>
      </c>
      <c r="O1071">
        <v>2.5048774422651292E-2</v>
      </c>
      <c r="P1071">
        <v>2.1020260568492665E-2</v>
      </c>
      <c r="Q1071">
        <v>2.9209280904959759E-3</v>
      </c>
      <c r="R1071">
        <v>2.0021597973553995E-3</v>
      </c>
      <c r="S1071">
        <v>0.20599837946442351</v>
      </c>
      <c r="T1071">
        <v>1.0590315934937298</v>
      </c>
      <c r="U1071">
        <v>3.7118513098120004E-2</v>
      </c>
      <c r="V1071">
        <v>0.24740127092611697</v>
      </c>
      <c r="W1071">
        <v>0.11921262248026129</v>
      </c>
      <c r="X1071">
        <v>2.0393621258023357E-2</v>
      </c>
      <c r="Y1071">
        <v>5.4492189566015814E-3</v>
      </c>
    </row>
    <row r="1072" spans="1:25" x14ac:dyDescent="0.25">
      <c r="A1072" s="881"/>
      <c r="B1072" s="1131">
        <v>822</v>
      </c>
      <c r="C1072" s="885">
        <v>0.97612519953994048</v>
      </c>
      <c r="D1072" s="885">
        <v>0.97637442934168661</v>
      </c>
      <c r="E1072" s="885">
        <v>0.98402256695934509</v>
      </c>
      <c r="F1072" s="885">
        <v>1.0242246243751432</v>
      </c>
      <c r="G1072" s="885">
        <v>1.0068370477539688</v>
      </c>
      <c r="H1072" s="885">
        <v>1.0045941695316176</v>
      </c>
      <c r="I1072" s="885">
        <v>1.0177530919557609</v>
      </c>
      <c r="K1072">
        <v>1.9697886713127875</v>
      </c>
      <c r="L1072">
        <v>0</v>
      </c>
      <c r="M1072">
        <v>2.1036717914254778E-3</v>
      </c>
      <c r="N1072">
        <v>0.20167461767798264</v>
      </c>
      <c r="O1072">
        <v>2.6071217564565506E-2</v>
      </c>
      <c r="P1072">
        <v>2.1155347398117114E-2</v>
      </c>
      <c r="Q1072">
        <v>3.0087389415736359E-3</v>
      </c>
      <c r="R1072">
        <v>2.091192575924872E-3</v>
      </c>
      <c r="S1072">
        <v>0.21747742087797983</v>
      </c>
      <c r="T1072">
        <v>1.0598449390208955</v>
      </c>
      <c r="U1072">
        <v>3.8233118680376654E-2</v>
      </c>
      <c r="V1072">
        <v>0.25433526824102304</v>
      </c>
      <c r="W1072">
        <v>0.121882610365858</v>
      </c>
      <c r="X1072">
        <v>2.0426334929694302E-2</v>
      </c>
      <c r="Y1072">
        <v>5.6915368302201171E-3</v>
      </c>
    </row>
    <row r="1073" spans="1:25" x14ac:dyDescent="0.25">
      <c r="A1073" s="881"/>
      <c r="B1073" s="1131">
        <v>823</v>
      </c>
      <c r="C1073" s="885">
        <v>0.99703417992515853</v>
      </c>
      <c r="D1073" s="885">
        <v>0.96625748696854719</v>
      </c>
      <c r="E1073" s="885">
        <v>0.97367332066337786</v>
      </c>
      <c r="F1073" s="885">
        <v>0.99833751809784799</v>
      </c>
      <c r="G1073" s="885">
        <v>1.0151672474192113</v>
      </c>
      <c r="H1073" s="885">
        <v>0.98011663209207822</v>
      </c>
      <c r="I1073" s="885">
        <v>1.0163390141416373</v>
      </c>
      <c r="K1073">
        <v>1.9445836201707667</v>
      </c>
      <c r="L1073">
        <v>0</v>
      </c>
      <c r="M1073">
        <v>2.0641476726360694E-3</v>
      </c>
      <c r="N1073">
        <v>0.19157817295150922</v>
      </c>
      <c r="O1073">
        <v>2.5656945127236843E-2</v>
      </c>
      <c r="P1073">
        <v>2.0882370185527199E-2</v>
      </c>
      <c r="Q1073">
        <v>2.9277736050368659E-3</v>
      </c>
      <c r="R1073">
        <v>2.0516062883096597E-3</v>
      </c>
      <c r="S1073">
        <v>0.21107607621983504</v>
      </c>
      <c r="T1073">
        <v>1.0608041010758107</v>
      </c>
      <c r="U1073">
        <v>3.7431325176553384E-2</v>
      </c>
      <c r="V1073">
        <v>0.25257634310482641</v>
      </c>
      <c r="W1073">
        <v>0.11661591894483023</v>
      </c>
      <c r="X1073">
        <v>1.946333915898071E-2</v>
      </c>
      <c r="Y1073">
        <v>5.5837960049477152E-3</v>
      </c>
    </row>
    <row r="1074" spans="1:25" x14ac:dyDescent="0.25">
      <c r="A1074" s="881"/>
      <c r="B1074" s="1131">
        <v>824</v>
      </c>
      <c r="C1074" s="885">
        <v>1.0109340221414462</v>
      </c>
      <c r="D1074" s="885">
        <v>1.014147886818614</v>
      </c>
      <c r="E1074" s="885">
        <v>1.0085431473265594</v>
      </c>
      <c r="F1074" s="885">
        <v>1.0044626762906388</v>
      </c>
      <c r="G1074" s="885">
        <v>0.97248335634660088</v>
      </c>
      <c r="H1074" s="885">
        <v>0.99817463855200805</v>
      </c>
      <c r="I1074" s="885">
        <v>0.98988891382221655</v>
      </c>
      <c r="K1074">
        <v>1.9240776242976616</v>
      </c>
      <c r="L1074">
        <v>0</v>
      </c>
      <c r="M1074">
        <v>1.8810685842913981E-3</v>
      </c>
      <c r="N1074">
        <v>0.19462300225473117</v>
      </c>
      <c r="O1074">
        <v>2.4704641531099785E-2</v>
      </c>
      <c r="P1074">
        <v>2.1125066163181178E-2</v>
      </c>
      <c r="Q1074">
        <v>2.9300828995047984E-3</v>
      </c>
      <c r="R1074">
        <v>1.869808468568936E-3</v>
      </c>
      <c r="S1074">
        <v>0.20007704086412229</v>
      </c>
      <c r="T1074">
        <v>1.0575889991021659</v>
      </c>
      <c r="U1074">
        <v>3.6916662990391667E-2</v>
      </c>
      <c r="V1074">
        <v>0.2445599457058896</v>
      </c>
      <c r="W1074">
        <v>0.11565888850988389</v>
      </c>
      <c r="X1074">
        <v>2.0815552123164029E-2</v>
      </c>
      <c r="Y1074">
        <v>5.0890022692486369E-3</v>
      </c>
    </row>
    <row r="1075" spans="1:25" x14ac:dyDescent="0.25">
      <c r="A1075" s="881"/>
      <c r="B1075" s="1131">
        <v>825</v>
      </c>
      <c r="C1075" s="885">
        <v>1.0202040775963903</v>
      </c>
      <c r="D1075" s="885">
        <v>1.0006244567145703</v>
      </c>
      <c r="E1075" s="885">
        <v>1.0065521507490098</v>
      </c>
      <c r="F1075" s="885">
        <v>0.96325544730808954</v>
      </c>
      <c r="G1075" s="885">
        <v>1.0213955941315429</v>
      </c>
      <c r="H1075" s="885">
        <v>1.0046248898960324</v>
      </c>
      <c r="I1075" s="885">
        <v>0.96725850227973764</v>
      </c>
      <c r="K1075">
        <v>1.920309906480302</v>
      </c>
      <c r="L1075">
        <v>0</v>
      </c>
      <c r="M1075">
        <v>1.8964500518397322E-3</v>
      </c>
      <c r="N1075">
        <v>0.19501209030130365</v>
      </c>
      <c r="O1075">
        <v>2.4643210175848286E-2</v>
      </c>
      <c r="P1075">
        <v>2.1034753180565548E-2</v>
      </c>
      <c r="Q1075">
        <v>2.9142578590401163E-3</v>
      </c>
      <c r="R1075">
        <v>1.885181203575512E-3</v>
      </c>
      <c r="S1075">
        <v>0.19554143951015759</v>
      </c>
      <c r="T1075">
        <v>1.0577713009604679</v>
      </c>
      <c r="U1075">
        <v>3.6581220777752527E-2</v>
      </c>
      <c r="V1075">
        <v>0.24493522497777725</v>
      </c>
      <c r="W1075">
        <v>0.11604726948033134</v>
      </c>
      <c r="X1075">
        <v>2.0709566319004027E-2</v>
      </c>
      <c r="Y1075">
        <v>5.1308417863158021E-3</v>
      </c>
    </row>
    <row r="1076" spans="1:25" x14ac:dyDescent="0.25">
      <c r="A1076" s="881"/>
      <c r="B1076" s="1131">
        <v>826</v>
      </c>
      <c r="C1076" s="885">
        <v>0.98750476230691298</v>
      </c>
      <c r="D1076" s="885">
        <v>0.97970147908186644</v>
      </c>
      <c r="E1076" s="885">
        <v>0.98713780064787304</v>
      </c>
      <c r="F1076" s="885">
        <v>0.98152795501014767</v>
      </c>
      <c r="G1076" s="885">
        <v>0.98277073824267858</v>
      </c>
      <c r="H1076" s="885">
        <v>1.0106757060376543</v>
      </c>
      <c r="I1076" s="885">
        <v>1.0229636621608769</v>
      </c>
      <c r="K1076">
        <v>1.9638170142490485</v>
      </c>
      <c r="L1076">
        <v>0</v>
      </c>
      <c r="M1076">
        <v>2.0748648261650956E-3</v>
      </c>
      <c r="N1076">
        <v>0.2008591687805317</v>
      </c>
      <c r="O1076">
        <v>2.5727293675666538E-2</v>
      </c>
      <c r="P1076">
        <v>2.1151591526323902E-2</v>
      </c>
      <c r="Q1076">
        <v>2.9791484683974051E-3</v>
      </c>
      <c r="R1076">
        <v>2.0626276471838439E-3</v>
      </c>
      <c r="S1076">
        <v>0.21637762441044417</v>
      </c>
      <c r="T1076">
        <v>1.0595570346688792</v>
      </c>
      <c r="U1076">
        <v>3.7792537337979784E-2</v>
      </c>
      <c r="V1076">
        <v>0.25219498758606573</v>
      </c>
      <c r="W1076">
        <v>0.12112869810711954</v>
      </c>
      <c r="X1076">
        <v>2.0447374356008258E-2</v>
      </c>
      <c r="Y1076">
        <v>5.6137925106132672E-3</v>
      </c>
    </row>
    <row r="1077" spans="1:25" x14ac:dyDescent="0.25">
      <c r="A1077" s="881"/>
      <c r="B1077" s="1131">
        <v>827</v>
      </c>
      <c r="C1077" s="885">
        <v>0.99815949452594011</v>
      </c>
      <c r="D1077" s="885">
        <v>0.9867926662081713</v>
      </c>
      <c r="E1077" s="885">
        <v>1.0292964951867773</v>
      </c>
      <c r="F1077" s="885">
        <v>0.99121053007402138</v>
      </c>
      <c r="G1077" s="885">
        <v>0.97955161182084449</v>
      </c>
      <c r="H1077" s="885">
        <v>0.97549217603550487</v>
      </c>
      <c r="I1077" s="885">
        <v>0.98127762281175235</v>
      </c>
      <c r="K1077">
        <v>1.9369807317962175</v>
      </c>
      <c r="L1077">
        <v>0</v>
      </c>
      <c r="M1077">
        <v>1.8062672754732198E-3</v>
      </c>
      <c r="N1077">
        <v>0.1993045470879066</v>
      </c>
      <c r="O1077">
        <v>2.5361757294982076E-2</v>
      </c>
      <c r="P1077">
        <v>2.1516506375070524E-2</v>
      </c>
      <c r="Q1077">
        <v>3.0649166768395683E-3</v>
      </c>
      <c r="R1077">
        <v>1.7952244499367714E-3</v>
      </c>
      <c r="S1077">
        <v>0.20114045326530314</v>
      </c>
      <c r="T1077">
        <v>1.0556979764905712</v>
      </c>
      <c r="U1077">
        <v>3.7389125491053471E-2</v>
      </c>
      <c r="V1077">
        <v>0.24973698034696926</v>
      </c>
      <c r="W1077">
        <v>0.1167926726371743</v>
      </c>
      <c r="X1077">
        <v>2.2100829798737495E-2</v>
      </c>
      <c r="Y1077">
        <v>4.8860091571470204E-3</v>
      </c>
    </row>
    <row r="1078" spans="1:25" x14ac:dyDescent="0.25">
      <c r="A1078" s="881"/>
      <c r="B1078" s="1131">
        <v>828</v>
      </c>
      <c r="C1078" s="885">
        <v>1.0138326259451409</v>
      </c>
      <c r="D1078" s="885">
        <v>1.0101449301908831</v>
      </c>
      <c r="E1078" s="885">
        <v>1.0356145629454696</v>
      </c>
      <c r="F1078" s="885">
        <v>0.99898011686904176</v>
      </c>
      <c r="G1078" s="885">
        <v>1.0079417125033883</v>
      </c>
      <c r="H1078" s="885">
        <v>0.99839213567818086</v>
      </c>
      <c r="I1078" s="885">
        <v>1.0133381969154251</v>
      </c>
      <c r="K1078">
        <v>1.9338805472770362</v>
      </c>
      <c r="L1078">
        <v>0</v>
      </c>
      <c r="M1078">
        <v>1.7752571493695303E-3</v>
      </c>
      <c r="N1078">
        <v>0.19978809592986627</v>
      </c>
      <c r="O1078">
        <v>2.4682201218760587E-2</v>
      </c>
      <c r="P1078">
        <v>2.1576716543665463E-2</v>
      </c>
      <c r="Q1078">
        <v>3.006360491107227E-3</v>
      </c>
      <c r="R1078">
        <v>1.7646356339555468E-3</v>
      </c>
      <c r="S1078">
        <v>0.20462338957173168</v>
      </c>
      <c r="T1078">
        <v>1.0551256265618769</v>
      </c>
      <c r="U1078">
        <v>3.6811116199900511E-2</v>
      </c>
      <c r="V1078">
        <v>0.24464952803296919</v>
      </c>
      <c r="W1078">
        <v>0.11658223750086254</v>
      </c>
      <c r="X1078">
        <v>2.2243140258064394E-2</v>
      </c>
      <c r="Y1078">
        <v>4.802756483646602E-3</v>
      </c>
    </row>
    <row r="1079" spans="1:25" x14ac:dyDescent="0.25">
      <c r="A1079" s="881"/>
      <c r="B1079" s="1131">
        <v>829</v>
      </c>
      <c r="C1079" s="885">
        <v>0.99970167255401976</v>
      </c>
      <c r="D1079" s="885">
        <v>0.9841940490759965</v>
      </c>
      <c r="E1079" s="885">
        <v>1.0087397909320119</v>
      </c>
      <c r="F1079" s="885">
        <v>1.0313494671725543</v>
      </c>
      <c r="G1079" s="885">
        <v>1.0094383241005762</v>
      </c>
      <c r="H1079" s="885">
        <v>0.97652615539183008</v>
      </c>
      <c r="I1079" s="885">
        <v>1.0120207659344065</v>
      </c>
      <c r="K1079">
        <v>1.9396084031645995</v>
      </c>
      <c r="L1079">
        <v>0</v>
      </c>
      <c r="M1079">
        <v>1.8879686605077837E-3</v>
      </c>
      <c r="N1079">
        <v>0.19543277959222596</v>
      </c>
      <c r="O1079">
        <v>2.5355773683636011E-2</v>
      </c>
      <c r="P1079">
        <v>2.1307942098631013E-2</v>
      </c>
      <c r="Q1079">
        <v>3.0016192345255861E-3</v>
      </c>
      <c r="R1079">
        <v>1.8764406855875924E-3</v>
      </c>
      <c r="S1079">
        <v>0.20748006179780376</v>
      </c>
      <c r="T1079">
        <v>1.0575710021918188</v>
      </c>
      <c r="U1079">
        <v>3.7331447596333049E-2</v>
      </c>
      <c r="V1079">
        <v>0.24984908835612271</v>
      </c>
      <c r="W1079">
        <v>0.11612458413486712</v>
      </c>
      <c r="X1079">
        <v>2.1058579475892139E-2</v>
      </c>
      <c r="Y1079">
        <v>5.107052977663667E-3</v>
      </c>
    </row>
    <row r="1080" spans="1:25" x14ac:dyDescent="0.25">
      <c r="A1080" s="881"/>
      <c r="B1080" s="1131">
        <v>830</v>
      </c>
      <c r="C1080" s="885">
        <v>0.98712043970825158</v>
      </c>
      <c r="D1080" s="885">
        <v>0.98605388277621397</v>
      </c>
      <c r="E1080" s="885">
        <v>1.0094504457239535</v>
      </c>
      <c r="F1080" s="885">
        <v>0.96271079189239905</v>
      </c>
      <c r="G1080" s="885">
        <v>1.0026054916994609</v>
      </c>
      <c r="H1080" s="885">
        <v>0.98578899969518341</v>
      </c>
      <c r="I1080" s="885">
        <v>1.0159618556877252</v>
      </c>
      <c r="K1080">
        <v>1.9535484956112192</v>
      </c>
      <c r="L1080">
        <v>0</v>
      </c>
      <c r="M1080">
        <v>1.9254751706037629E-3</v>
      </c>
      <c r="N1080">
        <v>0.19976749276802397</v>
      </c>
      <c r="O1080">
        <v>2.5654907209561616E-2</v>
      </c>
      <c r="P1080">
        <v>2.1404955748090884E-2</v>
      </c>
      <c r="Q1080">
        <v>3.0395926872626381E-3</v>
      </c>
      <c r="R1080">
        <v>1.9138271194889824E-3</v>
      </c>
      <c r="S1080">
        <v>0.21173129428577314</v>
      </c>
      <c r="T1080">
        <v>1.0575059753287026</v>
      </c>
      <c r="U1080">
        <v>3.7807251374459575E-2</v>
      </c>
      <c r="V1080">
        <v>0.25142991574460122</v>
      </c>
      <c r="W1080">
        <v>0.11864289552041977</v>
      </c>
      <c r="X1080">
        <v>2.1367056469127153E-2</v>
      </c>
      <c r="Y1080">
        <v>5.2088065263086276E-3</v>
      </c>
    </row>
    <row r="1081" spans="1:25" x14ac:dyDescent="0.25">
      <c r="A1081" s="881"/>
      <c r="B1081" s="1131">
        <v>831</v>
      </c>
      <c r="C1081" s="885">
        <v>0.95273966138964117</v>
      </c>
      <c r="D1081" s="885">
        <v>1.008767989951765</v>
      </c>
      <c r="E1081" s="885">
        <v>0.98993898764123101</v>
      </c>
      <c r="F1081" s="885">
        <v>1.0038398890151639</v>
      </c>
      <c r="G1081" s="885">
        <v>1.0165143176779121</v>
      </c>
      <c r="H1081" s="885">
        <v>1.0061028051711252</v>
      </c>
      <c r="I1081" s="885">
        <v>1.0099687706037055</v>
      </c>
      <c r="K1081">
        <v>1.9753798628562766</v>
      </c>
      <c r="L1081">
        <v>0</v>
      </c>
      <c r="M1081">
        <v>2.0976977745889181E-3</v>
      </c>
      <c r="N1081">
        <v>0.20484048873376978</v>
      </c>
      <c r="O1081">
        <v>2.6282626105211263E-2</v>
      </c>
      <c r="P1081">
        <v>2.1253201162087322E-2</v>
      </c>
      <c r="Q1081">
        <v>3.0583338009230214E-3</v>
      </c>
      <c r="R1081">
        <v>2.0852444289448978E-3</v>
      </c>
      <c r="S1081">
        <v>0.21797990286906849</v>
      </c>
      <c r="T1081">
        <v>1.0592984758565573</v>
      </c>
      <c r="U1081">
        <v>3.9171572375272454E-2</v>
      </c>
      <c r="V1081">
        <v>0.25367176964696048</v>
      </c>
      <c r="W1081">
        <v>0.12329120174012372</v>
      </c>
      <c r="X1081">
        <v>2.0869395976999498E-2</v>
      </c>
      <c r="Y1081">
        <v>5.6753479349467544E-3</v>
      </c>
    </row>
    <row r="1082" spans="1:25" x14ac:dyDescent="0.25">
      <c r="A1082" s="881"/>
      <c r="B1082" s="1131">
        <v>832</v>
      </c>
      <c r="C1082" s="885">
        <v>1.0083098536380948</v>
      </c>
      <c r="D1082" s="885">
        <v>1.0048817069264604</v>
      </c>
      <c r="E1082" s="885">
        <v>1.0373731893052258</v>
      </c>
      <c r="F1082" s="885">
        <v>0.99431404698592751</v>
      </c>
      <c r="G1082" s="885">
        <v>1.0240863981760708</v>
      </c>
      <c r="H1082" s="885">
        <v>0.96646934915500038</v>
      </c>
      <c r="I1082" s="885">
        <v>1.0430279983391659</v>
      </c>
      <c r="K1082">
        <v>1.9324729683178381</v>
      </c>
      <c r="L1082">
        <v>0</v>
      </c>
      <c r="M1082">
        <v>1.7259335350576373E-3</v>
      </c>
      <c r="N1082">
        <v>0.19526156636167494</v>
      </c>
      <c r="O1082">
        <v>2.4881582117003E-2</v>
      </c>
      <c r="P1082">
        <v>2.1684905536122106E-2</v>
      </c>
      <c r="Q1082">
        <v>3.0347992246483649E-3</v>
      </c>
      <c r="R1082">
        <v>1.7152698907338586E-3</v>
      </c>
      <c r="S1082">
        <v>0.2089463819005839</v>
      </c>
      <c r="T1082">
        <v>1.0549665918812841</v>
      </c>
      <c r="U1082">
        <v>3.7012740147545901E-2</v>
      </c>
      <c r="V1082">
        <v>0.24604097096021685</v>
      </c>
      <c r="W1082">
        <v>0.11380727701680107</v>
      </c>
      <c r="X1082">
        <v>2.2178417612273318E-2</v>
      </c>
      <c r="Y1082">
        <v>4.6683992040100486E-3</v>
      </c>
    </row>
    <row r="1083" spans="1:25" x14ac:dyDescent="0.25">
      <c r="A1083" s="881"/>
      <c r="B1083" s="1131">
        <v>833</v>
      </c>
      <c r="C1083" s="885">
        <v>0.99259344282216455</v>
      </c>
      <c r="D1083" s="885">
        <v>1.0187139400353729</v>
      </c>
      <c r="E1083" s="885">
        <v>0.96327197886670768</v>
      </c>
      <c r="F1083" s="885">
        <v>0.99361384038206735</v>
      </c>
      <c r="G1083" s="885">
        <v>1.0053504914692368</v>
      </c>
      <c r="H1083" s="885">
        <v>0.96700552107777937</v>
      </c>
      <c r="I1083" s="885">
        <v>0.97305899869138202</v>
      </c>
      <c r="K1083">
        <v>1.910358762383638</v>
      </c>
      <c r="L1083">
        <v>0</v>
      </c>
      <c r="M1083">
        <v>2.0367074748285263E-3</v>
      </c>
      <c r="N1083">
        <v>0.1829790896062731</v>
      </c>
      <c r="O1083">
        <v>2.5105358593019163E-2</v>
      </c>
      <c r="P1083">
        <v>2.0462392281773777E-2</v>
      </c>
      <c r="Q1083">
        <v>2.8450122914830964E-3</v>
      </c>
      <c r="R1083">
        <v>2.0241188386346761E-3</v>
      </c>
      <c r="S1083">
        <v>0.1968337351219511</v>
      </c>
      <c r="T1083">
        <v>1.0617722698456051</v>
      </c>
      <c r="U1083">
        <v>3.7598788175355016E-2</v>
      </c>
      <c r="V1083">
        <v>0.24655979615026061</v>
      </c>
      <c r="W1083">
        <v>0.11219493941833332</v>
      </c>
      <c r="X1083">
        <v>1.8510985307607638E-2</v>
      </c>
      <c r="Y1083">
        <v>5.5089842281677596E-3</v>
      </c>
    </row>
    <row r="1084" spans="1:25" x14ac:dyDescent="0.25">
      <c r="A1084" s="881"/>
      <c r="B1084" s="1131">
        <v>834</v>
      </c>
      <c r="C1084" s="885">
        <v>0.9904990600713024</v>
      </c>
      <c r="D1084" s="885">
        <v>0.98007151973869489</v>
      </c>
      <c r="E1084" s="885">
        <v>0.9761923526391223</v>
      </c>
      <c r="F1084" s="885">
        <v>0.99721952030891037</v>
      </c>
      <c r="G1084" s="885">
        <v>0.97847518893124308</v>
      </c>
      <c r="H1084" s="885">
        <v>0.95601011259529134</v>
      </c>
      <c r="I1084" s="885">
        <v>1.0255526416191532</v>
      </c>
      <c r="K1084">
        <v>1.9357007125513754</v>
      </c>
      <c r="L1084">
        <v>0</v>
      </c>
      <c r="M1084">
        <v>2.0018252033369276E-3</v>
      </c>
      <c r="N1084">
        <v>0.18722836653701228</v>
      </c>
      <c r="O1084">
        <v>2.5644711936157479E-2</v>
      </c>
      <c r="P1084">
        <v>2.0902730231953482E-2</v>
      </c>
      <c r="Q1084">
        <v>2.9368405627980343E-3</v>
      </c>
      <c r="R1084">
        <v>1.9893433675909123E-3</v>
      </c>
      <c r="S1084">
        <v>0.21044655343959673</v>
      </c>
      <c r="T1084">
        <v>1.0605702563864476</v>
      </c>
      <c r="U1084">
        <v>3.767828976862464E-2</v>
      </c>
      <c r="V1084">
        <v>0.25171283138885692</v>
      </c>
      <c r="W1084">
        <v>0.11376839609239858</v>
      </c>
      <c r="X1084">
        <v>1.9409881183557229E-2</v>
      </c>
      <c r="Y1084">
        <v>5.4143368597175841E-3</v>
      </c>
    </row>
    <row r="1085" spans="1:25" x14ac:dyDescent="0.25">
      <c r="A1085" s="881"/>
      <c r="B1085" s="1131">
        <v>835</v>
      </c>
      <c r="C1085" s="885">
        <v>0.98826595857812094</v>
      </c>
      <c r="D1085" s="885">
        <v>0.96704887133734196</v>
      </c>
      <c r="E1085" s="885">
        <v>1.004169040432493</v>
      </c>
      <c r="F1085" s="885">
        <v>0.99676809003256339</v>
      </c>
      <c r="G1085" s="885">
        <v>0.98140257909457895</v>
      </c>
      <c r="H1085" s="885">
        <v>1.0119100800463072</v>
      </c>
      <c r="I1085" s="885">
        <v>1.0089594031572966</v>
      </c>
      <c r="K1085">
        <v>1.9697832980722729</v>
      </c>
      <c r="L1085">
        <v>0</v>
      </c>
      <c r="M1085">
        <v>2.0156801777842662E-3</v>
      </c>
      <c r="N1085">
        <v>0.20575383635997038</v>
      </c>
      <c r="O1085">
        <v>2.5874045228257189E-2</v>
      </c>
      <c r="P1085">
        <v>2.1399405037425791E-2</v>
      </c>
      <c r="Q1085">
        <v>3.0452082135427527E-3</v>
      </c>
      <c r="R1085">
        <v>2.0038173785334678E-3</v>
      </c>
      <c r="S1085">
        <v>0.21466269521064696</v>
      </c>
      <c r="T1085">
        <v>1.0579897092602268</v>
      </c>
      <c r="U1085">
        <v>3.776342823202361E-2</v>
      </c>
      <c r="V1085">
        <v>0.25376640394613498</v>
      </c>
      <c r="W1085">
        <v>0.12263850752212066</v>
      </c>
      <c r="X1085">
        <v>2.144819151502704E-2</v>
      </c>
      <c r="Y1085">
        <v>5.4537303461467965E-3</v>
      </c>
    </row>
    <row r="1086" spans="1:25" x14ac:dyDescent="0.25">
      <c r="A1086" s="881"/>
      <c r="B1086" s="1131">
        <v>836</v>
      </c>
      <c r="C1086" s="885">
        <v>0.99544338226922346</v>
      </c>
      <c r="D1086" s="885">
        <v>1.0137775315751669</v>
      </c>
      <c r="E1086" s="885">
        <v>0.9774814481321128</v>
      </c>
      <c r="F1086" s="885">
        <v>1.0228575468019696</v>
      </c>
      <c r="G1086" s="885">
        <v>1.0333682064300722</v>
      </c>
      <c r="H1086" s="885">
        <v>0.99596409197404578</v>
      </c>
      <c r="I1086" s="885">
        <v>0.99727103267856432</v>
      </c>
      <c r="K1086">
        <v>1.9301152930337513</v>
      </c>
      <c r="L1086">
        <v>0</v>
      </c>
      <c r="M1086">
        <v>2.035185995764942E-3</v>
      </c>
      <c r="N1086">
        <v>0.19116020904695782</v>
      </c>
      <c r="O1086">
        <v>2.5093611789720725E-2</v>
      </c>
      <c r="P1086">
        <v>2.0773076184346893E-2</v>
      </c>
      <c r="Q1086">
        <v>2.8843031278104588E-3</v>
      </c>
      <c r="R1086">
        <v>2.0229765976747215E-3</v>
      </c>
      <c r="S1086">
        <v>0.20451749599329402</v>
      </c>
      <c r="T1086">
        <v>1.0604506832339069</v>
      </c>
      <c r="U1086">
        <v>3.74911434097248E-2</v>
      </c>
      <c r="V1086">
        <v>0.24675512622450929</v>
      </c>
      <c r="W1086">
        <v>0.11605347453566377</v>
      </c>
      <c r="X1086">
        <v>1.9442503461089881E-2</v>
      </c>
      <c r="Y1086">
        <v>5.5058754248143941E-3</v>
      </c>
    </row>
    <row r="1087" spans="1:25" x14ac:dyDescent="0.25">
      <c r="A1087" s="881"/>
      <c r="B1087" s="1131">
        <v>837</v>
      </c>
      <c r="C1087" s="885">
        <v>1.0237979146515976</v>
      </c>
      <c r="D1087" s="885">
        <v>0.97076689473151068</v>
      </c>
      <c r="E1087" s="885">
        <v>0.97889442467426224</v>
      </c>
      <c r="F1087" s="885">
        <v>1.0216408885353527</v>
      </c>
      <c r="G1087" s="885">
        <v>0.99516180748200145</v>
      </c>
      <c r="H1087" s="885">
        <v>1.0012619020182687</v>
      </c>
      <c r="I1087" s="885">
        <v>1.0048238989001315</v>
      </c>
      <c r="K1087">
        <v>1.9305676635720055</v>
      </c>
      <c r="L1087">
        <v>0</v>
      </c>
      <c r="M1087">
        <v>2.0264906188607935E-3</v>
      </c>
      <c r="N1087">
        <v>0.19119297090316451</v>
      </c>
      <c r="O1087">
        <v>2.4928456597192002E-2</v>
      </c>
      <c r="P1087">
        <v>2.0804369751787805E-2</v>
      </c>
      <c r="Q1087">
        <v>2.8607528486744357E-3</v>
      </c>
      <c r="R1087">
        <v>2.0144341126014493E-3</v>
      </c>
      <c r="S1087">
        <v>0.20492493829532651</v>
      </c>
      <c r="T1087">
        <v>1.0603196931863028</v>
      </c>
      <c r="U1087">
        <v>3.6452809745776013E-2</v>
      </c>
      <c r="V1087">
        <v>0.24818246053509657</v>
      </c>
      <c r="W1087">
        <v>0.11595947105895131</v>
      </c>
      <c r="X1087">
        <v>1.9471171559517126E-2</v>
      </c>
      <c r="Y1087">
        <v>5.4826255964743956E-3</v>
      </c>
    </row>
    <row r="1088" spans="1:25" x14ac:dyDescent="0.25">
      <c r="A1088" s="881"/>
      <c r="B1088" s="1131">
        <v>838</v>
      </c>
      <c r="C1088" s="885">
        <v>1.0004720992690941</v>
      </c>
      <c r="D1088" s="885">
        <v>1.0212419425922024</v>
      </c>
      <c r="E1088" s="885">
        <v>1.0021126157251816</v>
      </c>
      <c r="F1088" s="885">
        <v>0.97156940958068749</v>
      </c>
      <c r="G1088" s="885">
        <v>1.0013420097217887</v>
      </c>
      <c r="H1088" s="885">
        <v>1.0274126327114221</v>
      </c>
      <c r="I1088" s="885">
        <v>0.98753135829501881</v>
      </c>
      <c r="K1088">
        <v>1.9397639257073793</v>
      </c>
      <c r="L1088">
        <v>0</v>
      </c>
      <c r="M1088">
        <v>1.9763021859501326E-3</v>
      </c>
      <c r="N1088">
        <v>0.20046150231199866</v>
      </c>
      <c r="O1088">
        <v>2.4877199899737079E-2</v>
      </c>
      <c r="P1088">
        <v>2.1098614075512688E-2</v>
      </c>
      <c r="Q1088">
        <v>2.9330084449931044E-3</v>
      </c>
      <c r="R1088">
        <v>1.9648031516317811E-3</v>
      </c>
      <c r="S1088">
        <v>0.20393550332262969</v>
      </c>
      <c r="T1088">
        <v>1.0581783553084534</v>
      </c>
      <c r="U1088">
        <v>3.7302700023500585E-2</v>
      </c>
      <c r="V1088">
        <v>0.24515497722297211</v>
      </c>
      <c r="W1088">
        <v>0.11965191373604914</v>
      </c>
      <c r="X1088">
        <v>2.0834103914292343E-2</v>
      </c>
      <c r="Y1088">
        <v>5.3475464815568446E-3</v>
      </c>
    </row>
    <row r="1089" spans="1:25" x14ac:dyDescent="0.25">
      <c r="A1089" s="881"/>
      <c r="B1089" s="1131">
        <v>839</v>
      </c>
      <c r="C1089" s="885">
        <v>1.0083587126268765</v>
      </c>
      <c r="D1089" s="885">
        <v>1.0100837442919901</v>
      </c>
      <c r="E1089" s="885">
        <v>1.0192215094935158</v>
      </c>
      <c r="F1089" s="885">
        <v>1.0170060933606999</v>
      </c>
      <c r="G1089" s="885">
        <v>0.95587707576465519</v>
      </c>
      <c r="H1089" s="885">
        <v>0.98299295123544495</v>
      </c>
      <c r="I1089" s="885">
        <v>1.0100888532127799</v>
      </c>
      <c r="K1089">
        <v>1.9272936918532457</v>
      </c>
      <c r="L1089">
        <v>0</v>
      </c>
      <c r="M1089">
        <v>1.8194082917366769E-3</v>
      </c>
      <c r="N1089">
        <v>0.19457774780269804</v>
      </c>
      <c r="O1089">
        <v>2.4816932527082135E-2</v>
      </c>
      <c r="P1089">
        <v>2.1339242247308318E-2</v>
      </c>
      <c r="Q1089">
        <v>2.9740926545152495E-3</v>
      </c>
      <c r="R1089">
        <v>1.8083521317133647E-3</v>
      </c>
      <c r="S1089">
        <v>0.20352684427708204</v>
      </c>
      <c r="T1089">
        <v>1.0566138956636426</v>
      </c>
      <c r="U1089">
        <v>3.7010946733126028E-2</v>
      </c>
      <c r="V1089">
        <v>0.24540325962512985</v>
      </c>
      <c r="W1089">
        <v>0.11479827340133274</v>
      </c>
      <c r="X1089">
        <v>2.1321774701948897E-2</v>
      </c>
      <c r="Y1089">
        <v>4.9217383794037716E-3</v>
      </c>
    </row>
    <row r="1090" spans="1:25" x14ac:dyDescent="0.25">
      <c r="A1090" s="881"/>
      <c r="B1090" s="1131">
        <v>840</v>
      </c>
      <c r="C1090" s="885">
        <v>0.99688685622369744</v>
      </c>
      <c r="D1090" s="885">
        <v>0.99267910401038328</v>
      </c>
      <c r="E1090" s="885">
        <v>0.96651621930714626</v>
      </c>
      <c r="F1090" s="885">
        <v>0.99972908063461896</v>
      </c>
      <c r="G1090" s="885">
        <v>0.9930999428450128</v>
      </c>
      <c r="H1090" s="885">
        <v>0.98714905752321858</v>
      </c>
      <c r="I1090" s="885">
        <v>1.0404367285280127</v>
      </c>
      <c r="K1090">
        <v>1.9405200947803323</v>
      </c>
      <c r="L1090">
        <v>0</v>
      </c>
      <c r="M1090">
        <v>2.0826376075070677E-3</v>
      </c>
      <c r="N1090">
        <v>0.18903455570672262</v>
      </c>
      <c r="O1090">
        <v>2.5319378450944032E-2</v>
      </c>
      <c r="P1090">
        <v>2.0773065372788956E-2</v>
      </c>
      <c r="Q1090">
        <v>2.8736446867339556E-3</v>
      </c>
      <c r="R1090">
        <v>2.0700503024386674E-3</v>
      </c>
      <c r="S1090">
        <v>0.21419215637670674</v>
      </c>
      <c r="T1090">
        <v>1.0614698434030969</v>
      </c>
      <c r="U1090">
        <v>3.7436856919038752E-2</v>
      </c>
      <c r="V1090">
        <v>0.24916415794081964</v>
      </c>
      <c r="W1090">
        <v>0.11564447798817623</v>
      </c>
      <c r="X1090">
        <v>1.899055070903144E-2</v>
      </c>
      <c r="Y1090">
        <v>5.6339945313392511E-3</v>
      </c>
    </row>
    <row r="1091" spans="1:25" x14ac:dyDescent="0.25">
      <c r="A1091" s="881"/>
      <c r="B1091" s="1131">
        <v>841</v>
      </c>
      <c r="C1091" s="885">
        <v>1.0213263868588185</v>
      </c>
      <c r="D1091" s="885">
        <v>0.98495147104982839</v>
      </c>
      <c r="E1091" s="885">
        <v>1.0125601346087656</v>
      </c>
      <c r="F1091" s="885">
        <v>1.0339043041778497</v>
      </c>
      <c r="G1091" s="885">
        <v>1.0008505703698254</v>
      </c>
      <c r="H1091" s="885">
        <v>0.99068146835159909</v>
      </c>
      <c r="I1091" s="885">
        <v>0.98590421939093031</v>
      </c>
      <c r="K1091">
        <v>1.9248139185906927</v>
      </c>
      <c r="L1091">
        <v>0</v>
      </c>
      <c r="M1091">
        <v>1.859025857215907E-3</v>
      </c>
      <c r="N1091">
        <v>0.19475283252204975</v>
      </c>
      <c r="O1091">
        <v>2.4809442254949864E-2</v>
      </c>
      <c r="P1091">
        <v>2.119487748730341E-2</v>
      </c>
      <c r="Q1091">
        <v>2.9483371446968392E-3</v>
      </c>
      <c r="R1091">
        <v>1.8478361989559572E-3</v>
      </c>
      <c r="S1091">
        <v>0.19916941268584964</v>
      </c>
      <c r="T1091">
        <v>1.0572216621070754</v>
      </c>
      <c r="U1091">
        <v>3.6541022616383055E-2</v>
      </c>
      <c r="V1091">
        <v>0.24671727273918345</v>
      </c>
      <c r="W1091">
        <v>0.11542069430233087</v>
      </c>
      <c r="X1091">
        <v>2.1020353394611911E-2</v>
      </c>
      <c r="Y1091">
        <v>5.029200994518839E-3</v>
      </c>
    </row>
    <row r="1092" spans="1:25" x14ac:dyDescent="0.25">
      <c r="A1092" s="881"/>
      <c r="B1092" s="1131">
        <v>842</v>
      </c>
      <c r="C1092" s="885">
        <v>1.0239092430443202</v>
      </c>
      <c r="D1092" s="885">
        <v>0.99999742359362565</v>
      </c>
      <c r="E1092" s="885">
        <v>1.0333969372144185</v>
      </c>
      <c r="F1092" s="885">
        <v>0.97695018778625464</v>
      </c>
      <c r="G1092" s="885">
        <v>0.98992971750251113</v>
      </c>
      <c r="H1092" s="885">
        <v>1.0157042652303765</v>
      </c>
      <c r="I1092" s="885">
        <v>0.96036483046559817</v>
      </c>
      <c r="K1092">
        <v>1.9266067531294684</v>
      </c>
      <c r="L1092">
        <v>0</v>
      </c>
      <c r="M1092">
        <v>1.8056689139711109E-3</v>
      </c>
      <c r="N1092">
        <v>0.20183855324898464</v>
      </c>
      <c r="O1092">
        <v>2.4561654589203712E-2</v>
      </c>
      <c r="P1092">
        <v>2.1397005058350075E-2</v>
      </c>
      <c r="Q1092">
        <v>2.9830458662224862E-3</v>
      </c>
      <c r="R1092">
        <v>1.7950569922068271E-3</v>
      </c>
      <c r="S1092">
        <v>0.19455258652834267</v>
      </c>
      <c r="T1092">
        <v>1.0553263418517969</v>
      </c>
      <c r="U1092">
        <v>3.6448846276604517E-2</v>
      </c>
      <c r="V1092">
        <v>0.24450739955668166</v>
      </c>
      <c r="W1092">
        <v>0.11795335117038375</v>
      </c>
      <c r="X1092">
        <v>2.2163027512252832E-2</v>
      </c>
      <c r="Y1092">
        <v>4.8855533924085353E-3</v>
      </c>
    </row>
    <row r="1093" spans="1:25" x14ac:dyDescent="0.25">
      <c r="A1093" s="881"/>
      <c r="B1093" s="1131">
        <v>843</v>
      </c>
      <c r="C1093" s="885">
        <v>1.0138014607809487</v>
      </c>
      <c r="D1093" s="885">
        <v>1.0048744467312458</v>
      </c>
      <c r="E1093" s="885">
        <v>1.0053790278788548</v>
      </c>
      <c r="F1093" s="885">
        <v>1.0318629148901517</v>
      </c>
      <c r="G1093" s="885">
        <v>1.0198672654436363</v>
      </c>
      <c r="H1093" s="885">
        <v>0.96185919599618885</v>
      </c>
      <c r="I1093" s="885">
        <v>1.0039840440077601</v>
      </c>
      <c r="K1093">
        <v>1.9123521162271813</v>
      </c>
      <c r="L1093">
        <v>0</v>
      </c>
      <c r="M1093">
        <v>1.8278772259072505E-3</v>
      </c>
      <c r="N1093">
        <v>0.18722617487707846</v>
      </c>
      <c r="O1093">
        <v>2.4746890842360515E-2</v>
      </c>
      <c r="P1093">
        <v>2.1081235171299142E-2</v>
      </c>
      <c r="Q1093">
        <v>2.9239441072739132E-3</v>
      </c>
      <c r="R1093">
        <v>1.8165296009804211E-3</v>
      </c>
      <c r="S1093">
        <v>0.19957511595227712</v>
      </c>
      <c r="T1093">
        <v>1.0578787881438942</v>
      </c>
      <c r="U1093">
        <v>3.6812247806556182E-2</v>
      </c>
      <c r="V1093">
        <v>0.24529152411675226</v>
      </c>
      <c r="W1093">
        <v>0.11150314397391856</v>
      </c>
      <c r="X1093">
        <v>2.0380404105647926E-2</v>
      </c>
      <c r="Y1093">
        <v>4.9439947550466781E-3</v>
      </c>
    </row>
    <row r="1094" spans="1:25" x14ac:dyDescent="0.25">
      <c r="A1094" s="881"/>
      <c r="B1094" s="1131">
        <v>844</v>
      </c>
      <c r="C1094" s="885">
        <v>0.98855855834367601</v>
      </c>
      <c r="D1094" s="885">
        <v>1.0012424065060179</v>
      </c>
      <c r="E1094" s="885">
        <v>1.0243232713347969</v>
      </c>
      <c r="F1094" s="885">
        <v>0.99901255707161551</v>
      </c>
      <c r="G1094" s="885">
        <v>0.99679371431058095</v>
      </c>
      <c r="H1094" s="885">
        <v>0.97928380568998641</v>
      </c>
      <c r="I1094" s="885">
        <v>1.0143395776322575</v>
      </c>
      <c r="K1094">
        <v>1.9460085882903797</v>
      </c>
      <c r="L1094">
        <v>0</v>
      </c>
      <c r="M1094">
        <v>1.8369881151647099E-3</v>
      </c>
      <c r="N1094">
        <v>0.19959193949235743</v>
      </c>
      <c r="O1094">
        <v>2.5424313477895963E-2</v>
      </c>
      <c r="P1094">
        <v>2.155202368095651E-2</v>
      </c>
      <c r="Q1094">
        <v>3.0604879030578431E-3</v>
      </c>
      <c r="R1094">
        <v>1.8257896526224027E-3</v>
      </c>
      <c r="S1094">
        <v>0.2089339429350375</v>
      </c>
      <c r="T1094">
        <v>1.0561495970819703</v>
      </c>
      <c r="U1094">
        <v>3.7752250775560409E-2</v>
      </c>
      <c r="V1094">
        <v>0.24928694145861668</v>
      </c>
      <c r="W1094">
        <v>0.11735238919203513</v>
      </c>
      <c r="X1094">
        <v>2.1946703192390542E-2</v>
      </c>
      <c r="Y1094">
        <v>4.9691975630409505E-3</v>
      </c>
    </row>
    <row r="1095" spans="1:25" x14ac:dyDescent="0.25">
      <c r="A1095" s="881"/>
      <c r="B1095" s="1131">
        <v>845</v>
      </c>
      <c r="C1095" s="885">
        <v>1.0227256908693356</v>
      </c>
      <c r="D1095" s="885">
        <v>1.0438159894436392</v>
      </c>
      <c r="E1095" s="885">
        <v>1.0032111302493878</v>
      </c>
      <c r="F1095" s="885">
        <v>1.0245161766886732</v>
      </c>
      <c r="G1095" s="885">
        <v>1.0011704411166076</v>
      </c>
      <c r="H1095" s="885">
        <v>0.9857953549653613</v>
      </c>
      <c r="I1095" s="885">
        <v>1.0218135391305869</v>
      </c>
      <c r="K1095">
        <v>1.9047047167656157</v>
      </c>
      <c r="L1095">
        <v>0</v>
      </c>
      <c r="M1095">
        <v>1.8308821922529491E-3</v>
      </c>
      <c r="N1095">
        <v>0.18629907778361907</v>
      </c>
      <c r="O1095">
        <v>2.4075088011854061E-2</v>
      </c>
      <c r="P1095">
        <v>2.0976286354631696E-2</v>
      </c>
      <c r="Q1095">
        <v>2.8458448320837835E-3</v>
      </c>
      <c r="R1095">
        <v>1.8197629467062446E-3</v>
      </c>
      <c r="S1095">
        <v>0.20024974894024938</v>
      </c>
      <c r="T1095">
        <v>1.0580775626087888</v>
      </c>
      <c r="U1095">
        <v>3.6491026806214209E-2</v>
      </c>
      <c r="V1095">
        <v>0.23954958195360099</v>
      </c>
      <c r="W1095">
        <v>0.11111521798382272</v>
      </c>
      <c r="X1095">
        <v>2.0083605880056643E-2</v>
      </c>
      <c r="Y1095">
        <v>4.9527948562402392E-3</v>
      </c>
    </row>
    <row r="1096" spans="1:25" x14ac:dyDescent="0.25">
      <c r="A1096" s="881"/>
      <c r="B1096" s="1131">
        <v>846</v>
      </c>
      <c r="C1096" s="885">
        <v>1.0284047221534336</v>
      </c>
      <c r="D1096" s="885">
        <v>1.0071065466962372</v>
      </c>
      <c r="E1096" s="885">
        <v>1.0112646145025641</v>
      </c>
      <c r="F1096" s="885">
        <v>0.96962901934972912</v>
      </c>
      <c r="G1096" s="885">
        <v>0.99818426138752414</v>
      </c>
      <c r="H1096" s="885">
        <v>0.98456632827808943</v>
      </c>
      <c r="I1096" s="885">
        <v>0.95877577858089658</v>
      </c>
      <c r="K1096">
        <v>1.9027556203485199</v>
      </c>
      <c r="L1096">
        <v>0</v>
      </c>
      <c r="M1096">
        <v>1.8197148640868811E-3</v>
      </c>
      <c r="N1096">
        <v>0.18985952377359272</v>
      </c>
      <c r="O1096">
        <v>2.436873045991677E-2</v>
      </c>
      <c r="P1096">
        <v>2.099373173013195E-2</v>
      </c>
      <c r="Q1096">
        <v>2.8967155537219327E-3</v>
      </c>
      <c r="R1096">
        <v>1.8086767618027582E-3</v>
      </c>
      <c r="S1096">
        <v>0.1898261867944005</v>
      </c>
      <c r="T1096">
        <v>1.0573400632901857</v>
      </c>
      <c r="U1096">
        <v>3.6289516954735319E-2</v>
      </c>
      <c r="V1096">
        <v>0.24305053217158742</v>
      </c>
      <c r="W1096">
        <v>0.11261962647181675</v>
      </c>
      <c r="X1096">
        <v>2.0599409335221891E-2</v>
      </c>
      <c r="Y1096">
        <v>4.922621915492819E-3</v>
      </c>
    </row>
    <row r="1097" spans="1:25" x14ac:dyDescent="0.25">
      <c r="A1097" s="881"/>
      <c r="B1097" s="1131">
        <v>847</v>
      </c>
      <c r="C1097" s="885">
        <v>1.0171731039145901</v>
      </c>
      <c r="D1097" s="885">
        <v>0.99164315671868997</v>
      </c>
      <c r="E1097" s="885">
        <v>0.99345173748075044</v>
      </c>
      <c r="F1097" s="885">
        <v>0.95751761237596311</v>
      </c>
      <c r="G1097" s="885">
        <v>1.0401090482466748</v>
      </c>
      <c r="H1097" s="885">
        <v>1.008700643540857</v>
      </c>
      <c r="I1097" s="885">
        <v>0.97560488761636421</v>
      </c>
      <c r="K1097">
        <v>1.9268887942612078</v>
      </c>
      <c r="L1097">
        <v>0</v>
      </c>
      <c r="M1097">
        <v>1.9720192947579123E-3</v>
      </c>
      <c r="N1097">
        <v>0.19468967734562798</v>
      </c>
      <c r="O1097">
        <v>2.4827257350277784E-2</v>
      </c>
      <c r="P1097">
        <v>2.0915955513252409E-2</v>
      </c>
      <c r="Q1097">
        <v>2.8957901900646464E-3</v>
      </c>
      <c r="R1097">
        <v>1.9603560573080736E-3</v>
      </c>
      <c r="S1097">
        <v>0.19903479757426723</v>
      </c>
      <c r="T1097">
        <v>1.0589746685433781</v>
      </c>
      <c r="U1097">
        <v>3.6690225544983163E-2</v>
      </c>
      <c r="V1097">
        <v>0.24645166953706521</v>
      </c>
      <c r="W1097">
        <v>0.11689859023831078</v>
      </c>
      <c r="X1097">
        <v>2.018638270463783E-2</v>
      </c>
      <c r="Y1097">
        <v>5.3354429567919635E-3</v>
      </c>
    </row>
    <row r="1098" spans="1:25" x14ac:dyDescent="0.25">
      <c r="A1098" s="881"/>
      <c r="B1098" s="1131">
        <v>848</v>
      </c>
      <c r="C1098" s="885">
        <v>0.99659751461208002</v>
      </c>
      <c r="D1098" s="885">
        <v>1.0130340932767916</v>
      </c>
      <c r="E1098" s="885">
        <v>1.0225953553765366</v>
      </c>
      <c r="F1098" s="885">
        <v>0.97904132179839043</v>
      </c>
      <c r="G1098" s="885">
        <v>0.99796984863936256</v>
      </c>
      <c r="H1098" s="885">
        <v>0.96005967942303982</v>
      </c>
      <c r="I1098" s="885">
        <v>0.99042683801465359</v>
      </c>
      <c r="K1098">
        <v>1.9214816719808352</v>
      </c>
      <c r="L1098">
        <v>0</v>
      </c>
      <c r="M1098">
        <v>1.7825931197431239E-3</v>
      </c>
      <c r="N1098">
        <v>0.19262060104893336</v>
      </c>
      <c r="O1098">
        <v>2.5073638123602693E-2</v>
      </c>
      <c r="P1098">
        <v>2.1353787141800362E-2</v>
      </c>
      <c r="Q1098">
        <v>3.0155569768731717E-3</v>
      </c>
      <c r="R1098">
        <v>1.7714996889935935E-3</v>
      </c>
      <c r="S1098">
        <v>0.19935889919070698</v>
      </c>
      <c r="T1098">
        <v>1.0563067363981236</v>
      </c>
      <c r="U1098">
        <v>3.7447725941242835E-2</v>
      </c>
      <c r="V1098">
        <v>0.24668453108334729</v>
      </c>
      <c r="W1098">
        <v>0.11338531919433867</v>
      </c>
      <c r="X1098">
        <v>2.1424532133888723E-2</v>
      </c>
      <c r="Y1098">
        <v>4.8214381787250321E-3</v>
      </c>
    </row>
    <row r="1099" spans="1:25" x14ac:dyDescent="0.25">
      <c r="A1099" s="881"/>
      <c r="B1099" s="1131">
        <v>849</v>
      </c>
      <c r="C1099" s="885">
        <v>0.9954367360914147</v>
      </c>
      <c r="D1099" s="885">
        <v>0.97708147700586578</v>
      </c>
      <c r="E1099" s="885">
        <v>0.99573955876495668</v>
      </c>
      <c r="F1099" s="885">
        <v>0.98846941464747629</v>
      </c>
      <c r="G1099" s="885">
        <v>1.0108346075100616</v>
      </c>
      <c r="H1099" s="885">
        <v>1.0253091032205823</v>
      </c>
      <c r="I1099" s="885">
        <v>1.0252318319827241</v>
      </c>
      <c r="K1099">
        <v>1.9674694356042459</v>
      </c>
      <c r="L1099">
        <v>0</v>
      </c>
      <c r="M1099">
        <v>2.0534239186658443E-3</v>
      </c>
      <c r="N1099">
        <v>0.20419601294073461</v>
      </c>
      <c r="O1099">
        <v>2.5556245365941501E-2</v>
      </c>
      <c r="P1099">
        <v>2.1270525889956118E-2</v>
      </c>
      <c r="Q1099">
        <v>2.9846000710115877E-3</v>
      </c>
      <c r="R1099">
        <v>2.0414882770849762E-3</v>
      </c>
      <c r="S1099">
        <v>0.21693782004126222</v>
      </c>
      <c r="T1099">
        <v>1.0587640339578428</v>
      </c>
      <c r="U1099">
        <v>3.7491393724783752E-2</v>
      </c>
      <c r="V1099">
        <v>0.25138056781570306</v>
      </c>
      <c r="W1099">
        <v>0.12241402566462493</v>
      </c>
      <c r="X1099">
        <v>2.0929887660169275E-2</v>
      </c>
      <c r="Y1099">
        <v>5.5562581137956315E-3</v>
      </c>
    </row>
    <row r="1100" spans="1:25" x14ac:dyDescent="0.25">
      <c r="A1100" s="881"/>
      <c r="B1100" s="1131">
        <v>850</v>
      </c>
      <c r="C1100" s="885">
        <v>1.0307712400681508</v>
      </c>
      <c r="D1100" s="885">
        <v>1.0059493597276503</v>
      </c>
      <c r="E1100" s="885">
        <v>1.0068068799842915</v>
      </c>
      <c r="F1100" s="885">
        <v>1.0365271306596158</v>
      </c>
      <c r="G1100" s="885">
        <v>1.0231326879895732</v>
      </c>
      <c r="H1100" s="885">
        <v>0.97196776055840606</v>
      </c>
      <c r="I1100" s="885">
        <v>1.0194291159780249</v>
      </c>
      <c r="K1100">
        <v>1.907587527487733</v>
      </c>
      <c r="L1100">
        <v>0</v>
      </c>
      <c r="M1100">
        <v>1.8102618526553498E-3</v>
      </c>
      <c r="N1100">
        <v>0.18625902008407866</v>
      </c>
      <c r="O1100">
        <v>2.432661048991408E-2</v>
      </c>
      <c r="P1100">
        <v>2.1069198479844616E-2</v>
      </c>
      <c r="Q1100">
        <v>2.878614706213777E-3</v>
      </c>
      <c r="R1100">
        <v>1.7991396426671816E-3</v>
      </c>
      <c r="S1100">
        <v>0.20022033524870941</v>
      </c>
      <c r="T1100">
        <v>1.0577479685304194</v>
      </c>
      <c r="U1100">
        <v>3.6206200901035379E-2</v>
      </c>
      <c r="V1100">
        <v>0.24287598516791409</v>
      </c>
      <c r="W1100">
        <v>0.11081928877775718</v>
      </c>
      <c r="X1100">
        <v>2.0298762290719318E-2</v>
      </c>
      <c r="Y1100">
        <v>4.8966650211162586E-3</v>
      </c>
    </row>
    <row r="1101" spans="1:25" x14ac:dyDescent="0.25">
      <c r="A1101" s="881"/>
      <c r="B1101" s="1131">
        <v>851</v>
      </c>
      <c r="C1101" s="885">
        <v>1.0418193418173376</v>
      </c>
      <c r="D1101" s="885">
        <v>0.9921194948424632</v>
      </c>
      <c r="E1101" s="885">
        <v>1.0028271782027263</v>
      </c>
      <c r="F1101" s="885">
        <v>0.98176897632930371</v>
      </c>
      <c r="G1101" s="885">
        <v>0.95662879342701479</v>
      </c>
      <c r="H1101" s="885">
        <v>0.96804244254740945</v>
      </c>
      <c r="I1101" s="885">
        <v>1.0071056767669584</v>
      </c>
      <c r="K1101">
        <v>1.9003940708999629</v>
      </c>
      <c r="L1101">
        <v>0</v>
      </c>
      <c r="M1101">
        <v>1.8112157926476599E-3</v>
      </c>
      <c r="N1101">
        <v>0.1840613485442292</v>
      </c>
      <c r="O1101">
        <v>2.4234152916319869E-2</v>
      </c>
      <c r="P1101">
        <v>2.0959592248863648E-2</v>
      </c>
      <c r="Q1101">
        <v>2.8534994734141813E-3</v>
      </c>
      <c r="R1101">
        <v>1.8000533161572996E-3</v>
      </c>
      <c r="S1101">
        <v>0.1965633599986053</v>
      </c>
      <c r="T1101">
        <v>1.0581127862577342</v>
      </c>
      <c r="U1101">
        <v>3.5822247776486585E-2</v>
      </c>
      <c r="V1101">
        <v>0.24308714439677037</v>
      </c>
      <c r="W1101">
        <v>0.10980934295470059</v>
      </c>
      <c r="X1101">
        <v>2.0002607070165237E-2</v>
      </c>
      <c r="Y1101">
        <v>4.8991517391639757E-3</v>
      </c>
    </row>
    <row r="1102" spans="1:25" x14ac:dyDescent="0.25">
      <c r="A1102" s="881"/>
      <c r="B1102" s="1131">
        <v>852</v>
      </c>
      <c r="C1102" s="885">
        <v>1.021574143801222</v>
      </c>
      <c r="D1102" s="885">
        <v>1.0030176655059986</v>
      </c>
      <c r="E1102" s="885">
        <v>0.99212253437298692</v>
      </c>
      <c r="F1102" s="885">
        <v>1.0319014260278134</v>
      </c>
      <c r="G1102" s="885">
        <v>0.97723084638035085</v>
      </c>
      <c r="H1102" s="885">
        <v>1.0393196348223042</v>
      </c>
      <c r="I1102" s="885">
        <v>0.99406430217273878</v>
      </c>
      <c r="K1102">
        <v>1.9356304180354473</v>
      </c>
      <c r="L1102">
        <v>0</v>
      </c>
      <c r="M1102">
        <v>2.0173751376402803E-3</v>
      </c>
      <c r="N1102">
        <v>0.19837898458935824</v>
      </c>
      <c r="O1102">
        <v>2.4581084192240907E-2</v>
      </c>
      <c r="P1102">
        <v>2.0933303654583107E-2</v>
      </c>
      <c r="Q1102">
        <v>2.8655137681509587E-3</v>
      </c>
      <c r="R1102">
        <v>2.0057859919697329E-3</v>
      </c>
      <c r="S1102">
        <v>0.203882506525419</v>
      </c>
      <c r="T1102">
        <v>1.059097138820752</v>
      </c>
      <c r="U1102">
        <v>3.6532160516563252E-2</v>
      </c>
      <c r="V1102">
        <v>0.24445666300180396</v>
      </c>
      <c r="W1102">
        <v>0.11922271194345277</v>
      </c>
      <c r="X1102">
        <v>2.0232851905825213E-2</v>
      </c>
      <c r="Y1102">
        <v>5.4590882629670621E-3</v>
      </c>
    </row>
    <row r="1103" spans="1:25" x14ac:dyDescent="0.25">
      <c r="A1103" s="881"/>
      <c r="B1103" s="1131">
        <v>853</v>
      </c>
      <c r="C1103" s="885">
        <v>0.98956508528851628</v>
      </c>
      <c r="D1103" s="885">
        <v>1.0114157752801172</v>
      </c>
      <c r="E1103" s="885">
        <v>1.0172327660265594</v>
      </c>
      <c r="F1103" s="885">
        <v>0.98959059619584988</v>
      </c>
      <c r="G1103" s="885">
        <v>1.0255758549869971</v>
      </c>
      <c r="H1103" s="885">
        <v>0.97095561709433731</v>
      </c>
      <c r="I1103" s="885">
        <v>1.0278013122496363</v>
      </c>
      <c r="K1103">
        <v>1.9388400775794621</v>
      </c>
      <c r="L1103">
        <v>0</v>
      </c>
      <c r="M1103">
        <v>1.8377699693889339E-3</v>
      </c>
      <c r="N1103">
        <v>0.19531587551173651</v>
      </c>
      <c r="O1103">
        <v>2.5271784246292527E-2</v>
      </c>
      <c r="P1103">
        <v>2.1439091290800703E-2</v>
      </c>
      <c r="Q1103">
        <v>3.0228912940037911E-3</v>
      </c>
      <c r="R1103">
        <v>1.826462750591446E-3</v>
      </c>
      <c r="S1103">
        <v>0.2096434067671081</v>
      </c>
      <c r="T1103">
        <v>1.0567951618835547</v>
      </c>
      <c r="U1103">
        <v>3.7713851423967555E-2</v>
      </c>
      <c r="V1103">
        <v>0.24787869450278124</v>
      </c>
      <c r="W1103">
        <v>0.11538869266902549</v>
      </c>
      <c r="X1103">
        <v>2.1410905695162415E-2</v>
      </c>
      <c r="Y1103">
        <v>4.9710295138260018E-3</v>
      </c>
    </row>
    <row r="1104" spans="1:25" x14ac:dyDescent="0.25">
      <c r="A1104" s="881"/>
      <c r="B1104" s="1131">
        <v>854</v>
      </c>
      <c r="C1104" s="885">
        <v>0.97323003042523626</v>
      </c>
      <c r="D1104" s="885">
        <v>0.9962663313092136</v>
      </c>
      <c r="E1104" s="885">
        <v>0.9740024003397062</v>
      </c>
      <c r="F1104" s="885">
        <v>0.97572007370619196</v>
      </c>
      <c r="G1104" s="885">
        <v>1.0177902814797595</v>
      </c>
      <c r="H1104" s="885">
        <v>0.97179289656651613</v>
      </c>
      <c r="I1104" s="885">
        <v>1.0393873296964444</v>
      </c>
      <c r="K1104">
        <v>1.9517905732116625</v>
      </c>
      <c r="L1104">
        <v>0</v>
      </c>
      <c r="M1104">
        <v>2.0636924920435055E-3</v>
      </c>
      <c r="N1104">
        <v>0.1917199353323476</v>
      </c>
      <c r="O1104">
        <v>2.5888528929195933E-2</v>
      </c>
      <c r="P1104">
        <v>2.0975255492443098E-2</v>
      </c>
      <c r="Q1104">
        <v>2.9615521226967717E-3</v>
      </c>
      <c r="R1104">
        <v>2.0510194209634072E-3</v>
      </c>
      <c r="S1104">
        <v>0.21715183838610841</v>
      </c>
      <c r="T1104">
        <v>1.0607735382680938</v>
      </c>
      <c r="U1104">
        <v>3.834685473547346E-2</v>
      </c>
      <c r="V1104">
        <v>0.25216368196130784</v>
      </c>
      <c r="W1104">
        <v>0.11667545043629121</v>
      </c>
      <c r="X1104">
        <v>1.9564411873289694E-2</v>
      </c>
      <c r="Y1104">
        <v>5.5821987454919876E-3</v>
      </c>
    </row>
    <row r="1105" spans="1:25" x14ac:dyDescent="0.25">
      <c r="A1105" s="881"/>
      <c r="B1105" s="1131">
        <v>855</v>
      </c>
      <c r="C1105" s="885">
        <v>0.98522291167254783</v>
      </c>
      <c r="D1105" s="885">
        <v>0.99842262229880219</v>
      </c>
      <c r="E1105" s="885">
        <v>0.98630318296305752</v>
      </c>
      <c r="F1105" s="885">
        <v>0.97891162149077504</v>
      </c>
      <c r="G1105" s="885">
        <v>1.0217812713842598</v>
      </c>
      <c r="H1105" s="885">
        <v>0.99014316773952715</v>
      </c>
      <c r="I1105" s="885">
        <v>1.0244177495600677</v>
      </c>
      <c r="K1105">
        <v>1.9489341434224932</v>
      </c>
      <c r="L1105">
        <v>0</v>
      </c>
      <c r="M1105">
        <v>2.0219503441720925E-3</v>
      </c>
      <c r="N1105">
        <v>0.19520306887816624</v>
      </c>
      <c r="O1105">
        <v>2.5546030327002429E-2</v>
      </c>
      <c r="P1105">
        <v>2.1068797569177802E-2</v>
      </c>
      <c r="Q1105">
        <v>2.9595813320538746E-3</v>
      </c>
      <c r="R1105">
        <v>2.0097619009511705E-3</v>
      </c>
      <c r="S1105">
        <v>0.21314191985064573</v>
      </c>
      <c r="T1105">
        <v>1.0596341315886131</v>
      </c>
      <c r="U1105">
        <v>3.7880067707277247E-2</v>
      </c>
      <c r="V1105">
        <v>0.25012377880557884</v>
      </c>
      <c r="W1105">
        <v>0.11778564401792423</v>
      </c>
      <c r="X1105">
        <v>2.0133402412714607E-2</v>
      </c>
      <c r="Y1105">
        <v>5.4699093765564945E-3</v>
      </c>
    </row>
    <row r="1106" spans="1:25" x14ac:dyDescent="0.25">
      <c r="A1106" s="881"/>
      <c r="B1106" s="1131">
        <v>856</v>
      </c>
      <c r="C1106" s="885">
        <v>1.030420004988263</v>
      </c>
      <c r="D1106" s="885">
        <v>0.96420220728477346</v>
      </c>
      <c r="E1106" s="885">
        <v>0.99289030951528101</v>
      </c>
      <c r="F1106" s="885">
        <v>1.0075016841368989</v>
      </c>
      <c r="G1106" s="885">
        <v>1.022892723245729</v>
      </c>
      <c r="H1106" s="885">
        <v>0.98055427668452155</v>
      </c>
      <c r="I1106" s="885">
        <v>0.9888113847007296</v>
      </c>
      <c r="K1106">
        <v>1.91913711239144</v>
      </c>
      <c r="L1106">
        <v>0</v>
      </c>
      <c r="M1106">
        <v>1.9211455916290615E-3</v>
      </c>
      <c r="N1106">
        <v>0.18930589322034433</v>
      </c>
      <c r="O1106">
        <v>2.4851963321057036E-2</v>
      </c>
      <c r="P1106">
        <v>2.0922873675537062E-2</v>
      </c>
      <c r="Q1106">
        <v>2.8913126403498791E-3</v>
      </c>
      <c r="R1106">
        <v>1.9094800198416317E-3</v>
      </c>
      <c r="S1106">
        <v>0.19894385723617147</v>
      </c>
      <c r="T1106">
        <v>1.0590263890782299</v>
      </c>
      <c r="U1106">
        <v>3.6218542361609152E-2</v>
      </c>
      <c r="V1106">
        <v>0.24812158556002853</v>
      </c>
      <c r="W1106">
        <v>0.11370985760949731</v>
      </c>
      <c r="X1106">
        <v>1.9959528106311412E-2</v>
      </c>
      <c r="Y1106">
        <v>5.1969751540895523E-3</v>
      </c>
    </row>
    <row r="1107" spans="1:25" x14ac:dyDescent="0.25">
      <c r="A1107" s="881"/>
      <c r="B1107" s="1131">
        <v>857</v>
      </c>
      <c r="C1107" s="885">
        <v>0.99265989568894364</v>
      </c>
      <c r="D1107" s="885">
        <v>1.0403478748986992</v>
      </c>
      <c r="E1107" s="885">
        <v>0.97275255028768171</v>
      </c>
      <c r="F1107" s="885">
        <v>1.0039574943252425</v>
      </c>
      <c r="G1107" s="885">
        <v>1.010858577687535</v>
      </c>
      <c r="H1107" s="885">
        <v>1.00838574723466</v>
      </c>
      <c r="I1107" s="885">
        <v>0.98591557898223303</v>
      </c>
      <c r="K1107">
        <v>1.9239880099860067</v>
      </c>
      <c r="L1107">
        <v>0</v>
      </c>
      <c r="M1107">
        <v>2.0605095748729325E-3</v>
      </c>
      <c r="N1107">
        <v>0.19071924993353248</v>
      </c>
      <c r="O1107">
        <v>2.4844940444434086E-2</v>
      </c>
      <c r="P1107">
        <v>2.0629492375687248E-2</v>
      </c>
      <c r="Q1107">
        <v>2.8470607168360469E-3</v>
      </c>
      <c r="R1107">
        <v>2.0482788759229359E-3</v>
      </c>
      <c r="S1107">
        <v>0.20159586522717168</v>
      </c>
      <c r="T1107">
        <v>1.0608896385964828</v>
      </c>
      <c r="U1107">
        <v>3.759627115288583E-2</v>
      </c>
      <c r="V1107">
        <v>0.2439918936831946</v>
      </c>
      <c r="W1107">
        <v>0.11616763426573963</v>
      </c>
      <c r="X1107">
        <v>1.914345440367959E-2</v>
      </c>
      <c r="Y1107">
        <v>5.5747398853122519E-3</v>
      </c>
    </row>
    <row r="1108" spans="1:25" x14ac:dyDescent="0.25">
      <c r="A1108" s="881"/>
      <c r="B1108" s="1131">
        <v>858</v>
      </c>
      <c r="C1108" s="885">
        <v>1.0019154445635958</v>
      </c>
      <c r="D1108" s="885">
        <v>0.99721998308683524</v>
      </c>
      <c r="E1108" s="885">
        <v>0.98778117443825486</v>
      </c>
      <c r="F1108" s="885">
        <v>0.95709688370128188</v>
      </c>
      <c r="G1108" s="885">
        <v>1.0237011123033999</v>
      </c>
      <c r="H1108" s="885">
        <v>0.97885277442394647</v>
      </c>
      <c r="I1108" s="885">
        <v>0.95224244361835186</v>
      </c>
      <c r="K1108">
        <v>1.9171838011788203</v>
      </c>
      <c r="L1108">
        <v>0</v>
      </c>
      <c r="M1108">
        <v>1.9606642384000983E-3</v>
      </c>
      <c r="N1108">
        <v>0.19014640321423895</v>
      </c>
      <c r="O1108">
        <v>2.5135413359502968E-2</v>
      </c>
      <c r="P1108">
        <v>2.0790636250021938E-2</v>
      </c>
      <c r="Q1108">
        <v>2.9161255848382376E-3</v>
      </c>
      <c r="R1108">
        <v>1.9487099069564462E-3</v>
      </c>
      <c r="S1108">
        <v>0.19384451805828765</v>
      </c>
      <c r="T1108">
        <v>1.0594976221700938</v>
      </c>
      <c r="U1108">
        <v>3.7248962278620699E-2</v>
      </c>
      <c r="V1108">
        <v>0.24788049135115703</v>
      </c>
      <c r="W1108">
        <v>0.11461742105584341</v>
      </c>
      <c r="X1108">
        <v>1.9814416212970972E-2</v>
      </c>
      <c r="Y1108">
        <v>5.3037459746872653E-3</v>
      </c>
    </row>
    <row r="1109" spans="1:25" x14ac:dyDescent="0.25">
      <c r="A1109" s="881"/>
      <c r="B1109" s="1131">
        <v>859</v>
      </c>
      <c r="C1109" s="885">
        <v>0.98046612654819876</v>
      </c>
      <c r="D1109" s="885">
        <v>1.02548321458235</v>
      </c>
      <c r="E1109" s="885">
        <v>0.9991819576218911</v>
      </c>
      <c r="F1109" s="885">
        <v>1.0183732124525724</v>
      </c>
      <c r="G1109" s="885">
        <v>1.0215086745918631</v>
      </c>
      <c r="H1109" s="885">
        <v>0.99085059913712237</v>
      </c>
      <c r="I1109" s="885">
        <v>1.0157999494801171</v>
      </c>
      <c r="K1109">
        <v>1.9428943033028425</v>
      </c>
      <c r="L1109">
        <v>0</v>
      </c>
      <c r="M1109">
        <v>1.9529102343554582E-3</v>
      </c>
      <c r="N1109">
        <v>0.1962482660971813</v>
      </c>
      <c r="O1109">
        <v>2.5332950614035947E-2</v>
      </c>
      <c r="P1109">
        <v>2.1178940522343797E-2</v>
      </c>
      <c r="Q1109">
        <v>2.9788106346448659E-3</v>
      </c>
      <c r="R1109">
        <v>1.9411246671924025E-3</v>
      </c>
      <c r="S1109">
        <v>0.20986160288041494</v>
      </c>
      <c r="T1109">
        <v>1.0584474838996074</v>
      </c>
      <c r="U1109">
        <v>3.8063844930885854E-2</v>
      </c>
      <c r="V1109">
        <v>0.24746548240268923</v>
      </c>
      <c r="W1109">
        <v>0.11737212944548378</v>
      </c>
      <c r="X1109">
        <v>2.0673475990193105E-2</v>
      </c>
      <c r="Y1109">
        <v>5.2831014525231527E-3</v>
      </c>
    </row>
    <row r="1110" spans="1:25" x14ac:dyDescent="0.25">
      <c r="A1110" s="881"/>
      <c r="B1110" s="1131">
        <v>860</v>
      </c>
      <c r="C1110" s="885">
        <v>1.0057147649132454</v>
      </c>
      <c r="D1110" s="885">
        <v>0.98370072288931809</v>
      </c>
      <c r="E1110" s="885">
        <v>0.98572422359015988</v>
      </c>
      <c r="F1110" s="885">
        <v>0.99219294176359862</v>
      </c>
      <c r="G1110" s="885">
        <v>0.99675037999757887</v>
      </c>
      <c r="H1110" s="885">
        <v>1.0235663054770394</v>
      </c>
      <c r="I1110" s="885">
        <v>0.9887536358016169</v>
      </c>
      <c r="K1110">
        <v>1.9461232648017437</v>
      </c>
      <c r="L1110">
        <v>0</v>
      </c>
      <c r="M1110">
        <v>2.0652431675427206E-3</v>
      </c>
      <c r="N1110">
        <v>0.19906408436879264</v>
      </c>
      <c r="O1110">
        <v>2.5210443314110917E-2</v>
      </c>
      <c r="P1110">
        <v>2.0942515859154898E-2</v>
      </c>
      <c r="Q1110">
        <v>2.9159569922633192E-3</v>
      </c>
      <c r="R1110">
        <v>2.0532127101595553E-3</v>
      </c>
      <c r="S1110">
        <v>0.2062627984361407</v>
      </c>
      <c r="T1110">
        <v>1.0596876282378849</v>
      </c>
      <c r="U1110">
        <v>3.7108245700396211E-2</v>
      </c>
      <c r="V1110">
        <v>0.24905143071908137</v>
      </c>
      <c r="W1110">
        <v>0.12016344391719962</v>
      </c>
      <c r="X1110">
        <v>2.0140579558434134E-2</v>
      </c>
      <c r="Y1110">
        <v>5.5881681556663133E-3</v>
      </c>
    </row>
    <row r="1111" spans="1:25" x14ac:dyDescent="0.25">
      <c r="A1111" s="881"/>
      <c r="B1111" s="1131">
        <v>861</v>
      </c>
      <c r="C1111" s="885">
        <v>1.018118119945284</v>
      </c>
      <c r="D1111" s="885">
        <v>0.99191805572198843</v>
      </c>
      <c r="E1111" s="885">
        <v>1.0096160044656872</v>
      </c>
      <c r="F1111" s="885">
        <v>1.0154684825749261</v>
      </c>
      <c r="G1111" s="885">
        <v>1.0052664486795011</v>
      </c>
      <c r="H1111" s="885">
        <v>0.96646390020348705</v>
      </c>
      <c r="I1111" s="885">
        <v>1.0126049220266626</v>
      </c>
      <c r="K1111">
        <v>1.9188402240882221</v>
      </c>
      <c r="L1111">
        <v>0</v>
      </c>
      <c r="M1111">
        <v>1.8242500723330212E-3</v>
      </c>
      <c r="N1111">
        <v>0.18933932886922938</v>
      </c>
      <c r="O1111">
        <v>2.4800805917350323E-2</v>
      </c>
      <c r="P1111">
        <v>2.1188500592203546E-2</v>
      </c>
      <c r="Q1111">
        <v>2.9401062196427199E-3</v>
      </c>
      <c r="R1111">
        <v>1.8129890618525661E-3</v>
      </c>
      <c r="S1111">
        <v>0.20209688528310812</v>
      </c>
      <c r="T1111">
        <v>1.0574908290801064</v>
      </c>
      <c r="U1111">
        <v>3.6656169721173984E-2</v>
      </c>
      <c r="V1111">
        <v>0.24629255745988887</v>
      </c>
      <c r="W1111">
        <v>0.11243690433704694</v>
      </c>
      <c r="X1111">
        <v>2.0675039044271478E-2</v>
      </c>
      <c r="Y1111">
        <v>4.934358574679068E-3</v>
      </c>
    </row>
    <row r="1112" spans="1:25" x14ac:dyDescent="0.25">
      <c r="A1112" s="881"/>
      <c r="B1112" s="1131">
        <v>862</v>
      </c>
      <c r="C1112" s="885">
        <v>0.99412507058950417</v>
      </c>
      <c r="D1112" s="885">
        <v>1.0084065541447986</v>
      </c>
      <c r="E1112" s="885">
        <v>0.99868190537295332</v>
      </c>
      <c r="F1112" s="885">
        <v>1.0166564271412557</v>
      </c>
      <c r="G1112" s="885">
        <v>0.99900346205965551</v>
      </c>
      <c r="H1112" s="885">
        <v>0.99746990580046979</v>
      </c>
      <c r="I1112" s="885">
        <v>1.0448792299719809</v>
      </c>
      <c r="K1112">
        <v>1.9480652829521599</v>
      </c>
      <c r="L1112">
        <v>0</v>
      </c>
      <c r="M1112">
        <v>1.9571373505666003E-3</v>
      </c>
      <c r="N1112">
        <v>0.196376574639958</v>
      </c>
      <c r="O1112">
        <v>2.5192944010034819E-2</v>
      </c>
      <c r="P1112">
        <v>2.1239735570857964E-2</v>
      </c>
      <c r="Q1112">
        <v>2.9574196854180198E-3</v>
      </c>
      <c r="R1112">
        <v>1.9454181970314701E-3</v>
      </c>
      <c r="S1112">
        <v>0.21524746728198466</v>
      </c>
      <c r="T1112">
        <v>1.0584934381794011</v>
      </c>
      <c r="U1112">
        <v>3.7540860506401277E-2</v>
      </c>
      <c r="V1112">
        <v>0.24759570527503844</v>
      </c>
      <c r="W1112">
        <v>0.11748909092995298</v>
      </c>
      <c r="X1112">
        <v>2.0648979001262512E-2</v>
      </c>
      <c r="Y1112">
        <v>5.2947870253833651E-3</v>
      </c>
    </row>
    <row r="1113" spans="1:25" x14ac:dyDescent="0.25">
      <c r="A1113" s="881"/>
      <c r="B1113" s="1131">
        <v>863</v>
      </c>
      <c r="C1113" s="885">
        <v>1.0344970973045728</v>
      </c>
      <c r="D1113" s="885">
        <v>1.0131363460318241</v>
      </c>
      <c r="E1113" s="885">
        <v>1.0240854087694364</v>
      </c>
      <c r="F1113" s="885">
        <v>1.0119789631707996</v>
      </c>
      <c r="G1113" s="885">
        <v>0.98884171264919507</v>
      </c>
      <c r="H1113" s="885">
        <v>1.0269106711705429</v>
      </c>
      <c r="I1113" s="885">
        <v>1.0308000799192294</v>
      </c>
      <c r="K1113">
        <v>1.931102302642473</v>
      </c>
      <c r="L1113">
        <v>0</v>
      </c>
      <c r="M1113">
        <v>1.8309981381688389E-3</v>
      </c>
      <c r="N1113">
        <v>0.19884981694041837</v>
      </c>
      <c r="O1113">
        <v>2.415384184445395E-2</v>
      </c>
      <c r="P1113">
        <v>2.1384798262257469E-2</v>
      </c>
      <c r="Q1113">
        <v>2.9092536827960407E-3</v>
      </c>
      <c r="R1113">
        <v>1.8203451820708479E-3</v>
      </c>
      <c r="S1113">
        <v>0.20657262791023684</v>
      </c>
      <c r="T1113">
        <v>1.0561712217348456</v>
      </c>
      <c r="U1113">
        <v>3.6075800210707776E-2</v>
      </c>
      <c r="V1113">
        <v>0.24153538107809625</v>
      </c>
      <c r="W1113">
        <v>0.11693476203005579</v>
      </c>
      <c r="X1113">
        <v>2.1571072395733699E-2</v>
      </c>
      <c r="Y1113">
        <v>4.9543795089688515E-3</v>
      </c>
    </row>
    <row r="1114" spans="1:25" x14ac:dyDescent="0.25">
      <c r="A1114" s="881"/>
      <c r="B1114" s="1131">
        <v>864</v>
      </c>
      <c r="C1114" s="885">
        <v>0.99434260275166375</v>
      </c>
      <c r="D1114" s="885">
        <v>1.0159222299353545</v>
      </c>
      <c r="E1114" s="885">
        <v>0.98105708956442728</v>
      </c>
      <c r="F1114" s="885">
        <v>1.0140635543961327</v>
      </c>
      <c r="G1114" s="885">
        <v>0.98130914633388233</v>
      </c>
      <c r="H1114" s="885">
        <v>1.0028034857145223</v>
      </c>
      <c r="I1114" s="885">
        <v>0.99116843139652422</v>
      </c>
      <c r="K1114">
        <v>1.9324411318059913</v>
      </c>
      <c r="L1114">
        <v>0</v>
      </c>
      <c r="M1114">
        <v>2.0339681427622362E-3</v>
      </c>
      <c r="N1114">
        <v>0.19319400778815529</v>
      </c>
      <c r="O1114">
        <v>2.5095179760835497E-2</v>
      </c>
      <c r="P1114">
        <v>2.081706338219539E-2</v>
      </c>
      <c r="Q1114">
        <v>2.8954134787383965E-3</v>
      </c>
      <c r="R1114">
        <v>2.0218475090085096E-3</v>
      </c>
      <c r="S1114">
        <v>0.20397871904892295</v>
      </c>
      <c r="T1114">
        <v>1.0601193531687847</v>
      </c>
      <c r="U1114">
        <v>3.7532647698730472E-2</v>
      </c>
      <c r="V1114">
        <v>0.24664924819467993</v>
      </c>
      <c r="W1114">
        <v>0.11699740248729226</v>
      </c>
      <c r="X1114">
        <v>1.9671415013740468E-2</v>
      </c>
      <c r="Y1114">
        <v>5.5028024176689457E-3</v>
      </c>
    </row>
    <row r="1115" spans="1:25" x14ac:dyDescent="0.25">
      <c r="A1115" s="881"/>
      <c r="B1115" s="1131">
        <v>865</v>
      </c>
      <c r="C1115" s="885">
        <v>1.0006010647018415</v>
      </c>
      <c r="D1115" s="885">
        <v>1.0119709718786778</v>
      </c>
      <c r="E1115" s="885">
        <v>1.0265260960784224</v>
      </c>
      <c r="F1115" s="885">
        <v>0.98580797848742929</v>
      </c>
      <c r="G1115" s="885">
        <v>0.98173611112670134</v>
      </c>
      <c r="H1115" s="885">
        <v>0.97042621179706501</v>
      </c>
      <c r="I1115" s="885">
        <v>0.99614677980675681</v>
      </c>
      <c r="K1115">
        <v>1.9254020142714354</v>
      </c>
      <c r="L1115">
        <v>0</v>
      </c>
      <c r="M1115">
        <v>1.7807051597192966E-3</v>
      </c>
      <c r="N1115">
        <v>0.19479288990196944</v>
      </c>
      <c r="O1115">
        <v>2.4986275555893125E-2</v>
      </c>
      <c r="P1115">
        <v>2.1422713330980555E-2</v>
      </c>
      <c r="Q1115">
        <v>3.0165667877262558E-3</v>
      </c>
      <c r="R1115">
        <v>1.7697426509616103E-3</v>
      </c>
      <c r="S1115">
        <v>0.2008422293811957</v>
      </c>
      <c r="T1115">
        <v>1.0559494382082768</v>
      </c>
      <c r="U1115">
        <v>3.729789215448974E-2</v>
      </c>
      <c r="V1115">
        <v>0.24625072930501923</v>
      </c>
      <c r="W1115">
        <v>0.11436125696636608</v>
      </c>
      <c r="X1115">
        <v>2.167632908786583E-2</v>
      </c>
      <c r="Y1115">
        <v>4.8166561004094055E-3</v>
      </c>
    </row>
    <row r="1116" spans="1:25" x14ac:dyDescent="0.25">
      <c r="A1116" s="881"/>
      <c r="B1116" s="1131">
        <v>866</v>
      </c>
      <c r="C1116" s="885">
        <v>0.97859132081199485</v>
      </c>
      <c r="D1116" s="885">
        <v>0.98502755908494544</v>
      </c>
      <c r="E1116" s="885">
        <v>0.98552857545378281</v>
      </c>
      <c r="F1116" s="885">
        <v>0.9617428900428544</v>
      </c>
      <c r="G1116" s="885">
        <v>1.0310852994702422</v>
      </c>
      <c r="H1116" s="885">
        <v>0.96894503527244435</v>
      </c>
      <c r="I1116" s="885">
        <v>0.9770630151149674</v>
      </c>
      <c r="K1116">
        <v>1.9400141416707015</v>
      </c>
      <c r="L1116">
        <v>0</v>
      </c>
      <c r="M1116">
        <v>2.0087052150116361E-3</v>
      </c>
      <c r="N1116">
        <v>0.19343255545376514</v>
      </c>
      <c r="O1116">
        <v>2.5891878050767654E-2</v>
      </c>
      <c r="P1116">
        <v>2.0970991263701239E-2</v>
      </c>
      <c r="Q1116">
        <v>2.9944645985315863E-3</v>
      </c>
      <c r="R1116">
        <v>1.9963433260784453E-3</v>
      </c>
      <c r="S1116">
        <v>0.20378299977135098</v>
      </c>
      <c r="T1116">
        <v>1.0597057093399438</v>
      </c>
      <c r="U1116">
        <v>3.8136768441753698E-2</v>
      </c>
      <c r="V1116">
        <v>0.25282326574096592</v>
      </c>
      <c r="W1116">
        <v>0.11677980679431758</v>
      </c>
      <c r="X1116">
        <v>2.007467566534854E-2</v>
      </c>
      <c r="Y1116">
        <v>5.4333884391849531E-3</v>
      </c>
    </row>
    <row r="1117" spans="1:25" x14ac:dyDescent="0.25">
      <c r="A1117" s="881"/>
      <c r="B1117" s="1131">
        <v>867</v>
      </c>
      <c r="C1117" s="885">
        <v>0.99631314814150729</v>
      </c>
      <c r="D1117" s="885">
        <v>1.0084260499313142</v>
      </c>
      <c r="E1117" s="885">
        <v>1.0205181602677558</v>
      </c>
      <c r="F1117" s="885">
        <v>1.0216286554867084</v>
      </c>
      <c r="G1117" s="885">
        <v>1.0318122366259423</v>
      </c>
      <c r="H1117" s="885">
        <v>0.97500878662259216</v>
      </c>
      <c r="I1117" s="885">
        <v>1.0111959756404059</v>
      </c>
      <c r="K1117">
        <v>1.9339154402383174</v>
      </c>
      <c r="L1117">
        <v>0</v>
      </c>
      <c r="M1117">
        <v>1.822931398945985E-3</v>
      </c>
      <c r="N1117">
        <v>0.19573174476491328</v>
      </c>
      <c r="O1117">
        <v>2.5137375628003875E-2</v>
      </c>
      <c r="P1117">
        <v>2.1418289916135994E-2</v>
      </c>
      <c r="Q1117">
        <v>3.0160370651601265E-3</v>
      </c>
      <c r="R1117">
        <v>1.8117643835176207E-3</v>
      </c>
      <c r="S1117">
        <v>0.20555185469314236</v>
      </c>
      <c r="T1117">
        <v>1.0564957942552551</v>
      </c>
      <c r="U1117">
        <v>3.745841422501861E-2</v>
      </c>
      <c r="V1117">
        <v>0.24728886276125125</v>
      </c>
      <c r="W1117">
        <v>0.11537811262202598</v>
      </c>
      <c r="X1117">
        <v>2.1519095918871103E-2</v>
      </c>
      <c r="Y1117">
        <v>4.9310254039664518E-3</v>
      </c>
    </row>
    <row r="1118" spans="1:25" x14ac:dyDescent="0.25">
      <c r="A1118" s="881"/>
      <c r="B1118" s="1131">
        <v>868</v>
      </c>
      <c r="C1118" s="885">
        <v>1.0103700338310204</v>
      </c>
      <c r="D1118" s="885">
        <v>1.0078444579640955</v>
      </c>
      <c r="E1118" s="885">
        <v>0.99553143615243833</v>
      </c>
      <c r="F1118" s="885">
        <v>1.0302924704570107</v>
      </c>
      <c r="G1118" s="885">
        <v>1.0216844091848476</v>
      </c>
      <c r="H1118" s="885">
        <v>0.9836862326046677</v>
      </c>
      <c r="I1118" s="885">
        <v>1.0210881759690411</v>
      </c>
      <c r="K1118">
        <v>1.9246211194518579</v>
      </c>
      <c r="L1118">
        <v>0</v>
      </c>
      <c r="M1118">
        <v>1.9122224032760728E-3</v>
      </c>
      <c r="N1118">
        <v>0.18998205751384772</v>
      </c>
      <c r="O1118">
        <v>2.4794720543385836E-2</v>
      </c>
      <c r="P1118">
        <v>2.1024565103100534E-2</v>
      </c>
      <c r="Q1118">
        <v>2.9013419155227232E-3</v>
      </c>
      <c r="R1118">
        <v>1.9006121998437649E-3</v>
      </c>
      <c r="S1118">
        <v>0.20561310689533488</v>
      </c>
      <c r="T1118">
        <v>1.0587831869193869</v>
      </c>
      <c r="U1118">
        <v>3.693726986281403E-2</v>
      </c>
      <c r="V1118">
        <v>0.24540198145400444</v>
      </c>
      <c r="W1118">
        <v>0.1139091324169708</v>
      </c>
      <c r="X1118">
        <v>2.0112527159588504E-2</v>
      </c>
      <c r="Y1118">
        <v>5.1728398713314335E-3</v>
      </c>
    </row>
    <row r="1119" spans="1:25" x14ac:dyDescent="0.25">
      <c r="A1119" s="881"/>
      <c r="B1119" s="1131">
        <v>869</v>
      </c>
      <c r="C1119" s="885">
        <v>0.98917543401361985</v>
      </c>
      <c r="D1119" s="885">
        <v>0.9649687222875547</v>
      </c>
      <c r="E1119" s="885">
        <v>1.0235838957868</v>
      </c>
      <c r="F1119" s="885">
        <v>0.97913215998545156</v>
      </c>
      <c r="G1119" s="885">
        <v>1.038825905219771</v>
      </c>
      <c r="H1119" s="885">
        <v>0.99090103741995939</v>
      </c>
      <c r="I1119" s="885">
        <v>1.0051476094589975</v>
      </c>
      <c r="K1119">
        <v>1.9638401193987207</v>
      </c>
      <c r="L1119">
        <v>0</v>
      </c>
      <c r="M1119">
        <v>1.8948759612481716E-3</v>
      </c>
      <c r="N1119">
        <v>0.20542732475332054</v>
      </c>
      <c r="O1119">
        <v>2.587795651766403E-2</v>
      </c>
      <c r="P1119">
        <v>2.164314852350778E-2</v>
      </c>
      <c r="Q1119">
        <v>3.10475421281069E-3</v>
      </c>
      <c r="R1119">
        <v>1.883489410430087E-3</v>
      </c>
      <c r="S1119">
        <v>0.21166859998382057</v>
      </c>
      <c r="T1119">
        <v>1.0562168227284803</v>
      </c>
      <c r="U1119">
        <v>3.772870748466544E-2</v>
      </c>
      <c r="V1119">
        <v>0.25390841621005961</v>
      </c>
      <c r="W1119">
        <v>0.12084348186334561</v>
      </c>
      <c r="X1119">
        <v>2.2306056388792687E-2</v>
      </c>
      <c r="Y1119">
        <v>5.1262372830734168E-3</v>
      </c>
    </row>
    <row r="1120" spans="1:25" x14ac:dyDescent="0.25">
      <c r="A1120" s="881"/>
      <c r="B1120" s="1131">
        <v>870</v>
      </c>
      <c r="C1120" s="885">
        <v>1.0005679632278894</v>
      </c>
      <c r="D1120" s="885">
        <v>0.98495957716373506</v>
      </c>
      <c r="E1120" s="885">
        <v>1.0096087958657536</v>
      </c>
      <c r="F1120" s="885">
        <v>1.0269392709387244</v>
      </c>
      <c r="G1120" s="885">
        <v>1.0168907740046766</v>
      </c>
      <c r="H1120" s="885">
        <v>1.0202911360470694</v>
      </c>
      <c r="I1120" s="885">
        <v>0.98516246618885539</v>
      </c>
      <c r="K1120">
        <v>1.9523271433366822</v>
      </c>
      <c r="L1120">
        <v>0</v>
      </c>
      <c r="M1120">
        <v>1.9665073207993885E-3</v>
      </c>
      <c r="N1120">
        <v>0.20416713648465987</v>
      </c>
      <c r="O1120">
        <v>2.5324051448922039E-2</v>
      </c>
      <c r="P1120">
        <v>2.1298319852524391E-2</v>
      </c>
      <c r="Q1120">
        <v>3.0006342372684638E-3</v>
      </c>
      <c r="R1120">
        <v>1.9550142221346589E-3</v>
      </c>
      <c r="S1120">
        <v>0.20612035386790514</v>
      </c>
      <c r="T1120">
        <v>1.0574914885412621</v>
      </c>
      <c r="U1120">
        <v>3.7299126068877406E-2</v>
      </c>
      <c r="V1120">
        <v>0.24962313846858872</v>
      </c>
      <c r="W1120">
        <v>0.1212428152295222</v>
      </c>
      <c r="X1120">
        <v>2.145066799342869E-2</v>
      </c>
      <c r="Y1120">
        <v>5.3209042423854186E-3</v>
      </c>
    </row>
    <row r="1121" spans="1:25" x14ac:dyDescent="0.25">
      <c r="A1121" s="881"/>
      <c r="B1121" s="1131">
        <v>871</v>
      </c>
      <c r="C1121" s="885">
        <v>1.0069914278104741</v>
      </c>
      <c r="D1121" s="885">
        <v>0.99022891663666457</v>
      </c>
      <c r="E1121" s="885">
        <v>1.0206883505344395</v>
      </c>
      <c r="F1121" s="885">
        <v>1.0195381425041758</v>
      </c>
      <c r="G1121" s="885">
        <v>0.99671443959872574</v>
      </c>
      <c r="H1121" s="885">
        <v>0.99149012636844747</v>
      </c>
      <c r="I1121" s="885">
        <v>0.97566825540576196</v>
      </c>
      <c r="K1121">
        <v>1.9330658741306792</v>
      </c>
      <c r="L1121">
        <v>0</v>
      </c>
      <c r="M1121">
        <v>1.850017551318024E-3</v>
      </c>
      <c r="N1121">
        <v>0.19876696432820798</v>
      </c>
      <c r="O1121">
        <v>2.5096030315980344E-2</v>
      </c>
      <c r="P1121">
        <v>2.1341801975081408E-2</v>
      </c>
      <c r="Q1121">
        <v>3.0077639300935231E-3</v>
      </c>
      <c r="R1121">
        <v>1.8388870535116877E-3</v>
      </c>
      <c r="S1121">
        <v>0.19949654596606181</v>
      </c>
      <c r="T1121">
        <v>1.0564802978833854</v>
      </c>
      <c r="U1121">
        <v>3.7061199897265626E-2</v>
      </c>
      <c r="V1121">
        <v>0.24804470377721552</v>
      </c>
      <c r="W1121">
        <v>0.11715383621124802</v>
      </c>
      <c r="X1121">
        <v>2.1623015973240803E-2</v>
      </c>
      <c r="Y1121">
        <v>5.0048443707045387E-3</v>
      </c>
    </row>
    <row r="1122" spans="1:25" x14ac:dyDescent="0.25">
      <c r="A1122" s="881"/>
      <c r="B1122" s="1131">
        <v>872</v>
      </c>
      <c r="C1122" s="885">
        <v>1.0047945245810281</v>
      </c>
      <c r="D1122" s="885">
        <v>0.99791288234994346</v>
      </c>
      <c r="E1122" s="885">
        <v>1.0358603572215384</v>
      </c>
      <c r="F1122" s="885">
        <v>1.0202395878408541</v>
      </c>
      <c r="G1122" s="885">
        <v>1.0153057362993683</v>
      </c>
      <c r="H1122" s="885">
        <v>0.97903424048111376</v>
      </c>
      <c r="I1122" s="885">
        <v>0.98760632705006779</v>
      </c>
      <c r="K1122">
        <v>1.931722654562984</v>
      </c>
      <c r="L1122">
        <v>0</v>
      </c>
      <c r="M1122">
        <v>1.7661857309466333E-3</v>
      </c>
      <c r="N1122">
        <v>0.19889620236940594</v>
      </c>
      <c r="O1122">
        <v>2.5054773181366393E-2</v>
      </c>
      <c r="P1122">
        <v>2.1564450660391997E-2</v>
      </c>
      <c r="Q1122">
        <v>3.0498933619907322E-3</v>
      </c>
      <c r="R1122">
        <v>1.7554186281908142E-3</v>
      </c>
      <c r="S1122">
        <v>0.20042154223150668</v>
      </c>
      <c r="T1122">
        <v>1.0551033918066333</v>
      </c>
      <c r="U1122">
        <v>3.7142231260145882E-2</v>
      </c>
      <c r="V1122">
        <v>0.24739337962756622</v>
      </c>
      <c r="W1122">
        <v>0.11604275202775104</v>
      </c>
      <c r="X1122">
        <v>2.2287134306641802E-2</v>
      </c>
      <c r="Y1122">
        <v>4.7776708323401338E-3</v>
      </c>
    </row>
    <row r="1123" spans="1:25" x14ac:dyDescent="0.25">
      <c r="A1123" s="881"/>
      <c r="B1123" s="1131">
        <v>873</v>
      </c>
      <c r="C1123" s="885">
        <v>1.0221106157687632</v>
      </c>
      <c r="D1123" s="885">
        <v>0.99714878644283411</v>
      </c>
      <c r="E1123" s="885">
        <v>0.99892018011584915</v>
      </c>
      <c r="F1123" s="885">
        <v>0.9974279664156499</v>
      </c>
      <c r="G1123" s="885">
        <v>0.99122355145230556</v>
      </c>
      <c r="H1123" s="885">
        <v>1.0304388422796251</v>
      </c>
      <c r="I1123" s="885">
        <v>1.0200903665283205</v>
      </c>
      <c r="K1123">
        <v>1.9406522299797166</v>
      </c>
      <c r="L1123">
        <v>0</v>
      </c>
      <c r="M1123">
        <v>1.9764209581372458E-3</v>
      </c>
      <c r="N1123">
        <v>0.19849769126659347</v>
      </c>
      <c r="O1123">
        <v>2.4639651367871766E-2</v>
      </c>
      <c r="P1123">
        <v>2.1106954706527684E-2</v>
      </c>
      <c r="Q1123">
        <v>2.890900908281938E-3</v>
      </c>
      <c r="R1123">
        <v>1.9649738833668971E-3</v>
      </c>
      <c r="S1123">
        <v>0.20877734393536837</v>
      </c>
      <c r="T1123">
        <v>1.0584715397645654</v>
      </c>
      <c r="U1123">
        <v>3.6512985996967694E-2</v>
      </c>
      <c r="V1123">
        <v>0.24510144978395998</v>
      </c>
      <c r="W1123">
        <v>0.11873874581021833</v>
      </c>
      <c r="X1123">
        <v>2.0578402357072863E-2</v>
      </c>
      <c r="Y1123">
        <v>5.3480111570581284E-3</v>
      </c>
    </row>
    <row r="1124" spans="1:25" x14ac:dyDescent="0.25">
      <c r="A1124" s="881"/>
      <c r="B1124" s="1131">
        <v>874</v>
      </c>
      <c r="C1124" s="885">
        <v>0.98686553535091714</v>
      </c>
      <c r="D1124" s="885">
        <v>0.96633245866236361</v>
      </c>
      <c r="E1124" s="885">
        <v>1.0045117960996899</v>
      </c>
      <c r="F1124" s="885">
        <v>1.0341928628938317</v>
      </c>
      <c r="G1124" s="885">
        <v>1.0418512185199138</v>
      </c>
      <c r="H1124" s="885">
        <v>0.95605661078071402</v>
      </c>
      <c r="I1124" s="885">
        <v>1.002751571980846</v>
      </c>
      <c r="K1124">
        <v>1.9449347564071331</v>
      </c>
      <c r="L1124">
        <v>0</v>
      </c>
      <c r="M1124">
        <v>1.9064499239212342E-3</v>
      </c>
      <c r="N1124">
        <v>0.19474422722843832</v>
      </c>
      <c r="O1124">
        <v>2.592031360182593E-2</v>
      </c>
      <c r="P1124">
        <v>2.1316361724377297E-2</v>
      </c>
      <c r="Q1124">
        <v>3.0515423971362002E-3</v>
      </c>
      <c r="R1124">
        <v>1.8945751148553742E-3</v>
      </c>
      <c r="S1124">
        <v>0.20787609788095379</v>
      </c>
      <c r="T1124">
        <v>1.0579582826093619</v>
      </c>
      <c r="U1124">
        <v>3.7817016872157994E-2</v>
      </c>
      <c r="V1124">
        <v>0.25406828625360611</v>
      </c>
      <c r="W1124">
        <v>0.11604914950022724</v>
      </c>
      <c r="X1124">
        <v>2.0988944231995328E-2</v>
      </c>
      <c r="Y1124">
        <v>5.1564089161175676E-3</v>
      </c>
    </row>
    <row r="1125" spans="1:25" x14ac:dyDescent="0.25">
      <c r="A1125" s="881"/>
      <c r="B1125" s="1131">
        <v>875</v>
      </c>
      <c r="C1125" s="885">
        <v>0.95493586494059013</v>
      </c>
      <c r="D1125" s="885">
        <v>1.0331535731824457</v>
      </c>
      <c r="E1125" s="885">
        <v>1.0192849333833947</v>
      </c>
      <c r="F1125" s="885">
        <v>0.97552682051163342</v>
      </c>
      <c r="G1125" s="885">
        <v>0.99548591482914817</v>
      </c>
      <c r="H1125" s="885">
        <v>0.96602733507750693</v>
      </c>
      <c r="I1125" s="885">
        <v>1.0357420025213984</v>
      </c>
      <c r="K1125">
        <v>1.9572805918931078</v>
      </c>
      <c r="L1125">
        <v>0</v>
      </c>
      <c r="M1125">
        <v>1.8668762759315831E-3</v>
      </c>
      <c r="N1125">
        <v>0.19967021466060522</v>
      </c>
      <c r="O1125">
        <v>2.59148431142667E-2</v>
      </c>
      <c r="P1125">
        <v>2.161294035311806E-2</v>
      </c>
      <c r="Q1125">
        <v>3.1107110768493432E-3</v>
      </c>
      <c r="R1125">
        <v>1.8553145166022927E-3</v>
      </c>
      <c r="S1125">
        <v>0.21627433082052958</v>
      </c>
      <c r="T1125">
        <v>1.0566081173667867</v>
      </c>
      <c r="U1125">
        <v>3.908148386827915E-2</v>
      </c>
      <c r="V1125">
        <v>0.25028984638169266</v>
      </c>
      <c r="W1125">
        <v>0.11779771673963835</v>
      </c>
      <c r="X1125">
        <v>2.1882394760745494E-2</v>
      </c>
      <c r="Y1125">
        <v>5.0495545099254156E-3</v>
      </c>
    </row>
    <row r="1126" spans="1:25" x14ac:dyDescent="0.25">
      <c r="A1126" s="881"/>
      <c r="B1126" s="1131">
        <v>876</v>
      </c>
      <c r="C1126" s="885">
        <v>0.9953601641066161</v>
      </c>
      <c r="D1126" s="885">
        <v>1.0206591611876228</v>
      </c>
      <c r="E1126" s="885">
        <v>0.98460127024422972</v>
      </c>
      <c r="F1126" s="885">
        <v>1.0351294868655478</v>
      </c>
      <c r="G1126" s="885">
        <v>0.96865952934914701</v>
      </c>
      <c r="H1126" s="885">
        <v>1.0412605333310294</v>
      </c>
      <c r="I1126" s="885">
        <v>1.0043638094166083</v>
      </c>
      <c r="K1126">
        <v>1.9497083864769871</v>
      </c>
      <c r="L1126">
        <v>0</v>
      </c>
      <c r="M1126">
        <v>2.089363709064004E-3</v>
      </c>
      <c r="N1126">
        <v>0.20070291192569706</v>
      </c>
      <c r="O1126">
        <v>2.5012009345253564E-2</v>
      </c>
      <c r="P1126">
        <v>2.0938795234281795E-2</v>
      </c>
      <c r="Q1126">
        <v>2.8971473084790614E-3</v>
      </c>
      <c r="R1126">
        <v>2.0773689773806599E-3</v>
      </c>
      <c r="S1126">
        <v>0.20993119424454781</v>
      </c>
      <c r="T1126">
        <v>1.0597914277936065</v>
      </c>
      <c r="U1126">
        <v>3.749427789730133E-2</v>
      </c>
      <c r="V1126">
        <v>0.24593536260380708</v>
      </c>
      <c r="W1126">
        <v>0.12124680723711227</v>
      </c>
      <c r="X1126">
        <v>2.0116534066650558E-2</v>
      </c>
      <c r="Y1126">
        <v>5.6539135519308083E-3</v>
      </c>
    </row>
    <row r="1127" spans="1:25" x14ac:dyDescent="0.25">
      <c r="A1127" s="881"/>
      <c r="B1127" s="1131">
        <v>877</v>
      </c>
      <c r="C1127" s="885">
        <v>1.0132464983727387</v>
      </c>
      <c r="D1127" s="885">
        <v>1.0032437326518104</v>
      </c>
      <c r="E1127" s="885">
        <v>1.0089797479778697</v>
      </c>
      <c r="F1127" s="885">
        <v>1.0292687040286088</v>
      </c>
      <c r="G1127" s="885">
        <v>1.0419030375984113</v>
      </c>
      <c r="H1127" s="885">
        <v>1.0096070259536762</v>
      </c>
      <c r="I1127" s="885">
        <v>1.0075694563595039</v>
      </c>
      <c r="K1127">
        <v>1.9352980876394166</v>
      </c>
      <c r="L1127">
        <v>0</v>
      </c>
      <c r="M1127">
        <v>1.9066786254689284E-3</v>
      </c>
      <c r="N1127">
        <v>0.19755503534881821</v>
      </c>
      <c r="O1127">
        <v>2.478034734174258E-2</v>
      </c>
      <c r="P1127">
        <v>2.1216375842393526E-2</v>
      </c>
      <c r="Q1127">
        <v>2.938139253932894E-3</v>
      </c>
      <c r="R1127">
        <v>1.8954028661782537E-3</v>
      </c>
      <c r="S1127">
        <v>0.2053439940135536</v>
      </c>
      <c r="T1127">
        <v>1.0575490432600878</v>
      </c>
      <c r="U1127">
        <v>3.6832410139934164E-2</v>
      </c>
      <c r="V1127">
        <v>0.2455659633535284</v>
      </c>
      <c r="W1127">
        <v>0.11736645833912869</v>
      </c>
      <c r="X1127">
        <v>2.1002934723237301E-2</v>
      </c>
      <c r="Y1127">
        <v>5.1586617823502941E-3</v>
      </c>
    </row>
    <row r="1128" spans="1:25" x14ac:dyDescent="0.25">
      <c r="A1128" s="881"/>
      <c r="B1128" s="1131">
        <v>878</v>
      </c>
      <c r="C1128" s="885">
        <v>0.99907862322362684</v>
      </c>
      <c r="D1128" s="885">
        <v>1.0313010193194336</v>
      </c>
      <c r="E1128" s="885">
        <v>0.98479863276198076</v>
      </c>
      <c r="F1128" s="885">
        <v>1.0103552239394598</v>
      </c>
      <c r="G1128" s="885">
        <v>1.0010084746779271</v>
      </c>
      <c r="H1128" s="885">
        <v>1.0098901692339743</v>
      </c>
      <c r="I1128" s="885">
        <v>0.99769524228437778</v>
      </c>
      <c r="K1128">
        <v>1.928094444560752</v>
      </c>
      <c r="L1128">
        <v>0</v>
      </c>
      <c r="M1128">
        <v>2.0077481512125344E-3</v>
      </c>
      <c r="N1128">
        <v>0.19294613700123553</v>
      </c>
      <c r="O1128">
        <v>2.4791753856458813E-2</v>
      </c>
      <c r="P1128">
        <v>2.0831073082569727E-2</v>
      </c>
      <c r="Q1128">
        <v>2.874263901087437E-3</v>
      </c>
      <c r="R1128">
        <v>1.9958554739509457E-3</v>
      </c>
      <c r="S1128">
        <v>0.20365400543978243</v>
      </c>
      <c r="T1128">
        <v>1.0597731811546216</v>
      </c>
      <c r="U1128">
        <v>3.7354728380134011E-2</v>
      </c>
      <c r="V1128">
        <v>0.24415511038233556</v>
      </c>
      <c r="W1128">
        <v>0.11654494619682611</v>
      </c>
      <c r="X1128">
        <v>1.9749077176449911E-2</v>
      </c>
      <c r="Y1128">
        <v>5.4320606665143115E-3</v>
      </c>
    </row>
    <row r="1129" spans="1:25" x14ac:dyDescent="0.25">
      <c r="A1129" s="881"/>
      <c r="B1129" s="1131">
        <v>879</v>
      </c>
      <c r="C1129" s="885">
        <v>0.96443475629529063</v>
      </c>
      <c r="D1129" s="885">
        <v>1.0264483850019814</v>
      </c>
      <c r="E1129" s="885">
        <v>1.0011038141509996</v>
      </c>
      <c r="F1129" s="885">
        <v>0.98976027869943684</v>
      </c>
      <c r="G1129" s="885">
        <v>1.017543528982334</v>
      </c>
      <c r="H1129" s="885">
        <v>1.0006970970529949</v>
      </c>
      <c r="I1129" s="885">
        <v>0.97474863352456631</v>
      </c>
      <c r="K1129">
        <v>1.9510444689438535</v>
      </c>
      <c r="L1129">
        <v>0</v>
      </c>
      <c r="M1129">
        <v>1.9960773953695116E-3</v>
      </c>
      <c r="N1129">
        <v>0.20180102437744166</v>
      </c>
      <c r="O1129">
        <v>2.5742101478094175E-2</v>
      </c>
      <c r="P1129">
        <v>2.1188213882919815E-2</v>
      </c>
      <c r="Q1129">
        <v>3.0329705036919361E-3</v>
      </c>
      <c r="R1129">
        <v>1.9841490800336804E-3</v>
      </c>
      <c r="S1129">
        <v>0.20563415523192452</v>
      </c>
      <c r="T1129">
        <v>1.0582709579427705</v>
      </c>
      <c r="U1129">
        <v>3.8696563305408431E-2</v>
      </c>
      <c r="V1129">
        <v>0.24969039891016845</v>
      </c>
      <c r="W1129">
        <v>0.12053452925774451</v>
      </c>
      <c r="X1129">
        <v>2.1065282647742024E-2</v>
      </c>
      <c r="Y1129">
        <v>5.4001997212832324E-3</v>
      </c>
    </row>
    <row r="1130" spans="1:25" x14ac:dyDescent="0.25">
      <c r="A1130" s="881"/>
      <c r="B1130" s="1131">
        <v>880</v>
      </c>
      <c r="C1130" s="885">
        <v>0.98009333056942183</v>
      </c>
      <c r="D1130" s="885">
        <v>0.99893001539735382</v>
      </c>
      <c r="E1130" s="885">
        <v>1.0277305185383789</v>
      </c>
      <c r="F1130" s="885">
        <v>1.0012923116582384</v>
      </c>
      <c r="G1130" s="885">
        <v>0.96150929506879668</v>
      </c>
      <c r="H1130" s="885">
        <v>0.9994489462536682</v>
      </c>
      <c r="I1130" s="885">
        <v>0.97935869477371662</v>
      </c>
      <c r="K1130">
        <v>1.9558467024559647</v>
      </c>
      <c r="L1130">
        <v>0</v>
      </c>
      <c r="M1130">
        <v>1.879582529585146E-3</v>
      </c>
      <c r="N1130">
        <v>0.20641773804157704</v>
      </c>
      <c r="O1130">
        <v>2.5673273799322795E-2</v>
      </c>
      <c r="P1130">
        <v>2.1582424972238227E-2</v>
      </c>
      <c r="Q1130">
        <v>3.1004083759760179E-3</v>
      </c>
      <c r="R1130">
        <v>1.8683573878900766E-3</v>
      </c>
      <c r="S1130">
        <v>0.20572710527124632</v>
      </c>
      <c r="T1130">
        <v>1.0558400790907725</v>
      </c>
      <c r="U1130">
        <v>3.8078323193194513E-2</v>
      </c>
      <c r="V1130">
        <v>0.25081055151288062</v>
      </c>
      <c r="W1130">
        <v>0.12108814219415652</v>
      </c>
      <c r="X1130">
        <v>2.2454828240306431E-2</v>
      </c>
      <c r="Y1130">
        <v>5.0850529059893986E-3</v>
      </c>
    </row>
    <row r="1131" spans="1:25" x14ac:dyDescent="0.25">
      <c r="A1131" s="881"/>
      <c r="B1131" s="1131">
        <v>881</v>
      </c>
      <c r="C1131" s="885">
        <v>0.99989663111670479</v>
      </c>
      <c r="D1131" s="885">
        <v>1.0000973082912816</v>
      </c>
      <c r="E1131" s="885">
        <v>1.0154513791332678</v>
      </c>
      <c r="F1131" s="885">
        <v>0.95691881126511336</v>
      </c>
      <c r="G1131" s="885">
        <v>1.0152778450019042</v>
      </c>
      <c r="H1131" s="885">
        <v>0.97743078944052486</v>
      </c>
      <c r="I1131" s="885">
        <v>1.026392338334803</v>
      </c>
      <c r="K1131">
        <v>1.9377374085610728</v>
      </c>
      <c r="L1131">
        <v>0</v>
      </c>
      <c r="M1131">
        <v>1.8480583632318518E-3</v>
      </c>
      <c r="N1131">
        <v>0.19533405870756099</v>
      </c>
      <c r="O1131">
        <v>2.5150261595630646E-2</v>
      </c>
      <c r="P1131">
        <v>2.1397163730740052E-2</v>
      </c>
      <c r="Q1131">
        <v>3.0006725883231378E-3</v>
      </c>
      <c r="R1131">
        <v>1.8367719520774083E-3</v>
      </c>
      <c r="S1131">
        <v>0.20893652021281892</v>
      </c>
      <c r="T1131">
        <v>1.0569576595837309</v>
      </c>
      <c r="U1131">
        <v>3.7324168758561344E-2</v>
      </c>
      <c r="V1131">
        <v>0.24780906905878039</v>
      </c>
      <c r="W1131">
        <v>0.11553858657572058</v>
      </c>
      <c r="X1131">
        <v>2.1301446398517901E-2</v>
      </c>
      <c r="Y1131">
        <v>4.9990877618434331E-3</v>
      </c>
    </row>
    <row r="1132" spans="1:25" x14ac:dyDescent="0.25">
      <c r="A1132" s="881"/>
      <c r="B1132" s="1131">
        <v>882</v>
      </c>
      <c r="C1132" s="885">
        <v>1.0245292755974242</v>
      </c>
      <c r="D1132" s="885">
        <v>0.97268807051524941</v>
      </c>
      <c r="E1132" s="885">
        <v>0.98959089912147113</v>
      </c>
      <c r="F1132" s="885">
        <v>0.99847313948419214</v>
      </c>
      <c r="G1132" s="885">
        <v>0.99662455201712064</v>
      </c>
      <c r="H1132" s="885">
        <v>0.98525356197755776</v>
      </c>
      <c r="I1132" s="885">
        <v>1.007577407291967</v>
      </c>
      <c r="K1132">
        <v>1.925106288893198</v>
      </c>
      <c r="L1132">
        <v>0</v>
      </c>
      <c r="M1132">
        <v>1.9464785091199246E-3</v>
      </c>
      <c r="N1132">
        <v>0.18984695786730235</v>
      </c>
      <c r="O1132">
        <v>2.4886197971484718E-2</v>
      </c>
      <c r="P1132">
        <v>2.0936324946822703E-2</v>
      </c>
      <c r="Q1132">
        <v>2.8874507845735617E-3</v>
      </c>
      <c r="R1132">
        <v>1.9347082392434294E-3</v>
      </c>
      <c r="S1132">
        <v>0.20353747992631935</v>
      </c>
      <c r="T1132">
        <v>1.0593305889842388</v>
      </c>
      <c r="U1132">
        <v>3.6426787881834427E-2</v>
      </c>
      <c r="V1132">
        <v>0.24783874186433921</v>
      </c>
      <c r="W1132">
        <v>0.11429417742812643</v>
      </c>
      <c r="X1132">
        <v>1.9867713457212489E-2</v>
      </c>
      <c r="Y1132">
        <v>5.2656380508209547E-3</v>
      </c>
    </row>
    <row r="1133" spans="1:25" x14ac:dyDescent="0.25">
      <c r="A1133" s="881"/>
      <c r="B1133" s="1131">
        <v>883</v>
      </c>
      <c r="C1133" s="885">
        <v>0.98595562812405491</v>
      </c>
      <c r="D1133" s="885">
        <v>0.96370652206679586</v>
      </c>
      <c r="E1133" s="885">
        <v>0.97220624149254298</v>
      </c>
      <c r="F1133" s="885">
        <v>1.0115807108675656</v>
      </c>
      <c r="G1133" s="885">
        <v>1.0096388533741336</v>
      </c>
      <c r="H1133" s="885">
        <v>0.98985247527922826</v>
      </c>
      <c r="I1133" s="885">
        <v>0.98322634129661202</v>
      </c>
      <c r="K1133">
        <v>1.9510405256898398</v>
      </c>
      <c r="L1133">
        <v>0</v>
      </c>
      <c r="M1133">
        <v>2.1173508898051077E-3</v>
      </c>
      <c r="N1133">
        <v>0.19563136743376799</v>
      </c>
      <c r="O1133">
        <v>2.597937638496884E-2</v>
      </c>
      <c r="P1133">
        <v>2.0848370480663951E-2</v>
      </c>
      <c r="Q1133">
        <v>2.9595782879559508E-3</v>
      </c>
      <c r="R1133">
        <v>2.1046151544324657E-3</v>
      </c>
      <c r="S1133">
        <v>0.20774618448994564</v>
      </c>
      <c r="T1133">
        <v>1.060940404982649</v>
      </c>
      <c r="U1133">
        <v>3.7851916999474912E-2</v>
      </c>
      <c r="V1133">
        <v>0.25455763246777752</v>
      </c>
      <c r="W1133">
        <v>0.11920503779907704</v>
      </c>
      <c r="X1133">
        <v>1.9605323434764552E-2</v>
      </c>
      <c r="Y1133">
        <v>5.7280686641659707E-3</v>
      </c>
    </row>
    <row r="1134" spans="1:25" x14ac:dyDescent="0.25">
      <c r="A1134" s="881"/>
      <c r="B1134" s="1131">
        <v>884</v>
      </c>
      <c r="C1134" s="885">
        <v>0.97456418242534182</v>
      </c>
      <c r="D1134" s="885">
        <v>0.99701081479846287</v>
      </c>
      <c r="E1134" s="885">
        <v>0.9747127599587978</v>
      </c>
      <c r="F1134" s="885">
        <v>0.9722907609022613</v>
      </c>
      <c r="G1134" s="885">
        <v>0.97448844473974094</v>
      </c>
      <c r="H1134" s="885">
        <v>1.0209233871055947</v>
      </c>
      <c r="I1134" s="885">
        <v>0.99843638490133024</v>
      </c>
      <c r="K1134">
        <v>1.9633843330898393</v>
      </c>
      <c r="L1134">
        <v>0</v>
      </c>
      <c r="M1134">
        <v>2.1610353912565297E-3</v>
      </c>
      <c r="N1134">
        <v>0.20126802095823104</v>
      </c>
      <c r="O1134">
        <v>2.5843526212091607E-2</v>
      </c>
      <c r="P1134">
        <v>2.0930124028257658E-2</v>
      </c>
      <c r="Q1134">
        <v>2.958700312407261E-3</v>
      </c>
      <c r="R1134">
        <v>2.1484025264903524E-3</v>
      </c>
      <c r="S1134">
        <v>0.21334062866410039</v>
      </c>
      <c r="T1134">
        <v>1.0607075789239624</v>
      </c>
      <c r="U1134">
        <v>3.8294358928767536E-2</v>
      </c>
      <c r="V1134">
        <v>0.25187268052690132</v>
      </c>
      <c r="W1134">
        <v>0.12242555159301501</v>
      </c>
      <c r="X1134">
        <v>1.9908552350464456E-2</v>
      </c>
      <c r="Y1134">
        <v>5.8472434564042219E-3</v>
      </c>
    </row>
    <row r="1135" spans="1:25" x14ac:dyDescent="0.25">
      <c r="A1135" s="881"/>
      <c r="B1135" s="1131">
        <v>885</v>
      </c>
      <c r="C1135" s="885">
        <v>1.0162046869786285</v>
      </c>
      <c r="D1135" s="885">
        <v>0.99433188951061779</v>
      </c>
      <c r="E1135" s="885">
        <v>1.0059121471669277</v>
      </c>
      <c r="F1135" s="885">
        <v>1.0442590832747549</v>
      </c>
      <c r="G1135" s="885">
        <v>1.0105462658005955</v>
      </c>
      <c r="H1135" s="885">
        <v>0.99750641406495122</v>
      </c>
      <c r="I1135" s="885">
        <v>1.0324923199449583</v>
      </c>
      <c r="K1135">
        <v>1.9360062782518033</v>
      </c>
      <c r="L1135">
        <v>0</v>
      </c>
      <c r="M1135">
        <v>1.89889269779709E-3</v>
      </c>
      <c r="N1135">
        <v>0.19486724095891869</v>
      </c>
      <c r="O1135">
        <v>2.4817599315391008E-2</v>
      </c>
      <c r="P1135">
        <v>2.1235888536746936E-2</v>
      </c>
      <c r="Q1135">
        <v>2.9317088171177575E-3</v>
      </c>
      <c r="R1135">
        <v>1.8875337861274486E-3</v>
      </c>
      <c r="S1135">
        <v>0.20942470518170067</v>
      </c>
      <c r="T1135">
        <v>1.0578299345264848</v>
      </c>
      <c r="U1135">
        <v>3.6725190386473504E-2</v>
      </c>
      <c r="V1135">
        <v>0.24625089991883242</v>
      </c>
      <c r="W1135">
        <v>0.11601164492383947</v>
      </c>
      <c r="X1135">
        <v>2.0785579857474788E-2</v>
      </c>
      <c r="Y1135">
        <v>5.137244740493545E-3</v>
      </c>
    </row>
    <row r="1136" spans="1:25" x14ac:dyDescent="0.25">
      <c r="A1136" s="881"/>
      <c r="B1136" s="1131">
        <v>886</v>
      </c>
      <c r="C1136" s="885">
        <v>1.0044325647565377</v>
      </c>
      <c r="D1136" s="885">
        <v>1.0328710459476509</v>
      </c>
      <c r="E1136" s="885">
        <v>0.99549862916808995</v>
      </c>
      <c r="F1136" s="885">
        <v>1.018520063088638</v>
      </c>
      <c r="G1136" s="885">
        <v>0.97780395219647653</v>
      </c>
      <c r="H1136" s="885">
        <v>0.99001980202777706</v>
      </c>
      <c r="I1136" s="885">
        <v>1.0154663716027936</v>
      </c>
      <c r="K1136">
        <v>1.9209014546583969</v>
      </c>
      <c r="L1136">
        <v>0</v>
      </c>
      <c r="M1136">
        <v>1.9127640127141032E-3</v>
      </c>
      <c r="N1136">
        <v>0.19002194661319122</v>
      </c>
      <c r="O1136">
        <v>2.4641125226334524E-2</v>
      </c>
      <c r="P1136">
        <v>2.0976102388473795E-2</v>
      </c>
      <c r="Q1136">
        <v>2.8881646109330588E-3</v>
      </c>
      <c r="R1136">
        <v>1.9012053603840026E-3</v>
      </c>
      <c r="S1136">
        <v>0.20403255647408203</v>
      </c>
      <c r="T1136">
        <v>1.0587862062113034</v>
      </c>
      <c r="U1136">
        <v>3.7155615927250342E-2</v>
      </c>
      <c r="V1136">
        <v>0.24323628478977435</v>
      </c>
      <c r="W1136">
        <v>0.11393561466959529</v>
      </c>
      <c r="X1136">
        <v>2.0064942140999995E-2</v>
      </c>
      <c r="Y1136">
        <v>5.1744542587866408E-3</v>
      </c>
    </row>
    <row r="1137" spans="1:25" x14ac:dyDescent="0.25">
      <c r="A1137" s="881"/>
      <c r="B1137" s="1131">
        <v>887</v>
      </c>
      <c r="C1137" s="885">
        <v>0.97424480341912689</v>
      </c>
      <c r="D1137" s="885">
        <v>0.97969075626196644</v>
      </c>
      <c r="E1137" s="885">
        <v>1.0283694902034497</v>
      </c>
      <c r="F1137" s="885">
        <v>1.0053579923609877</v>
      </c>
      <c r="G1137" s="885">
        <v>0.98006256964118721</v>
      </c>
      <c r="H1137" s="885">
        <v>1.0176478249548122</v>
      </c>
      <c r="I1137" s="885">
        <v>0.9904224708065309</v>
      </c>
      <c r="K1137">
        <v>1.9794190829102831</v>
      </c>
      <c r="L1137">
        <v>0</v>
      </c>
      <c r="M1137">
        <v>1.9413068481966527E-3</v>
      </c>
      <c r="N1137">
        <v>0.21364438205639283</v>
      </c>
      <c r="O1137">
        <v>2.6077596688081569E-2</v>
      </c>
      <c r="P1137">
        <v>2.1744120630359957E-2</v>
      </c>
      <c r="Q1137">
        <v>3.1469387807352834E-3</v>
      </c>
      <c r="R1137">
        <v>1.9299358215909695E-3</v>
      </c>
      <c r="S1137">
        <v>0.21307151427001578</v>
      </c>
      <c r="T1137">
        <v>1.0557820848097466</v>
      </c>
      <c r="U1137">
        <v>3.8306912667063431E-2</v>
      </c>
      <c r="V1137">
        <v>0.25417794658678938</v>
      </c>
      <c r="W1137">
        <v>0.12527368969310773</v>
      </c>
      <c r="X1137">
        <v>2.2952618651399116E-2</v>
      </c>
      <c r="Y1137">
        <v>5.2526491031980151E-3</v>
      </c>
    </row>
    <row r="1138" spans="1:25" x14ac:dyDescent="0.25">
      <c r="A1138" s="881"/>
      <c r="B1138" s="1131">
        <v>888</v>
      </c>
      <c r="C1138" s="885">
        <v>1.0069073943472389</v>
      </c>
      <c r="D1138" s="885">
        <v>0.99421872816831747</v>
      </c>
      <c r="E1138" s="885">
        <v>1.0227874697910726</v>
      </c>
      <c r="F1138" s="885">
        <v>1.0101098977804808</v>
      </c>
      <c r="G1138" s="885">
        <v>1.0364587066118371</v>
      </c>
      <c r="H1138" s="885">
        <v>0.99889533459663726</v>
      </c>
      <c r="I1138" s="885">
        <v>1.0123001680844024</v>
      </c>
      <c r="K1138">
        <v>1.9428096289259889</v>
      </c>
      <c r="L1138">
        <v>0</v>
      </c>
      <c r="M1138">
        <v>1.8520505927516959E-3</v>
      </c>
      <c r="N1138">
        <v>0.20029568868884759</v>
      </c>
      <c r="O1138">
        <v>2.5048165149685202E-2</v>
      </c>
      <c r="P1138">
        <v>2.1474590666993115E-2</v>
      </c>
      <c r="Q1138">
        <v>3.0091388106894849E-3</v>
      </c>
      <c r="R1138">
        <v>1.8409873759660073E-3</v>
      </c>
      <c r="S1138">
        <v>0.20737750809522101</v>
      </c>
      <c r="T1138">
        <v>1.0562892594495081</v>
      </c>
      <c r="U1138">
        <v>3.7064292913561364E-2</v>
      </c>
      <c r="V1138">
        <v>0.24755454267090699</v>
      </c>
      <c r="W1138">
        <v>0.11788797292576275</v>
      </c>
      <c r="X1138">
        <v>2.1808972015544183E-2</v>
      </c>
      <c r="Y1138">
        <v>5.0105607560540881E-3</v>
      </c>
    </row>
    <row r="1139" spans="1:25" x14ac:dyDescent="0.25">
      <c r="A1139" s="881"/>
      <c r="B1139" s="1131">
        <v>889</v>
      </c>
      <c r="C1139" s="885">
        <v>0.97874639296365984</v>
      </c>
      <c r="D1139" s="885">
        <v>0.96756661995620885</v>
      </c>
      <c r="E1139" s="885">
        <v>1.0327511762035431</v>
      </c>
      <c r="F1139" s="885">
        <v>1.0125665392056744</v>
      </c>
      <c r="G1139" s="885">
        <v>1.0018267190017198</v>
      </c>
      <c r="H1139" s="885">
        <v>0.97777441183487135</v>
      </c>
      <c r="I1139" s="885">
        <v>1.0368490078108521</v>
      </c>
      <c r="K1139">
        <v>1.9737794321099544</v>
      </c>
      <c r="L1139">
        <v>0</v>
      </c>
      <c r="M1139">
        <v>1.8509379793043574E-3</v>
      </c>
      <c r="N1139">
        <v>0.20644007766113021</v>
      </c>
      <c r="O1139">
        <v>2.6118750713817827E-2</v>
      </c>
      <c r="P1139">
        <v>2.1901017778879924E-2</v>
      </c>
      <c r="Q1139">
        <v>3.1628058459111552E-3</v>
      </c>
      <c r="R1139">
        <v>1.839664005496524E-3</v>
      </c>
      <c r="S1139">
        <v>0.21896706302994004</v>
      </c>
      <c r="T1139">
        <v>1.0553848253115103</v>
      </c>
      <c r="U1139">
        <v>3.8130726068793405E-2</v>
      </c>
      <c r="V1139">
        <v>0.25512081788931401</v>
      </c>
      <c r="W1139">
        <v>0.12069456343293174</v>
      </c>
      <c r="X1139">
        <v>2.2863099373645866E-2</v>
      </c>
      <c r="Y1139">
        <v>5.0069589778851138E-3</v>
      </c>
    </row>
    <row r="1140" spans="1:25" x14ac:dyDescent="0.25">
      <c r="A1140" s="881"/>
      <c r="B1140" s="1131">
        <v>890</v>
      </c>
      <c r="C1140" s="885">
        <v>0.97473552342210057</v>
      </c>
      <c r="D1140" s="885">
        <v>0.96753074510046011</v>
      </c>
      <c r="E1140" s="885">
        <v>0.98903564933609389</v>
      </c>
      <c r="F1140" s="885">
        <v>1.0363265717812042</v>
      </c>
      <c r="G1140" s="885">
        <v>1.0292961848499764</v>
      </c>
      <c r="H1140" s="885">
        <v>0.97968672751472707</v>
      </c>
      <c r="I1140" s="885">
        <v>0.96939846622641646</v>
      </c>
      <c r="K1140">
        <v>1.954135622975121</v>
      </c>
      <c r="L1140">
        <v>0</v>
      </c>
      <c r="M1140">
        <v>2.0421144187208972E-3</v>
      </c>
      <c r="N1140">
        <v>0.1988242100420195</v>
      </c>
      <c r="O1140">
        <v>2.6226708442223311E-2</v>
      </c>
      <c r="P1140">
        <v>2.1090468325089765E-2</v>
      </c>
      <c r="Q1140">
        <v>3.0401351720246183E-3</v>
      </c>
      <c r="R1140">
        <v>2.0297003101968007E-3</v>
      </c>
      <c r="S1140">
        <v>0.20576406564757971</v>
      </c>
      <c r="T1140">
        <v>1.0593818236539989</v>
      </c>
      <c r="U1140">
        <v>3.8287627468313476E-2</v>
      </c>
      <c r="V1140">
        <v>0.25573447168311125</v>
      </c>
      <c r="W1140">
        <v>0.11974460797038067</v>
      </c>
      <c r="X1140">
        <v>2.0529743525073533E-2</v>
      </c>
      <c r="Y1140">
        <v>5.5241751538282566E-3</v>
      </c>
    </row>
    <row r="1141" spans="1:25" x14ac:dyDescent="0.25">
      <c r="A1141" s="881"/>
      <c r="B1141" s="1131">
        <v>891</v>
      </c>
      <c r="C1141" s="885">
        <v>0.97159914593995189</v>
      </c>
      <c r="D1141" s="885">
        <v>0.99740905564582516</v>
      </c>
      <c r="E1141" s="885">
        <v>0.96622909680728852</v>
      </c>
      <c r="F1141" s="885">
        <v>1.0097828779840874</v>
      </c>
      <c r="G1141" s="885">
        <v>1.0021634467453251</v>
      </c>
      <c r="H1141" s="885">
        <v>0.97443307298297699</v>
      </c>
      <c r="I1141" s="885">
        <v>0.99686902997770688</v>
      </c>
      <c r="K1141">
        <v>1.9431728831964541</v>
      </c>
      <c r="L1141">
        <v>0</v>
      </c>
      <c r="M1141">
        <v>2.1056259305533322E-3</v>
      </c>
      <c r="N1141">
        <v>0.19093452164827135</v>
      </c>
      <c r="O1141">
        <v>2.591726735027532E-2</v>
      </c>
      <c r="P1141">
        <v>2.0751043546418751E-2</v>
      </c>
      <c r="Q1141">
        <v>2.9416144991183668E-3</v>
      </c>
      <c r="R1141">
        <v>2.0927293564513309E-3</v>
      </c>
      <c r="S1141">
        <v>0.20878317810722688</v>
      </c>
      <c r="T1141">
        <v>1.0614965924149422</v>
      </c>
      <c r="U1141">
        <v>3.8411222114457758E-2</v>
      </c>
      <c r="V1141">
        <v>0.25226163652910499</v>
      </c>
      <c r="W1141">
        <v>0.11683030627518887</v>
      </c>
      <c r="X1141">
        <v>1.9162677845335475E-2</v>
      </c>
      <c r="Y1141">
        <v>5.6957194402135749E-3</v>
      </c>
    </row>
    <row r="1142" spans="1:25" x14ac:dyDescent="0.25">
      <c r="A1142" s="881"/>
      <c r="B1142" s="1131">
        <v>892</v>
      </c>
      <c r="C1142" s="885">
        <v>0.98150632007628191</v>
      </c>
      <c r="D1142" s="885">
        <v>1.0099457923927773</v>
      </c>
      <c r="E1142" s="885">
        <v>0.97481503100517042</v>
      </c>
      <c r="F1142" s="885">
        <v>1.0094223940046829</v>
      </c>
      <c r="G1142" s="885">
        <v>1.0120160162641638</v>
      </c>
      <c r="H1142" s="885">
        <v>0.99204641689342699</v>
      </c>
      <c r="I1142" s="885">
        <v>1.0000567297456229</v>
      </c>
      <c r="K1142">
        <v>1.9405349857282845</v>
      </c>
      <c r="L1142">
        <v>0</v>
      </c>
      <c r="M1142">
        <v>2.0713690669106623E-3</v>
      </c>
      <c r="N1142">
        <v>0.19294438225033</v>
      </c>
      <c r="O1142">
        <v>2.5497604243015389E-2</v>
      </c>
      <c r="P1142">
        <v>2.0820414106665144E-2</v>
      </c>
      <c r="Q1142">
        <v>2.9220222773960682E-3</v>
      </c>
      <c r="R1142">
        <v>2.0588967840698886E-3</v>
      </c>
      <c r="S1142">
        <v>0.20796020916515234</v>
      </c>
      <c r="T1142">
        <v>1.0606980843134364</v>
      </c>
      <c r="U1142">
        <v>3.8023505134451283E-2</v>
      </c>
      <c r="V1142">
        <v>0.24921877711111845</v>
      </c>
      <c r="W1142">
        <v>0.1173541624174286</v>
      </c>
      <c r="X1142">
        <v>1.9504658661035141E-2</v>
      </c>
      <c r="Y1142">
        <v>5.603638331095776E-3</v>
      </c>
    </row>
    <row r="1143" spans="1:25" x14ac:dyDescent="0.25">
      <c r="A1143" s="881"/>
      <c r="B1143" s="1131">
        <v>893</v>
      </c>
      <c r="C1143" s="885">
        <v>0.98714597881118871</v>
      </c>
      <c r="D1143" s="885">
        <v>1.0232521803043464</v>
      </c>
      <c r="E1143" s="885">
        <v>1.0293051981452679</v>
      </c>
      <c r="F1143" s="885">
        <v>1.0187535598399264</v>
      </c>
      <c r="G1143" s="885">
        <v>1.0085231234059007</v>
      </c>
      <c r="H1143" s="885">
        <v>0.98608883737027109</v>
      </c>
      <c r="I1143" s="885">
        <v>1.008635230076633</v>
      </c>
      <c r="K1143">
        <v>1.9411604111843053</v>
      </c>
      <c r="L1143">
        <v>0</v>
      </c>
      <c r="M1143">
        <v>1.813414616658847E-3</v>
      </c>
      <c r="N1143">
        <v>0.20010876311900014</v>
      </c>
      <c r="O1143">
        <v>2.518857729262634E-2</v>
      </c>
      <c r="P1143">
        <v>2.1558656571661765E-2</v>
      </c>
      <c r="Q1143">
        <v>3.0517067181989551E-3</v>
      </c>
      <c r="R1143">
        <v>1.802419683361583E-3</v>
      </c>
      <c r="S1143">
        <v>0.20669072672673747</v>
      </c>
      <c r="T1143">
        <v>1.0556971870196814</v>
      </c>
      <c r="U1143">
        <v>3.7806273238190538E-2</v>
      </c>
      <c r="V1143">
        <v>0.24678313503707588</v>
      </c>
      <c r="W1143">
        <v>0.11726325985972001</v>
      </c>
      <c r="X1143">
        <v>2.211752832408815E-2</v>
      </c>
      <c r="Y1143">
        <v>4.905592210621295E-3</v>
      </c>
    </row>
    <row r="1144" spans="1:25" x14ac:dyDescent="0.25">
      <c r="A1144" s="881"/>
      <c r="B1144" s="1131">
        <v>894</v>
      </c>
      <c r="C1144" s="885">
        <v>0.9978277902134548</v>
      </c>
      <c r="D1144" s="885">
        <v>1.0052438580069214</v>
      </c>
      <c r="E1144" s="885">
        <v>1.0060491025060323</v>
      </c>
      <c r="F1144" s="885">
        <v>0.97018815262046842</v>
      </c>
      <c r="G1144" s="885">
        <v>1.0115503610120591</v>
      </c>
      <c r="H1144" s="885">
        <v>1.0198340944442297</v>
      </c>
      <c r="I1144" s="885">
        <v>0.98228534325206884</v>
      </c>
      <c r="K1144">
        <v>1.9445684280568634</v>
      </c>
      <c r="L1144">
        <v>0</v>
      </c>
      <c r="M1144">
        <v>1.9659392173407924E-3</v>
      </c>
      <c r="N1144">
        <v>0.201859290721322</v>
      </c>
      <c r="O1144">
        <v>2.513847926529383E-2</v>
      </c>
      <c r="P1144">
        <v>2.1191027137950499E-2</v>
      </c>
      <c r="Q1144">
        <v>2.9722827616791908E-3</v>
      </c>
      <c r="R1144">
        <v>1.9544280054490217E-3</v>
      </c>
      <c r="S1144">
        <v>0.20411495330389745</v>
      </c>
      <c r="T1144">
        <v>1.0578173860970888</v>
      </c>
      <c r="U1144">
        <v>3.7401554623902968E-2</v>
      </c>
      <c r="V1144">
        <v>0.24746703586186489</v>
      </c>
      <c r="W1144">
        <v>0.12016305547338631</v>
      </c>
      <c r="X1144">
        <v>2.1135565268553196E-2</v>
      </c>
      <c r="Y1144">
        <v>5.3193087538133937E-3</v>
      </c>
    </row>
    <row r="1145" spans="1:25" x14ac:dyDescent="0.25">
      <c r="A1145" s="881"/>
      <c r="B1145" s="1131">
        <v>895</v>
      </c>
      <c r="C1145" s="885">
        <v>1.0284027662285709</v>
      </c>
      <c r="D1145" s="885">
        <v>0.999458998358148</v>
      </c>
      <c r="E1145" s="885">
        <v>0.98376791811899578</v>
      </c>
      <c r="F1145" s="885">
        <v>0.99091216245411229</v>
      </c>
      <c r="G1145" s="885">
        <v>0.98897329742224405</v>
      </c>
      <c r="H1145" s="885">
        <v>1.0268257361618032</v>
      </c>
      <c r="I1145" s="885">
        <v>1.0195420556915284</v>
      </c>
      <c r="K1145">
        <v>1.9304439445418002</v>
      </c>
      <c r="L1145">
        <v>0</v>
      </c>
      <c r="M1145">
        <v>2.0185101931512414E-3</v>
      </c>
      <c r="N1145">
        <v>0.19338006684102305</v>
      </c>
      <c r="O1145">
        <v>2.4460854774590226E-2</v>
      </c>
      <c r="P1145">
        <v>2.0841795271216195E-2</v>
      </c>
      <c r="Q1145">
        <v>2.8267925097832944E-3</v>
      </c>
      <c r="R1145">
        <v>2.0067763254815289E-3</v>
      </c>
      <c r="S1145">
        <v>0.20680533195445494</v>
      </c>
      <c r="T1145">
        <v>1.0598684898734176</v>
      </c>
      <c r="U1145">
        <v>3.6289585973966684E-2</v>
      </c>
      <c r="V1145">
        <v>0.24397389705950998</v>
      </c>
      <c r="W1145">
        <v>0.11689037187553956</v>
      </c>
      <c r="X1145">
        <v>1.9656708651644733E-2</v>
      </c>
      <c r="Y1145">
        <v>5.4617836243228196E-3</v>
      </c>
    </row>
    <row r="1146" spans="1:25" x14ac:dyDescent="0.25">
      <c r="A1146" s="881"/>
      <c r="B1146" s="1131">
        <v>896</v>
      </c>
      <c r="C1146" s="885">
        <v>0.96050857800696066</v>
      </c>
      <c r="D1146" s="885">
        <v>0.97327745290859269</v>
      </c>
      <c r="E1146" s="885">
        <v>0.99759208008136335</v>
      </c>
      <c r="F1146" s="885">
        <v>1.0170647002002562</v>
      </c>
      <c r="G1146" s="885">
        <v>1.0183899735779833</v>
      </c>
      <c r="H1146" s="885">
        <v>0.99821927400546662</v>
      </c>
      <c r="I1146" s="885">
        <v>1.0096057206242082</v>
      </c>
      <c r="K1146">
        <v>1.9820823961169285</v>
      </c>
      <c r="L1146">
        <v>0</v>
      </c>
      <c r="M1146">
        <v>2.067804740594573E-3</v>
      </c>
      <c r="N1146">
        <v>0.20678241325303368</v>
      </c>
      <c r="O1146">
        <v>2.6536947356128715E-2</v>
      </c>
      <c r="P1146">
        <v>2.1421349983624449E-2</v>
      </c>
      <c r="Q1146">
        <v>3.1040653351915868E-3</v>
      </c>
      <c r="R1146">
        <v>2.0554627035220593E-3</v>
      </c>
      <c r="S1146">
        <v>0.21887802443017945</v>
      </c>
      <c r="T1146">
        <v>1.0585936257242297</v>
      </c>
      <c r="U1146">
        <v>3.8854739515555271E-2</v>
      </c>
      <c r="V1146">
        <v>0.25715179050761361</v>
      </c>
      <c r="W1146">
        <v>0.12380715356420792</v>
      </c>
      <c r="X1146">
        <v>2.1370336588347534E-2</v>
      </c>
      <c r="Y1146">
        <v>5.5942918958889346E-3</v>
      </c>
    </row>
    <row r="1147" spans="1:25" x14ac:dyDescent="0.25">
      <c r="A1147" s="881"/>
      <c r="B1147" s="1131">
        <v>897</v>
      </c>
      <c r="C1147" s="885">
        <v>1.0026508439884376</v>
      </c>
      <c r="D1147" s="885">
        <v>0.98741179928141454</v>
      </c>
      <c r="E1147" s="885">
        <v>0.98565398624736267</v>
      </c>
      <c r="F1147" s="885">
        <v>1.0323825105870315</v>
      </c>
      <c r="G1147" s="885">
        <v>0.98508571685916024</v>
      </c>
      <c r="H1147" s="885">
        <v>1.0203031392635789</v>
      </c>
      <c r="I1147" s="885">
        <v>1.040717124176207</v>
      </c>
      <c r="K1147">
        <v>1.9565282645079514</v>
      </c>
      <c r="L1147">
        <v>0</v>
      </c>
      <c r="M1147">
        <v>2.0614044788920941E-3</v>
      </c>
      <c r="N1147">
        <v>0.19864659343417004</v>
      </c>
      <c r="O1147">
        <v>2.5240298268940874E-2</v>
      </c>
      <c r="P1147">
        <v>2.1088052094147311E-2</v>
      </c>
      <c r="Q1147">
        <v>2.9199736871581509E-3</v>
      </c>
      <c r="R1147">
        <v>2.049354814149266E-3</v>
      </c>
      <c r="S1147">
        <v>0.21704409977617384</v>
      </c>
      <c r="T1147">
        <v>1.0596941191512357</v>
      </c>
      <c r="U1147">
        <v>3.7221641835417721E-2</v>
      </c>
      <c r="V1147">
        <v>0.24901157205898569</v>
      </c>
      <c r="W1147">
        <v>0.11991724983710708</v>
      </c>
      <c r="X1147">
        <v>2.0179045794874111E-2</v>
      </c>
      <c r="Y1147">
        <v>5.5776682344813805E-3</v>
      </c>
    </row>
    <row r="1148" spans="1:25" x14ac:dyDescent="0.25">
      <c r="A1148" s="881"/>
      <c r="B1148" s="1131">
        <v>898</v>
      </c>
      <c r="C1148" s="885">
        <v>0.95727356654495144</v>
      </c>
      <c r="D1148" s="885">
        <v>1.0243519398827046</v>
      </c>
      <c r="E1148" s="885">
        <v>1.0240447492093494</v>
      </c>
      <c r="F1148" s="885">
        <v>0.97987986944352579</v>
      </c>
      <c r="G1148" s="885">
        <v>0.99357729912775294</v>
      </c>
      <c r="H1148" s="885">
        <v>0.99473767689236703</v>
      </c>
      <c r="I1148" s="885">
        <v>0.98664834137669466</v>
      </c>
      <c r="K1148">
        <v>1.962396645901221</v>
      </c>
      <c r="L1148">
        <v>0</v>
      </c>
      <c r="M1148">
        <v>1.9064949705090094E-3</v>
      </c>
      <c r="N1148">
        <v>0.20698263969366701</v>
      </c>
      <c r="O1148">
        <v>2.5960842319593898E-2</v>
      </c>
      <c r="P1148">
        <v>2.1594047004775341E-2</v>
      </c>
      <c r="Q1148">
        <v>3.1291561525988091E-3</v>
      </c>
      <c r="R1148">
        <v>1.8950353398811321E-3</v>
      </c>
      <c r="S1148">
        <v>0.2092835629986935</v>
      </c>
      <c r="T1148">
        <v>1.0561749184138924</v>
      </c>
      <c r="U1148">
        <v>3.8986045269813058E-2</v>
      </c>
      <c r="V1148">
        <v>0.25101879902876123</v>
      </c>
      <c r="W1148">
        <v>0.12172064464775614</v>
      </c>
      <c r="X1148">
        <v>2.2399788505373053E-2</v>
      </c>
      <c r="Y1148">
        <v>5.1576614969245406E-3</v>
      </c>
    </row>
    <row r="1149" spans="1:25" x14ac:dyDescent="0.25">
      <c r="A1149" s="881"/>
      <c r="B1149" s="1131">
        <v>899</v>
      </c>
      <c r="C1149" s="885">
        <v>0.98638621944528104</v>
      </c>
      <c r="D1149" s="885">
        <v>0.99375839353993722</v>
      </c>
      <c r="E1149" s="885">
        <v>0.97771874469525677</v>
      </c>
      <c r="F1149" s="885">
        <v>0.9731834916634412</v>
      </c>
      <c r="G1149" s="885">
        <v>1.0083605739478272</v>
      </c>
      <c r="H1149" s="885">
        <v>0.98863900662004789</v>
      </c>
      <c r="I1149" s="885">
        <v>0.98160424436544247</v>
      </c>
      <c r="K1149">
        <v>1.9384840361995102</v>
      </c>
      <c r="L1149">
        <v>0</v>
      </c>
      <c r="M1149">
        <v>2.0579424120159757E-3</v>
      </c>
      <c r="N1149">
        <v>0.19343363014061576</v>
      </c>
      <c r="O1149">
        <v>2.5575144295084461E-2</v>
      </c>
      <c r="P1149">
        <v>2.0828804933950687E-2</v>
      </c>
      <c r="Q1149">
        <v>2.9362826777318538E-3</v>
      </c>
      <c r="R1149">
        <v>2.0455221698689689E-3</v>
      </c>
      <c r="S1149">
        <v>0.20428032608009175</v>
      </c>
      <c r="T1149">
        <v>1.0604286792391791</v>
      </c>
      <c r="U1149">
        <v>3.7835393343091168E-2</v>
      </c>
      <c r="V1149">
        <v>0.25054266341867015</v>
      </c>
      <c r="W1149">
        <v>0.1174143024195273</v>
      </c>
      <c r="X1149">
        <v>1.9653992853533576E-2</v>
      </c>
      <c r="Y1149">
        <v>5.5672370401812594E-3</v>
      </c>
    </row>
    <row r="1150" spans="1:25" x14ac:dyDescent="0.25">
      <c r="A1150" s="881"/>
      <c r="B1150" s="1131">
        <v>900</v>
      </c>
      <c r="C1150" s="885">
        <v>0.99534980852155241</v>
      </c>
      <c r="D1150" s="885">
        <v>1.0137018608121935</v>
      </c>
      <c r="E1150" s="885">
        <v>1.0040508241502977</v>
      </c>
      <c r="F1150" s="885">
        <v>0.96738189715853684</v>
      </c>
      <c r="G1150" s="885">
        <v>0.97513628739418456</v>
      </c>
      <c r="H1150" s="885">
        <v>1.0029428929064401</v>
      </c>
      <c r="I1150" s="885">
        <v>1.0148953601584862</v>
      </c>
      <c r="K1150">
        <v>1.9422064013095042</v>
      </c>
      <c r="L1150">
        <v>0</v>
      </c>
      <c r="M1150">
        <v>1.9383327228548156E-3</v>
      </c>
      <c r="N1150">
        <v>0.19777138603395533</v>
      </c>
      <c r="O1150">
        <v>2.5096896398929269E-2</v>
      </c>
      <c r="P1150">
        <v>2.121904997325251E-2</v>
      </c>
      <c r="Q1150">
        <v>2.9631514711078305E-3</v>
      </c>
      <c r="R1150">
        <v>1.9267853359105139E-3</v>
      </c>
      <c r="S1150">
        <v>0.20887382127579232</v>
      </c>
      <c r="T1150">
        <v>1.0580005493608822</v>
      </c>
      <c r="U1150">
        <v>3.7494667986474786E-2</v>
      </c>
      <c r="V1150">
        <v>0.24677550508277693</v>
      </c>
      <c r="W1150">
        <v>0.11789011763757942</v>
      </c>
      <c r="X1150">
        <v>2.0888728955965094E-2</v>
      </c>
      <c r="Y1150">
        <v>5.2440745197331407E-3</v>
      </c>
    </row>
    <row r="1151" spans="1:25" x14ac:dyDescent="0.25">
      <c r="A1151" s="881"/>
      <c r="B1151" s="1131">
        <v>901</v>
      </c>
      <c r="C1151" s="885">
        <v>0.97855474422942701</v>
      </c>
      <c r="D1151" s="885">
        <v>0.99541336210810583</v>
      </c>
      <c r="E1151" s="885">
        <v>0.99722701514389511</v>
      </c>
      <c r="F1151" s="885">
        <v>0.98364790189747575</v>
      </c>
      <c r="G1151" s="885">
        <v>1.0045474953078695</v>
      </c>
      <c r="H1151" s="885">
        <v>1.0125080854746917</v>
      </c>
      <c r="I1151" s="885">
        <v>1.003885051618284</v>
      </c>
      <c r="K1151">
        <v>1.9631104364801681</v>
      </c>
      <c r="L1151">
        <v>0</v>
      </c>
      <c r="M1151">
        <v>2.0374686608785361E-3</v>
      </c>
      <c r="N1151">
        <v>0.20353280807763741</v>
      </c>
      <c r="O1151">
        <v>2.5758583945281601E-2</v>
      </c>
      <c r="P1151">
        <v>2.1247749828296782E-2</v>
      </c>
      <c r="Q1151">
        <v>3.0166705217073916E-3</v>
      </c>
      <c r="R1151">
        <v>2.0254604800241903E-3</v>
      </c>
      <c r="S1151">
        <v>0.21291198791531807</v>
      </c>
      <c r="T1151">
        <v>1.0586271964528442</v>
      </c>
      <c r="U1151">
        <v>3.8138193924250142E-2</v>
      </c>
      <c r="V1151">
        <v>0.25148400331482218</v>
      </c>
      <c r="W1151">
        <v>0.12189201146268946</v>
      </c>
      <c r="X1151">
        <v>2.1000603484417076E-2</v>
      </c>
      <c r="Y1151">
        <v>5.5126357337580553E-3</v>
      </c>
    </row>
    <row r="1152" spans="1:25" x14ac:dyDescent="0.25">
      <c r="A1152" s="881"/>
      <c r="B1152" s="1131">
        <v>902</v>
      </c>
      <c r="C1152" s="885">
        <v>1.0030865317782494</v>
      </c>
      <c r="D1152" s="885">
        <v>1.0176702866002185</v>
      </c>
      <c r="E1152" s="885">
        <v>0.96655452848291712</v>
      </c>
      <c r="F1152" s="885">
        <v>0.98947359288860071</v>
      </c>
      <c r="G1152" s="885">
        <v>1.0364462617559329</v>
      </c>
      <c r="H1152" s="885">
        <v>0.99985188660031787</v>
      </c>
      <c r="I1152" s="885">
        <v>1.0259705740092571</v>
      </c>
      <c r="K1152">
        <v>1.9284305463899865</v>
      </c>
      <c r="L1152">
        <v>0</v>
      </c>
      <c r="M1152">
        <v>2.0706298292310402E-3</v>
      </c>
      <c r="N1152">
        <v>0.18797968344011487</v>
      </c>
      <c r="O1152">
        <v>2.4855312724749511E-2</v>
      </c>
      <c r="P1152">
        <v>2.0646702106469818E-2</v>
      </c>
      <c r="Q1152">
        <v>2.8259688618747438E-3</v>
      </c>
      <c r="R1152">
        <v>2.0582528354698899E-3</v>
      </c>
      <c r="S1152">
        <v>0.2088327302197511</v>
      </c>
      <c r="T1152">
        <v>1.0614662746704853</v>
      </c>
      <c r="U1152">
        <v>3.7205474720866036E-2</v>
      </c>
      <c r="V1152">
        <v>0.24521648865557341</v>
      </c>
      <c r="W1152">
        <v>0.11499605943670432</v>
      </c>
      <c r="X1152">
        <v>1.8816342831875461E-2</v>
      </c>
      <c r="Y1152">
        <v>5.60188571528418E-3</v>
      </c>
    </row>
    <row r="1153" spans="1:25" x14ac:dyDescent="0.25">
      <c r="A1153" s="881"/>
      <c r="B1153" s="1131">
        <v>903</v>
      </c>
      <c r="C1153" s="885">
        <v>1.0063576624054194</v>
      </c>
      <c r="D1153" s="885">
        <v>0.99108474232685018</v>
      </c>
      <c r="E1153" s="885">
        <v>0.99341722995274939</v>
      </c>
      <c r="F1153" s="885">
        <v>0.9963562472664077</v>
      </c>
      <c r="G1153" s="885">
        <v>1.0088650380655484</v>
      </c>
      <c r="H1153" s="885">
        <v>0.98980253796400608</v>
      </c>
      <c r="I1153" s="885">
        <v>1.0262098499061498</v>
      </c>
      <c r="K1153">
        <v>1.9375129830529223</v>
      </c>
      <c r="L1153">
        <v>0</v>
      </c>
      <c r="M1153">
        <v>1.9565574122385513E-3</v>
      </c>
      <c r="N1153">
        <v>0.19312054653277502</v>
      </c>
      <c r="O1153">
        <v>2.5101084807706849E-2</v>
      </c>
      <c r="P1153">
        <v>2.1087127823587504E-2</v>
      </c>
      <c r="Q1153">
        <v>2.92751143634478E-3</v>
      </c>
      <c r="R1153">
        <v>1.9447651460951212E-3</v>
      </c>
      <c r="S1153">
        <v>0.20970474864938579</v>
      </c>
      <c r="T1153">
        <v>1.0589778471332609</v>
      </c>
      <c r="U1153">
        <v>3.7084539617567941E-2</v>
      </c>
      <c r="V1153">
        <v>0.24802798926355729</v>
      </c>
      <c r="W1153">
        <v>0.11595917894807418</v>
      </c>
      <c r="X1153">
        <v>2.0241191470793195E-2</v>
      </c>
      <c r="Y1153">
        <v>5.2930096360128071E-3</v>
      </c>
    </row>
    <row r="1154" spans="1:25" x14ac:dyDescent="0.25">
      <c r="A1154" s="881"/>
      <c r="B1154" s="1131">
        <v>904</v>
      </c>
      <c r="C1154" s="885">
        <v>1.0102601548097823</v>
      </c>
      <c r="D1154" s="885">
        <v>0.99692368372270079</v>
      </c>
      <c r="E1154" s="885">
        <v>1.0013094065872616</v>
      </c>
      <c r="F1154" s="885">
        <v>1.0020401145431108</v>
      </c>
      <c r="G1154" s="885">
        <v>0.99375384747219409</v>
      </c>
      <c r="H1154" s="885">
        <v>0.96556085223971932</v>
      </c>
      <c r="I1154" s="885">
        <v>1.0315075134369895</v>
      </c>
      <c r="K1154">
        <v>1.9244317161977238</v>
      </c>
      <c r="L1154">
        <v>0</v>
      </c>
      <c r="M1154">
        <v>1.8645105914400686E-3</v>
      </c>
      <c r="N1154">
        <v>0.1885814734935545</v>
      </c>
      <c r="O1154">
        <v>2.4931464354400683E-2</v>
      </c>
      <c r="P1154">
        <v>2.1144345921550206E-2</v>
      </c>
      <c r="Q1154">
        <v>2.9321253063491876E-3</v>
      </c>
      <c r="R1154">
        <v>1.8529862612747588E-3</v>
      </c>
      <c r="S1154">
        <v>0.20689866861620915</v>
      </c>
      <c r="T1154">
        <v>1.0582520824301471</v>
      </c>
      <c r="U1154">
        <v>3.6941287274606813E-2</v>
      </c>
      <c r="V1154">
        <v>0.24675116996961283</v>
      </c>
      <c r="W1154">
        <v>0.11262274065528541</v>
      </c>
      <c r="X1154">
        <v>2.0344664739739376E-2</v>
      </c>
      <c r="Y1154">
        <v>5.0432177664330308E-3</v>
      </c>
    </row>
    <row r="1155" spans="1:25" x14ac:dyDescent="0.25">
      <c r="A1155" s="881"/>
      <c r="B1155" s="1131">
        <v>905</v>
      </c>
      <c r="C1155" s="885">
        <v>0.95648235877583132</v>
      </c>
      <c r="D1155" s="885">
        <v>0.99499879770161925</v>
      </c>
      <c r="E1155" s="885">
        <v>1.0008155124475258</v>
      </c>
      <c r="F1155" s="885">
        <v>0.97338270255923032</v>
      </c>
      <c r="G1155" s="885">
        <v>0.98074301675851672</v>
      </c>
      <c r="H1155" s="885">
        <v>0.9829087869186004</v>
      </c>
      <c r="I1155" s="885">
        <v>1.0149379801444955</v>
      </c>
      <c r="K1155">
        <v>1.9709491402263792</v>
      </c>
      <c r="L1155">
        <v>0</v>
      </c>
      <c r="M1155">
        <v>2.0087312136009483E-3</v>
      </c>
      <c r="N1155">
        <v>0.20287884163834735</v>
      </c>
      <c r="O1155">
        <v>2.6358443164243749E-2</v>
      </c>
      <c r="P1155">
        <v>2.1415491669764395E-2</v>
      </c>
      <c r="Q1155">
        <v>3.097992756784085E-3</v>
      </c>
      <c r="R1155">
        <v>1.9965362409499403E-3</v>
      </c>
      <c r="S1155">
        <v>0.21707933774952803</v>
      </c>
      <c r="T1155">
        <v>1.0582974297957952</v>
      </c>
      <c r="U1155">
        <v>3.9018294753163985E-2</v>
      </c>
      <c r="V1155">
        <v>0.25487335306203229</v>
      </c>
      <c r="W1155">
        <v>0.12120219390288332</v>
      </c>
      <c r="X1155">
        <v>2.1306043216614928E-2</v>
      </c>
      <c r="Y1155">
        <v>5.4339134898707909E-3</v>
      </c>
    </row>
    <row r="1156" spans="1:25" x14ac:dyDescent="0.25">
      <c r="A1156" s="881"/>
      <c r="B1156" s="1131">
        <v>906</v>
      </c>
      <c r="C1156" s="885">
        <v>1.0057680544815957</v>
      </c>
      <c r="D1156" s="885">
        <v>0.96964263735452783</v>
      </c>
      <c r="E1156" s="885">
        <v>1.0071779964755307</v>
      </c>
      <c r="F1156" s="885">
        <v>1.0095787965086929</v>
      </c>
      <c r="G1156" s="885">
        <v>1.0146041842448918</v>
      </c>
      <c r="H1156" s="885">
        <v>0.99760043296245549</v>
      </c>
      <c r="I1156" s="885">
        <v>1.0028871191111319</v>
      </c>
      <c r="K1156">
        <v>1.9480940925837298</v>
      </c>
      <c r="L1156">
        <v>0</v>
      </c>
      <c r="M1156">
        <v>1.9376710590631163E-3</v>
      </c>
      <c r="N1156">
        <v>0.19963321701887335</v>
      </c>
      <c r="O1156">
        <v>2.5389955864637985E-2</v>
      </c>
      <c r="P1156">
        <v>2.1302289479096237E-2</v>
      </c>
      <c r="Q1156">
        <v>2.9978249866546734E-3</v>
      </c>
      <c r="R1156">
        <v>1.9261016106089078E-3</v>
      </c>
      <c r="S1156">
        <v>0.20793256176366828</v>
      </c>
      <c r="T1156">
        <v>1.0577139799084228</v>
      </c>
      <c r="U1156">
        <v>3.7106279558812322E-2</v>
      </c>
      <c r="V1156">
        <v>0.25086303057994419</v>
      </c>
      <c r="W1156">
        <v>0.11874657851599806</v>
      </c>
      <c r="X1156">
        <v>2.1177730711224342E-2</v>
      </c>
      <c r="Y1156">
        <v>5.2422136448521534E-3</v>
      </c>
    </row>
    <row r="1157" spans="1:25" x14ac:dyDescent="0.25">
      <c r="A1157" s="881"/>
      <c r="B1157" s="1131">
        <v>907</v>
      </c>
      <c r="C1157" s="885">
        <v>1.036683388282323</v>
      </c>
      <c r="D1157" s="885">
        <v>0.98158661363164457</v>
      </c>
      <c r="E1157" s="885">
        <v>1.0305957894242241</v>
      </c>
      <c r="F1157" s="885">
        <v>1.0075833170788617</v>
      </c>
      <c r="G1157" s="885">
        <v>1.0062930579460201</v>
      </c>
      <c r="H1157" s="885">
        <v>0.9938896984631127</v>
      </c>
      <c r="I1157" s="885">
        <v>1.0254024852111951</v>
      </c>
      <c r="K1157">
        <v>1.9281491261773291</v>
      </c>
      <c r="L1157">
        <v>0</v>
      </c>
      <c r="M1157">
        <v>1.7717203551340383E-3</v>
      </c>
      <c r="N1157">
        <v>0.19630548013769125</v>
      </c>
      <c r="O1157">
        <v>2.4483460060980403E-2</v>
      </c>
      <c r="P1157">
        <v>2.1500539688012958E-2</v>
      </c>
      <c r="Q1157">
        <v>2.961479752664161E-3</v>
      </c>
      <c r="R1157">
        <v>1.7610931597414866E-3</v>
      </c>
      <c r="S1157">
        <v>0.20472576881016394</v>
      </c>
      <c r="T1157">
        <v>1.0555801465254768</v>
      </c>
      <c r="U1157">
        <v>3.5999718933234559E-2</v>
      </c>
      <c r="V1157">
        <v>0.24505879359637459</v>
      </c>
      <c r="W1157">
        <v>0.11493509756612023</v>
      </c>
      <c r="X1157">
        <v>2.1816153265388383E-2</v>
      </c>
      <c r="Y1157">
        <v>4.7931150366122425E-3</v>
      </c>
    </row>
    <row r="1158" spans="1:25" x14ac:dyDescent="0.25">
      <c r="A1158" s="881"/>
      <c r="B1158" s="1131">
        <v>908</v>
      </c>
      <c r="C1158" s="885">
        <v>1.003297393225403</v>
      </c>
      <c r="D1158" s="885">
        <v>0.97770440004398051</v>
      </c>
      <c r="E1158" s="885">
        <v>1.0181488626944108</v>
      </c>
      <c r="F1158" s="885">
        <v>1.0050688183326222</v>
      </c>
      <c r="G1158" s="885">
        <v>0.97642024678131445</v>
      </c>
      <c r="H1158" s="885">
        <v>0.96960590687676329</v>
      </c>
      <c r="I1158" s="885">
        <v>1.0056839668360686</v>
      </c>
      <c r="K1158">
        <v>1.937082832265723</v>
      </c>
      <c r="L1158">
        <v>0</v>
      </c>
      <c r="M1158">
        <v>1.8371661826894806E-3</v>
      </c>
      <c r="N1158">
        <v>0.19580941964566537</v>
      </c>
      <c r="O1158">
        <v>2.5347993470119241E-2</v>
      </c>
      <c r="P1158">
        <v>2.1417669990484861E-2</v>
      </c>
      <c r="Q1158">
        <v>3.0275924695699458E-3</v>
      </c>
      <c r="R1158">
        <v>1.8258735675060606E-3</v>
      </c>
      <c r="S1158">
        <v>0.20535820756757159</v>
      </c>
      <c r="T1158">
        <v>1.056711644038254</v>
      </c>
      <c r="U1158">
        <v>3.7197655304315576E-2</v>
      </c>
      <c r="V1158">
        <v>0.25017150444230984</v>
      </c>
      <c r="W1158">
        <v>0.11560866685313097</v>
      </c>
      <c r="X1158">
        <v>2.1474345147791552E-2</v>
      </c>
      <c r="Y1158">
        <v>4.9694259516917336E-3</v>
      </c>
    </row>
    <row r="1159" spans="1:25" x14ac:dyDescent="0.25">
      <c r="A1159" s="881"/>
      <c r="B1159" s="1131">
        <v>909</v>
      </c>
      <c r="C1159" s="885">
        <v>1.0420484067949904</v>
      </c>
      <c r="D1159" s="885">
        <v>0.98252351700051932</v>
      </c>
      <c r="E1159" s="885">
        <v>0.98619548411239155</v>
      </c>
      <c r="F1159" s="885">
        <v>1.0314525266187953</v>
      </c>
      <c r="G1159" s="885">
        <v>0.9714209201133519</v>
      </c>
      <c r="H1159" s="885">
        <v>1.0471616704786737</v>
      </c>
      <c r="I1159" s="885">
        <v>1.0073868125405856</v>
      </c>
      <c r="K1159">
        <v>1.933872003109625</v>
      </c>
      <c r="L1159">
        <v>0</v>
      </c>
      <c r="M1159">
        <v>2.0383728139617275E-3</v>
      </c>
      <c r="N1159">
        <v>0.19678875521147104</v>
      </c>
      <c r="O1159">
        <v>2.4345877690509065E-2</v>
      </c>
      <c r="P1159">
        <v>2.0853298187308016E-2</v>
      </c>
      <c r="Q1159">
        <v>2.817065061505E-3</v>
      </c>
      <c r="R1159">
        <v>2.0267674036131928E-3</v>
      </c>
      <c r="S1159">
        <v>0.20526299897626324</v>
      </c>
      <c r="T1159">
        <v>1.0596440821262254</v>
      </c>
      <c r="U1159">
        <v>3.5814373264772097E-2</v>
      </c>
      <c r="V1159">
        <v>0.2442311891995905</v>
      </c>
      <c r="W1159">
        <v>0.11875128333865848</v>
      </c>
      <c r="X1159">
        <v>1.9858492714730724E-2</v>
      </c>
      <c r="Y1159">
        <v>5.5161927489400728E-3</v>
      </c>
    </row>
    <row r="1160" spans="1:25" x14ac:dyDescent="0.25">
      <c r="A1160" s="881"/>
      <c r="B1160" s="1131">
        <v>910</v>
      </c>
      <c r="C1160" s="885">
        <v>1.0037556495876898</v>
      </c>
      <c r="D1160" s="885">
        <v>1.0357855170785879</v>
      </c>
      <c r="E1160" s="885">
        <v>0.9799706790354159</v>
      </c>
      <c r="F1160" s="885">
        <v>1.0227434557360005</v>
      </c>
      <c r="G1160" s="885">
        <v>0.98193705885660421</v>
      </c>
      <c r="H1160" s="885">
        <v>0.99794730525922171</v>
      </c>
      <c r="I1160" s="885">
        <v>0.98606294563083052</v>
      </c>
      <c r="K1160">
        <v>1.914627818223603</v>
      </c>
      <c r="L1160">
        <v>0</v>
      </c>
      <c r="M1160">
        <v>1.9906277869829879E-3</v>
      </c>
      <c r="N1160">
        <v>0.18843145943881082</v>
      </c>
      <c r="O1160">
        <v>2.4623534612738602E-2</v>
      </c>
      <c r="P1160">
        <v>2.0677470517918677E-2</v>
      </c>
      <c r="Q1160">
        <v>2.8416523014363733E-3</v>
      </c>
      <c r="R1160">
        <v>1.9786918728188145E-3</v>
      </c>
      <c r="S1160">
        <v>0.19877792212538234</v>
      </c>
      <c r="T1160">
        <v>1.0602199709164426</v>
      </c>
      <c r="U1160">
        <v>3.7180673021613195E-2</v>
      </c>
      <c r="V1160">
        <v>0.24299533845020543</v>
      </c>
      <c r="W1160">
        <v>0.11419925071553254</v>
      </c>
      <c r="X1160">
        <v>1.930713503547626E-2</v>
      </c>
      <c r="Y1160">
        <v>5.3853470022122421E-3</v>
      </c>
    </row>
    <row r="1161" spans="1:25" x14ac:dyDescent="0.25">
      <c r="A1161" s="881"/>
      <c r="B1161" s="1131">
        <v>911</v>
      </c>
      <c r="C1161" s="885">
        <v>1.0144505152389351</v>
      </c>
      <c r="D1161" s="885">
        <v>0.99884327266359463</v>
      </c>
      <c r="E1161" s="885">
        <v>0.95671170636020808</v>
      </c>
      <c r="F1161" s="885">
        <v>0.98980603431579794</v>
      </c>
      <c r="G1161" s="885">
        <v>1.0332492378347371</v>
      </c>
      <c r="H1161" s="885">
        <v>0.98474547937371637</v>
      </c>
      <c r="I1161" s="885">
        <v>1.01454296926155</v>
      </c>
      <c r="K1161">
        <v>1.9169185944916356</v>
      </c>
      <c r="L1161">
        <v>0</v>
      </c>
      <c r="M1161">
        <v>2.0775528408390415E-3</v>
      </c>
      <c r="N1161">
        <v>0.18288873670363437</v>
      </c>
      <c r="O1161">
        <v>2.4804843438699972E-2</v>
      </c>
      <c r="P1161">
        <v>2.0448091899873417E-2</v>
      </c>
      <c r="Q1161">
        <v>2.7882505468085584E-3</v>
      </c>
      <c r="R1161">
        <v>2.0649602087612195E-3</v>
      </c>
      <c r="S1161">
        <v>0.20441942575128591</v>
      </c>
      <c r="T1161">
        <v>1.0623850564916155</v>
      </c>
      <c r="U1161">
        <v>3.6788695003153245E-2</v>
      </c>
      <c r="V1161">
        <v>0.24593652966455407</v>
      </c>
      <c r="W1161">
        <v>0.1126584492890521</v>
      </c>
      <c r="X1161">
        <v>1.8192967360738475E-2</v>
      </c>
      <c r="Y1161">
        <v>5.6201409742981673E-3</v>
      </c>
    </row>
    <row r="1162" spans="1:25" x14ac:dyDescent="0.25">
      <c r="A1162" s="881"/>
      <c r="B1162" s="1131">
        <v>912</v>
      </c>
      <c r="C1162" s="885">
        <v>0.99091281864573899</v>
      </c>
      <c r="D1162" s="885">
        <v>1.0263353132664748</v>
      </c>
      <c r="E1162" s="885">
        <v>1.0113352630154808</v>
      </c>
      <c r="F1162" s="885">
        <v>1.02080077825218</v>
      </c>
      <c r="G1162" s="885">
        <v>0.98979594227167611</v>
      </c>
      <c r="H1162" s="885">
        <v>0.97830004186028063</v>
      </c>
      <c r="I1162" s="885">
        <v>0.98732440436992874</v>
      </c>
      <c r="K1162">
        <v>1.9256599012714422</v>
      </c>
      <c r="L1162">
        <v>0</v>
      </c>
      <c r="M1162">
        <v>1.8588365500436866E-3</v>
      </c>
      <c r="N1162">
        <v>0.19397473804172005</v>
      </c>
      <c r="O1162">
        <v>2.5055611231110154E-2</v>
      </c>
      <c r="P1162">
        <v>2.119950504213847E-2</v>
      </c>
      <c r="Q1162">
        <v>2.9824765797839044E-3</v>
      </c>
      <c r="R1162">
        <v>1.8474741459949674E-3</v>
      </c>
      <c r="S1162">
        <v>0.200502185128514</v>
      </c>
      <c r="T1162">
        <v>1.0573336048370385</v>
      </c>
      <c r="U1162">
        <v>3.7662557087435607E-2</v>
      </c>
      <c r="V1162">
        <v>0.24587944571526985</v>
      </c>
      <c r="W1162">
        <v>0.11505514394308881</v>
      </c>
      <c r="X1162">
        <v>2.0997780463682048E-2</v>
      </c>
      <c r="Y1162">
        <v>5.0282156057097531E-3</v>
      </c>
    </row>
    <row r="1163" spans="1:25" x14ac:dyDescent="0.25">
      <c r="A1163" s="881"/>
      <c r="B1163" s="1131">
        <v>913</v>
      </c>
      <c r="C1163" s="885">
        <v>0.98545056900454264</v>
      </c>
      <c r="D1163" s="885">
        <v>0.99466723154563308</v>
      </c>
      <c r="E1163" s="885">
        <v>1.0283548631265713</v>
      </c>
      <c r="F1163" s="885">
        <v>1.0018206917068928</v>
      </c>
      <c r="G1163" s="885">
        <v>1.0406651275387921</v>
      </c>
      <c r="H1163" s="885">
        <v>1.0224159836718865</v>
      </c>
      <c r="I1163" s="885">
        <v>1.0171984759796149</v>
      </c>
      <c r="K1163">
        <v>1.9719409987279251</v>
      </c>
      <c r="L1163">
        <v>0</v>
      </c>
      <c r="M1163">
        <v>1.9138438835748402E-3</v>
      </c>
      <c r="N1163">
        <v>0.21061694861824931</v>
      </c>
      <c r="O1163">
        <v>2.5587836930499191E-2</v>
      </c>
      <c r="P1163">
        <v>2.1719093715459385E-2</v>
      </c>
      <c r="Q1163">
        <v>3.0910778450249756E-3</v>
      </c>
      <c r="R1163">
        <v>1.9026741954930909E-3</v>
      </c>
      <c r="S1163">
        <v>0.21533753151831306</v>
      </c>
      <c r="T1163">
        <v>1.0557834122122713</v>
      </c>
      <c r="U1163">
        <v>3.7871316710097545E-2</v>
      </c>
      <c r="V1163">
        <v>0.25056691150608507</v>
      </c>
      <c r="W1163">
        <v>0.12349971913681872</v>
      </c>
      <c r="X1163">
        <v>2.2699868279436004E-2</v>
      </c>
      <c r="Y1163">
        <v>5.1784519437522167E-3</v>
      </c>
    </row>
    <row r="1164" spans="1:25" x14ac:dyDescent="0.25">
      <c r="A1164" s="881"/>
      <c r="B1164" s="1131">
        <v>914</v>
      </c>
      <c r="C1164" s="885">
        <v>0.99150386687558356</v>
      </c>
      <c r="D1164" s="885">
        <v>1.0106494802796266</v>
      </c>
      <c r="E1164" s="885">
        <v>0.984391214201085</v>
      </c>
      <c r="F1164" s="885">
        <v>0.98247730544464562</v>
      </c>
      <c r="G1164" s="885">
        <v>1.0267169424961458</v>
      </c>
      <c r="H1164" s="885">
        <v>0.98327186368854813</v>
      </c>
      <c r="I1164" s="885">
        <v>0.99067750813814814</v>
      </c>
      <c r="K1164">
        <v>1.9288333487822897</v>
      </c>
      <c r="L1164">
        <v>0</v>
      </c>
      <c r="M1164">
        <v>1.991214715387179E-3</v>
      </c>
      <c r="N1164">
        <v>0.19108538306880882</v>
      </c>
      <c r="O1164">
        <v>2.5231818060479146E-2</v>
      </c>
      <c r="P1164">
        <v>2.0867753189432778E-2</v>
      </c>
      <c r="Q1164">
        <v>2.9199922908214049E-3</v>
      </c>
      <c r="R1164">
        <v>1.9791174890731334E-3</v>
      </c>
      <c r="S1164">
        <v>0.20298488588853145</v>
      </c>
      <c r="T1164">
        <v>1.0598108496408432</v>
      </c>
      <c r="U1164">
        <v>3.7640105951901433E-2</v>
      </c>
      <c r="V1164">
        <v>0.24769651564602152</v>
      </c>
      <c r="W1164">
        <v>0.11545352748020964</v>
      </c>
      <c r="X1164">
        <v>1.9768109402199658E-2</v>
      </c>
      <c r="Y1164">
        <v>5.386505389352138E-3</v>
      </c>
    </row>
    <row r="1165" spans="1:25" x14ac:dyDescent="0.25">
      <c r="A1165" s="881"/>
      <c r="B1165" s="1131">
        <v>915</v>
      </c>
      <c r="C1165" s="885">
        <v>1.0098771313628949</v>
      </c>
      <c r="D1165" s="885">
        <v>0.9989616402805912</v>
      </c>
      <c r="E1165" s="885">
        <v>0.9630496297830754</v>
      </c>
      <c r="F1165" s="885">
        <v>0.99978378289733094</v>
      </c>
      <c r="G1165" s="885">
        <v>0.99962665932711925</v>
      </c>
      <c r="H1165" s="885">
        <v>1.0054881620749534</v>
      </c>
      <c r="I1165" s="885">
        <v>0.97388220932466663</v>
      </c>
      <c r="K1165">
        <v>1.9216137353790912</v>
      </c>
      <c r="L1165">
        <v>0</v>
      </c>
      <c r="M1165">
        <v>2.1027237663661883E-3</v>
      </c>
      <c r="N1165">
        <v>0.18882550392901642</v>
      </c>
      <c r="O1165">
        <v>2.4915714280941047E-2</v>
      </c>
      <c r="P1165">
        <v>2.0481032364972531E-2</v>
      </c>
      <c r="Q1165">
        <v>2.8190415635422554E-3</v>
      </c>
      <c r="R1165">
        <v>2.0902413903426034E-3</v>
      </c>
      <c r="S1165">
        <v>0.19913001916123158</v>
      </c>
      <c r="T1165">
        <v>1.0617930119992414</v>
      </c>
      <c r="U1165">
        <v>3.6955298265394593E-2</v>
      </c>
      <c r="V1165">
        <v>0.24655538682451669</v>
      </c>
      <c r="W1165">
        <v>0.11579778775851897</v>
      </c>
      <c r="X1165">
        <v>1.8664473591115938E-2</v>
      </c>
      <c r="Y1165">
        <v>5.6889480166234267E-3</v>
      </c>
    </row>
    <row r="1166" spans="1:25" x14ac:dyDescent="0.25">
      <c r="A1166" s="881"/>
      <c r="B1166" s="1131">
        <v>916</v>
      </c>
      <c r="C1166" s="885">
        <v>0.99030094631887688</v>
      </c>
      <c r="D1166" s="885">
        <v>1.001943587492498</v>
      </c>
      <c r="E1166" s="885">
        <v>1.0222768905459054</v>
      </c>
      <c r="F1166" s="885">
        <v>1.0196033815718808</v>
      </c>
      <c r="G1166" s="885">
        <v>1.0233055079244799</v>
      </c>
      <c r="H1166" s="885">
        <v>0.99495461223576209</v>
      </c>
      <c r="I1166" s="885">
        <v>0.99604422049295693</v>
      </c>
      <c r="K1166">
        <v>1.9470639929720424</v>
      </c>
      <c r="L1166">
        <v>0</v>
      </c>
      <c r="M1166">
        <v>1.8705278102699085E-3</v>
      </c>
      <c r="N1166">
        <v>0.20196795452151076</v>
      </c>
      <c r="O1166">
        <v>2.5370789344140585E-2</v>
      </c>
      <c r="P1166">
        <v>2.1480622598147814E-2</v>
      </c>
      <c r="Q1166">
        <v>3.0479979234587567E-3</v>
      </c>
      <c r="R1166">
        <v>1.8593039414811403E-3</v>
      </c>
      <c r="S1166">
        <v>0.20633228493473768</v>
      </c>
      <c r="T1166">
        <v>1.0563357108213098</v>
      </c>
      <c r="U1166">
        <v>3.7685827464512718E-2</v>
      </c>
      <c r="V1166">
        <v>0.24894452498225536</v>
      </c>
      <c r="W1166">
        <v>0.11891310780839788</v>
      </c>
      <c r="X1166">
        <v>2.1935984033027784E-2</v>
      </c>
      <c r="Y1166">
        <v>5.0604124093320815E-3</v>
      </c>
    </row>
    <row r="1167" spans="1:25" x14ac:dyDescent="0.25">
      <c r="A1167" s="881"/>
      <c r="B1167" s="1131">
        <v>917</v>
      </c>
      <c r="C1167" s="885">
        <v>0.99274265650665761</v>
      </c>
      <c r="D1167" s="885">
        <v>1.0238507911050096</v>
      </c>
      <c r="E1167" s="885">
        <v>0.99694425268282016</v>
      </c>
      <c r="F1167" s="885">
        <v>1.0088028478718067</v>
      </c>
      <c r="G1167" s="885">
        <v>0.99576345657239218</v>
      </c>
      <c r="H1167" s="885">
        <v>1.0092642374850409</v>
      </c>
      <c r="I1167" s="885">
        <v>1.0075429065472148</v>
      </c>
      <c r="K1167">
        <v>1.9399454524421773</v>
      </c>
      <c r="L1167">
        <v>0</v>
      </c>
      <c r="M1167">
        <v>1.9754312598065735E-3</v>
      </c>
      <c r="N1167">
        <v>0.19715598885458899</v>
      </c>
      <c r="O1167">
        <v>2.5039347960703125E-2</v>
      </c>
      <c r="P1167">
        <v>2.1088114113402039E-2</v>
      </c>
      <c r="Q1167">
        <v>2.9373419860703486E-3</v>
      </c>
      <c r="R1167">
        <v>1.9637285620834875E-3</v>
      </c>
      <c r="S1167">
        <v>0.20760077812995983</v>
      </c>
      <c r="T1167">
        <v>1.0586532023566033</v>
      </c>
      <c r="U1167">
        <v>3.7593136908453784E-2</v>
      </c>
      <c r="V1167">
        <v>0.24592096776749517</v>
      </c>
      <c r="W1167">
        <v>0.1180959463590005</v>
      </c>
      <c r="X1167">
        <v>2.0527708900577559E-2</v>
      </c>
      <c r="Y1167">
        <v>5.3446218030447409E-3</v>
      </c>
    </row>
    <row r="1168" spans="1:25" x14ac:dyDescent="0.25">
      <c r="A1168" s="881"/>
      <c r="B1168" s="1131">
        <v>918</v>
      </c>
      <c r="C1168" s="885">
        <v>1.0166952143407944</v>
      </c>
      <c r="D1168" s="885">
        <v>0.96293578221649523</v>
      </c>
      <c r="E1168" s="885">
        <v>1.0415478517252177</v>
      </c>
      <c r="F1168" s="885">
        <v>1.0245695176267804</v>
      </c>
      <c r="G1168" s="885">
        <v>1.0010306102875366</v>
      </c>
      <c r="H1168" s="885">
        <v>0.99104151442259059</v>
      </c>
      <c r="I1168" s="885">
        <v>1.0149737752944437</v>
      </c>
      <c r="K1168">
        <v>1.9494444737682322</v>
      </c>
      <c r="L1168">
        <v>0</v>
      </c>
      <c r="M1168">
        <v>1.7769264171224061E-3</v>
      </c>
      <c r="N1168">
        <v>0.20368592259135945</v>
      </c>
      <c r="O1168">
        <v>2.5203926360388307E-2</v>
      </c>
      <c r="P1168">
        <v>2.178814817105848E-2</v>
      </c>
      <c r="Q1168">
        <v>3.0775364563126275E-3</v>
      </c>
      <c r="R1168">
        <v>1.7662517390712917E-3</v>
      </c>
      <c r="S1168">
        <v>0.20816931901086219</v>
      </c>
      <c r="T1168">
        <v>1.0545895575949471</v>
      </c>
      <c r="U1168">
        <v>3.6707471496376258E-2</v>
      </c>
      <c r="V1168">
        <v>0.25019425865839851</v>
      </c>
      <c r="W1168">
        <v>0.11838788375908876</v>
      </c>
      <c r="X1168">
        <v>2.2843969358468427E-2</v>
      </c>
      <c r="Y1168">
        <v>4.8071549890227536E-3</v>
      </c>
    </row>
    <row r="1169" spans="1:25" x14ac:dyDescent="0.25">
      <c r="A1169" s="881"/>
      <c r="B1169" s="1131">
        <v>919</v>
      </c>
      <c r="C1169" s="885">
        <v>1.0390205960705972</v>
      </c>
      <c r="D1169" s="885">
        <v>1.0143773270741006</v>
      </c>
      <c r="E1169" s="885">
        <v>1.0307503674684197</v>
      </c>
      <c r="F1169" s="885">
        <v>1.0134489400756181</v>
      </c>
      <c r="G1169" s="885">
        <v>1.0111686353666816</v>
      </c>
      <c r="H1169" s="885">
        <v>0.96538496063284995</v>
      </c>
      <c r="I1169" s="885">
        <v>0.98361859425541942</v>
      </c>
      <c r="K1169">
        <v>1.8932934254178</v>
      </c>
      <c r="L1169">
        <v>0</v>
      </c>
      <c r="M1169">
        <v>1.6887964536991234E-3</v>
      </c>
      <c r="N1169">
        <v>0.1871713591822281</v>
      </c>
      <c r="O1169">
        <v>2.4034145058115242E-2</v>
      </c>
      <c r="P1169">
        <v>2.1240775097975253E-2</v>
      </c>
      <c r="Q1169">
        <v>2.9142498625151412E-3</v>
      </c>
      <c r="R1169">
        <v>1.6783437581843574E-3</v>
      </c>
      <c r="S1169">
        <v>0.19029616959648613</v>
      </c>
      <c r="T1169">
        <v>1.0555661326027388</v>
      </c>
      <c r="U1169">
        <v>3.5918739957664057E-2</v>
      </c>
      <c r="V1169">
        <v>0.24080251495413316</v>
      </c>
      <c r="W1169">
        <v>0.1095758059614544</v>
      </c>
      <c r="X1169">
        <v>2.1216087396096345E-2</v>
      </c>
      <c r="Y1169">
        <v>4.5678984439066284E-3</v>
      </c>
    </row>
    <row r="1170" spans="1:25" x14ac:dyDescent="0.25">
      <c r="A1170" s="881"/>
      <c r="B1170" s="1131">
        <v>920</v>
      </c>
      <c r="C1170" s="885">
        <v>1.0134222589993371</v>
      </c>
      <c r="D1170" s="885">
        <v>0.97353658016360001</v>
      </c>
      <c r="E1170" s="885">
        <v>0.99983561076439331</v>
      </c>
      <c r="F1170" s="885">
        <v>1.0149938826779306</v>
      </c>
      <c r="G1170" s="885">
        <v>1.009938001978967</v>
      </c>
      <c r="H1170" s="885">
        <v>0.9849887978304801</v>
      </c>
      <c r="I1170" s="885">
        <v>1.0220086574726499</v>
      </c>
      <c r="K1170">
        <v>1.9377444044640417</v>
      </c>
      <c r="L1170">
        <v>0</v>
      </c>
      <c r="M1170">
        <v>1.9244949287626895E-3</v>
      </c>
      <c r="N1170">
        <v>0.1937837585815885</v>
      </c>
      <c r="O1170">
        <v>2.5148050901781877E-2</v>
      </c>
      <c r="P1170">
        <v>2.117904258342701E-2</v>
      </c>
      <c r="Q1170">
        <v>2.9483054401541883E-3</v>
      </c>
      <c r="R1170">
        <v>1.9128537527082893E-3</v>
      </c>
      <c r="S1170">
        <v>0.20860419335392305</v>
      </c>
      <c r="T1170">
        <v>1.0583874285440869</v>
      </c>
      <c r="U1170">
        <v>3.6826022193125404E-2</v>
      </c>
      <c r="V1170">
        <v>0.24927061864691502</v>
      </c>
      <c r="W1170">
        <v>0.11584631485103554</v>
      </c>
      <c r="X1170">
        <v>2.0556153201257026E-2</v>
      </c>
      <c r="Y1170">
        <v>5.2061573428018523E-3</v>
      </c>
    </row>
    <row r="1171" spans="1:25" x14ac:dyDescent="0.25">
      <c r="A1171" s="881"/>
      <c r="B1171" s="1131">
        <v>921</v>
      </c>
      <c r="C1171" s="885">
        <v>1.0064609769866795</v>
      </c>
      <c r="D1171" s="885">
        <v>0.99770564616043345</v>
      </c>
      <c r="E1171" s="885">
        <v>1.0203438255159178</v>
      </c>
      <c r="F1171" s="885">
        <v>0.99755015222760046</v>
      </c>
      <c r="G1171" s="885">
        <v>1.0147345618980612</v>
      </c>
      <c r="H1171" s="885">
        <v>0.99336405802804362</v>
      </c>
      <c r="I1171" s="885">
        <v>1.0207587245712491</v>
      </c>
      <c r="K1171">
        <v>1.9405739622884495</v>
      </c>
      <c r="L1171">
        <v>0</v>
      </c>
      <c r="M1171">
        <v>1.8489440648721686E-3</v>
      </c>
      <c r="N1171">
        <v>0.19844077840527108</v>
      </c>
      <c r="O1171">
        <v>2.501586103931662E-2</v>
      </c>
      <c r="P1171">
        <v>2.1447169737952181E-2</v>
      </c>
      <c r="Q1171">
        <v>2.9987054229977379E-3</v>
      </c>
      <c r="R1171">
        <v>1.837835206211701E-3</v>
      </c>
      <c r="S1171">
        <v>0.20829854506692261</v>
      </c>
      <c r="T1171">
        <v>1.0565116691700087</v>
      </c>
      <c r="U1171">
        <v>3.7080732839392318E-2</v>
      </c>
      <c r="V1171">
        <v>0.24718599436661662</v>
      </c>
      <c r="W1171">
        <v>0.11698876567111079</v>
      </c>
      <c r="X1171">
        <v>2.1614867838425745E-2</v>
      </c>
      <c r="Y1171">
        <v>5.0019815890953454E-3</v>
      </c>
    </row>
    <row r="1172" spans="1:25" x14ac:dyDescent="0.25">
      <c r="A1172" s="881"/>
      <c r="B1172" s="1131">
        <v>922</v>
      </c>
      <c r="C1172" s="885">
        <v>1.0075625569136664</v>
      </c>
      <c r="D1172" s="885">
        <v>0.99993621729686522</v>
      </c>
      <c r="E1172" s="885">
        <v>0.95862971920494666</v>
      </c>
      <c r="F1172" s="885">
        <v>1.0040597312078081</v>
      </c>
      <c r="G1172" s="885">
        <v>0.98929538966836583</v>
      </c>
      <c r="H1172" s="885">
        <v>0.99703810958281192</v>
      </c>
      <c r="I1172" s="885">
        <v>0.98452153842452927</v>
      </c>
      <c r="K1172">
        <v>1.9207537238691677</v>
      </c>
      <c r="L1172">
        <v>0</v>
      </c>
      <c r="M1172">
        <v>2.1082464400803847E-3</v>
      </c>
      <c r="N1172">
        <v>0.18671893544577914</v>
      </c>
      <c r="O1172">
        <v>2.4960898906824402E-2</v>
      </c>
      <c r="P1172">
        <v>2.0443023554084557E-2</v>
      </c>
      <c r="Q1172">
        <v>2.8115505919036857E-3</v>
      </c>
      <c r="R1172">
        <v>2.0956243588917088E-3</v>
      </c>
      <c r="S1172">
        <v>0.2008419459461844</v>
      </c>
      <c r="T1172">
        <v>1.0622057256540198</v>
      </c>
      <c r="U1172">
        <v>3.7040192040517401E-2</v>
      </c>
      <c r="V1172">
        <v>0.24675669890050569</v>
      </c>
      <c r="W1172">
        <v>0.11486243326581615</v>
      </c>
      <c r="X1172">
        <v>1.8421342962199574E-2</v>
      </c>
      <c r="Y1172">
        <v>5.7035986825189856E-3</v>
      </c>
    </row>
    <row r="1173" spans="1:25" x14ac:dyDescent="0.25">
      <c r="A1173" s="881"/>
      <c r="B1173" s="1131">
        <v>923</v>
      </c>
      <c r="C1173" s="885">
        <v>0.96331368764933878</v>
      </c>
      <c r="D1173" s="885">
        <v>1.0084176259892386</v>
      </c>
      <c r="E1173" s="885">
        <v>1.0144608743187233</v>
      </c>
      <c r="F1173" s="885">
        <v>0.98058399559199882</v>
      </c>
      <c r="G1173" s="885">
        <v>1.0056097667698363</v>
      </c>
      <c r="H1173" s="885">
        <v>0.97890536691705943</v>
      </c>
      <c r="I1173" s="885">
        <v>1.0095262303876347</v>
      </c>
      <c r="K1173">
        <v>1.9597175537159162</v>
      </c>
      <c r="L1173">
        <v>0</v>
      </c>
      <c r="M1173">
        <v>1.9172873665647739E-3</v>
      </c>
      <c r="N1173">
        <v>0.2020296756629594</v>
      </c>
      <c r="O1173">
        <v>2.5998593820618733E-2</v>
      </c>
      <c r="P1173">
        <v>2.1512872782372624E-2</v>
      </c>
      <c r="Q1173">
        <v>3.1006124493776792E-3</v>
      </c>
      <c r="R1173">
        <v>1.9055890984511074E-3</v>
      </c>
      <c r="S1173">
        <v>0.21265458543229801</v>
      </c>
      <c r="T1173">
        <v>1.0570480668349536</v>
      </c>
      <c r="U1173">
        <v>3.874159692673447E-2</v>
      </c>
      <c r="V1173">
        <v>0.25210204468628539</v>
      </c>
      <c r="W1173">
        <v>0.1195791692360381</v>
      </c>
      <c r="X1173">
        <v>2.1775648803686379E-2</v>
      </c>
      <c r="Y1173">
        <v>5.1863853487064352E-3</v>
      </c>
    </row>
    <row r="1174" spans="1:25" x14ac:dyDescent="0.25">
      <c r="A1174" s="881"/>
      <c r="B1174" s="1131">
        <v>924</v>
      </c>
      <c r="C1174" s="885">
        <v>1.0200406056082709</v>
      </c>
      <c r="D1174" s="885">
        <v>1.0168697613342381</v>
      </c>
      <c r="E1174" s="885">
        <v>1.0281377387898638</v>
      </c>
      <c r="F1174" s="885">
        <v>0.98666216918552041</v>
      </c>
      <c r="G1174" s="885">
        <v>0.99396302456378138</v>
      </c>
      <c r="H1174" s="885">
        <v>0.9812610935431727</v>
      </c>
      <c r="I1174" s="885">
        <v>0.99249023391200519</v>
      </c>
      <c r="K1174">
        <v>1.913614131856552</v>
      </c>
      <c r="L1174">
        <v>0</v>
      </c>
      <c r="M1174">
        <v>1.7560716747988317E-3</v>
      </c>
      <c r="N1174">
        <v>0.19307466628860584</v>
      </c>
      <c r="O1174">
        <v>2.4451693326413934E-2</v>
      </c>
      <c r="P1174">
        <v>2.1336002084761108E-2</v>
      </c>
      <c r="Q1174">
        <v>2.9577310096915933E-3</v>
      </c>
      <c r="R1174">
        <v>1.7453766319181694E-3</v>
      </c>
      <c r="S1174">
        <v>0.19691628831397151</v>
      </c>
      <c r="T1174">
        <v>1.0558031171608746</v>
      </c>
      <c r="U1174">
        <v>3.6587083294259706E-2</v>
      </c>
      <c r="V1174">
        <v>0.24300454833942442</v>
      </c>
      <c r="W1174">
        <v>0.11322992307127282</v>
      </c>
      <c r="X1174">
        <v>2.1513434181326573E-2</v>
      </c>
      <c r="Y1174">
        <v>4.7503398288291782E-3</v>
      </c>
    </row>
    <row r="1175" spans="1:25" x14ac:dyDescent="0.25">
      <c r="A1175" s="881"/>
      <c r="B1175" s="1131">
        <v>925</v>
      </c>
      <c r="C1175" s="885">
        <v>1.0044064482324866</v>
      </c>
      <c r="D1175" s="885">
        <v>1.0377123880355397</v>
      </c>
      <c r="E1175" s="885">
        <v>1.0309855862561097</v>
      </c>
      <c r="F1175" s="885">
        <v>0.97495067346265352</v>
      </c>
      <c r="G1175" s="885">
        <v>0.98893786080299328</v>
      </c>
      <c r="H1175" s="885">
        <v>0.9712998590313201</v>
      </c>
      <c r="I1175" s="885">
        <v>0.97756119066901737</v>
      </c>
      <c r="K1175">
        <v>1.9102875944619833</v>
      </c>
      <c r="L1175">
        <v>0</v>
      </c>
      <c r="M1175">
        <v>1.7372435545468371E-3</v>
      </c>
      <c r="N1175">
        <v>0.19268688746314674</v>
      </c>
      <c r="O1175">
        <v>2.4585064243037431E-2</v>
      </c>
      <c r="P1175">
        <v>2.1342036888575222E-2</v>
      </c>
      <c r="Q1175">
        <v>2.986422437372291E-3</v>
      </c>
      <c r="R1175">
        <v>1.7265398117015062E-3</v>
      </c>
      <c r="S1175">
        <v>0.19419219153462264</v>
      </c>
      <c r="T1175">
        <v>1.0555448096493454</v>
      </c>
      <c r="U1175">
        <v>3.7156582045636606E-2</v>
      </c>
      <c r="V1175">
        <v>0.24268264321426661</v>
      </c>
      <c r="W1175">
        <v>0.11278699532313992</v>
      </c>
      <c r="X1175">
        <v>2.1635593191930372E-2</v>
      </c>
      <c r="Y1175">
        <v>4.6990722137555362E-3</v>
      </c>
    </row>
    <row r="1176" spans="1:25" x14ac:dyDescent="0.25">
      <c r="A1176" s="881"/>
      <c r="B1176" s="1131">
        <v>926</v>
      </c>
      <c r="C1176" s="885">
        <v>0.98715852366141521</v>
      </c>
      <c r="D1176" s="885">
        <v>0.95808452615865058</v>
      </c>
      <c r="E1176" s="885">
        <v>0.97729898633364687</v>
      </c>
      <c r="F1176" s="885">
        <v>0.97127135085409411</v>
      </c>
      <c r="G1176" s="885">
        <v>1.0226973775745245</v>
      </c>
      <c r="H1176" s="885">
        <v>1.005986777782178</v>
      </c>
      <c r="I1176" s="885">
        <v>1.0294529212724886</v>
      </c>
      <c r="K1176">
        <v>1.9706863929909333</v>
      </c>
      <c r="L1176">
        <v>0</v>
      </c>
      <c r="M1176">
        <v>2.1326003028936044E-3</v>
      </c>
      <c r="N1176">
        <v>0.20021298076563956</v>
      </c>
      <c r="O1176">
        <v>2.6023393240128725E-2</v>
      </c>
      <c r="P1176">
        <v>2.1089234089244069E-2</v>
      </c>
      <c r="Q1176">
        <v>2.9787865328030167E-3</v>
      </c>
      <c r="R1176">
        <v>2.1199837800098134E-3</v>
      </c>
      <c r="S1176">
        <v>0.21957516619775508</v>
      </c>
      <c r="T1176">
        <v>1.0604676040042942</v>
      </c>
      <c r="U1176">
        <v>3.7805792794549542E-2</v>
      </c>
      <c r="V1176">
        <v>0.25514562481518926</v>
      </c>
      <c r="W1176">
        <v>0.12156483592978262</v>
      </c>
      <c r="X1176">
        <v>2.0065694147708511E-2</v>
      </c>
      <c r="Y1176">
        <v>5.7698969967214528E-3</v>
      </c>
    </row>
    <row r="1177" spans="1:25" x14ac:dyDescent="0.25">
      <c r="A1177" s="881"/>
      <c r="B1177" s="1131">
        <v>927</v>
      </c>
      <c r="C1177" s="885">
        <v>0.99311131400224528</v>
      </c>
      <c r="D1177" s="885">
        <v>0.98011672363461322</v>
      </c>
      <c r="E1177" s="885">
        <v>1.0029672692717795</v>
      </c>
      <c r="F1177" s="885">
        <v>1.0188672250801012</v>
      </c>
      <c r="G1177" s="885">
        <v>1.0229611618946326</v>
      </c>
      <c r="H1177" s="885">
        <v>0.99569163253955262</v>
      </c>
      <c r="I1177" s="885">
        <v>0.96997980589700028</v>
      </c>
      <c r="K1177">
        <v>1.9446674566204918</v>
      </c>
      <c r="L1177">
        <v>0</v>
      </c>
      <c r="M1177">
        <v>1.9655605938040002E-3</v>
      </c>
      <c r="N1177">
        <v>0.19986883522337312</v>
      </c>
      <c r="O1177">
        <v>2.5576671209634094E-2</v>
      </c>
      <c r="P1177">
        <v>2.1179185631843976E-2</v>
      </c>
      <c r="Q1177">
        <v>3.0094300796827942E-3</v>
      </c>
      <c r="R1177">
        <v>1.9537932680500267E-3</v>
      </c>
      <c r="S1177">
        <v>0.20247649736573461</v>
      </c>
      <c r="T1177">
        <v>1.0580999336780628</v>
      </c>
      <c r="U1177">
        <v>3.7579181784281344E-2</v>
      </c>
      <c r="V1177">
        <v>0.25132452653033105</v>
      </c>
      <c r="W1177">
        <v>0.11922854091693229</v>
      </c>
      <c r="X1177">
        <v>2.101884031851577E-2</v>
      </c>
      <c r="Y1177">
        <v>5.3175812078544576E-3</v>
      </c>
    </row>
    <row r="1178" spans="1:25" x14ac:dyDescent="0.25">
      <c r="A1178" s="881"/>
      <c r="B1178" s="1131">
        <v>928</v>
      </c>
      <c r="C1178" s="885">
        <v>1.0207610343938374</v>
      </c>
      <c r="D1178" s="885">
        <v>0.99127423312519158</v>
      </c>
      <c r="E1178" s="885">
        <v>1.018689447061192</v>
      </c>
      <c r="F1178" s="885">
        <v>0.98075113765896516</v>
      </c>
      <c r="G1178" s="885">
        <v>0.98594764330530216</v>
      </c>
      <c r="H1178" s="885">
        <v>0.98021239852058439</v>
      </c>
      <c r="I1178" s="885">
        <v>1.0054756719330165</v>
      </c>
      <c r="K1178">
        <v>1.9234175295384695</v>
      </c>
      <c r="L1178">
        <v>0</v>
      </c>
      <c r="M1178">
        <v>1.8109902400110624E-3</v>
      </c>
      <c r="N1178">
        <v>0.19335578197694131</v>
      </c>
      <c r="O1178">
        <v>2.4744553247808464E-2</v>
      </c>
      <c r="P1178">
        <v>2.1306965630308802E-2</v>
      </c>
      <c r="Q1178">
        <v>2.9599694570801136E-3</v>
      </c>
      <c r="R1178">
        <v>1.799968378919888E-3</v>
      </c>
      <c r="S1178">
        <v>0.20159057313561346</v>
      </c>
      <c r="T1178">
        <v>1.0566623759355358</v>
      </c>
      <c r="U1178">
        <v>3.6561261003736294E-2</v>
      </c>
      <c r="V1178">
        <v>0.24601019783167116</v>
      </c>
      <c r="W1178">
        <v>0.11411832347371294</v>
      </c>
      <c r="X1178">
        <v>2.1219629139145973E-2</v>
      </c>
      <c r="Y1178">
        <v>4.8989205680032939E-3</v>
      </c>
    </row>
    <row r="1179" spans="1:25" x14ac:dyDescent="0.25">
      <c r="A1179" s="881"/>
      <c r="B1179" s="1131">
        <v>929</v>
      </c>
      <c r="C1179" s="885">
        <v>1.0073477718017254</v>
      </c>
      <c r="D1179" s="885">
        <v>0.98929902697922301</v>
      </c>
      <c r="E1179" s="885">
        <v>0.98168562552284444</v>
      </c>
      <c r="F1179" s="885">
        <v>1.0029618731129515</v>
      </c>
      <c r="G1179" s="885">
        <v>0.99688722468601032</v>
      </c>
      <c r="H1179" s="885">
        <v>0.99593647854211542</v>
      </c>
      <c r="I1179" s="885">
        <v>1.0237362865389765</v>
      </c>
      <c r="K1179">
        <v>1.9373106756212257</v>
      </c>
      <c r="L1179">
        <v>0</v>
      </c>
      <c r="M1179">
        <v>2.0176475136774686E-3</v>
      </c>
      <c r="N1179">
        <v>0.19201363850857633</v>
      </c>
      <c r="O1179">
        <v>2.509883879389466E-2</v>
      </c>
      <c r="P1179">
        <v>2.0917778260746665E-2</v>
      </c>
      <c r="Q1179">
        <v>2.8923314792609206E-3</v>
      </c>
      <c r="R1179">
        <v>2.0055634671591561E-3</v>
      </c>
      <c r="S1179">
        <v>0.20980115817160311</v>
      </c>
      <c r="T1179">
        <v>1.0600611623120166</v>
      </c>
      <c r="U1179">
        <v>3.7048089692169009E-2</v>
      </c>
      <c r="V1179">
        <v>0.2481133979504366</v>
      </c>
      <c r="W1179">
        <v>0.11623192121472363</v>
      </c>
      <c r="X1179">
        <v>1.9685960660526379E-2</v>
      </c>
      <c r="Y1179">
        <v>5.4584826237879585E-3</v>
      </c>
    </row>
    <row r="1180" spans="1:25" x14ac:dyDescent="0.25">
      <c r="A1180" s="881"/>
      <c r="B1180" s="1131">
        <v>930</v>
      </c>
      <c r="C1180" s="885">
        <v>0.983482913851218</v>
      </c>
      <c r="D1180" s="885">
        <v>1.0149628307287883</v>
      </c>
      <c r="E1180" s="885">
        <v>1.0027294069816632</v>
      </c>
      <c r="F1180" s="885">
        <v>0.97495719710518125</v>
      </c>
      <c r="G1180" s="885">
        <v>0.9888085356652051</v>
      </c>
      <c r="H1180" s="885">
        <v>0.96289459790955989</v>
      </c>
      <c r="I1180" s="885">
        <v>0.99155432964192625</v>
      </c>
      <c r="K1180">
        <v>1.9281223575966848</v>
      </c>
      <c r="L1180">
        <v>0</v>
      </c>
      <c r="M1180">
        <v>1.8874805672214074E-3</v>
      </c>
      <c r="N1180">
        <v>0.19174504537779108</v>
      </c>
      <c r="O1180">
        <v>2.5384126140688315E-2</v>
      </c>
      <c r="P1180">
        <v>2.1138011115509489E-2</v>
      </c>
      <c r="Q1180">
        <v>2.9933512248597836E-3</v>
      </c>
      <c r="R1180">
        <v>1.8757674493548873E-3</v>
      </c>
      <c r="S1180">
        <v>0.20235853368669329</v>
      </c>
      <c r="T1180">
        <v>1.0581217566789702</v>
      </c>
      <c r="U1180">
        <v>3.7947085887617894E-2</v>
      </c>
      <c r="V1180">
        <v>0.24831617083225674</v>
      </c>
      <c r="W1180">
        <v>0.11440100552836609</v>
      </c>
      <c r="X1180">
        <v>2.0623763591227747E-2</v>
      </c>
      <c r="Y1180">
        <v>5.1052206505705078E-3</v>
      </c>
    </row>
    <row r="1181" spans="1:25" x14ac:dyDescent="0.25">
      <c r="A1181" s="881"/>
      <c r="B1181" s="1131">
        <v>931</v>
      </c>
      <c r="C1181" s="885">
        <v>1.0184512659796177</v>
      </c>
      <c r="D1181" s="885">
        <v>1.0194905350698209</v>
      </c>
      <c r="E1181" s="885">
        <v>1.0140169495021178</v>
      </c>
      <c r="F1181" s="885">
        <v>0.99305548361915463</v>
      </c>
      <c r="G1181" s="885">
        <v>1.0428445554972618</v>
      </c>
      <c r="H1181" s="885">
        <v>0.97559627990953501</v>
      </c>
      <c r="I1181" s="885">
        <v>1.0312653450697671</v>
      </c>
      <c r="K1181">
        <v>1.9164366485969708</v>
      </c>
      <c r="L1181">
        <v>0</v>
      </c>
      <c r="M1181">
        <v>1.7993258840965779E-3</v>
      </c>
      <c r="N1181">
        <v>0.1893335402415123</v>
      </c>
      <c r="O1181">
        <v>2.4458746103963851E-2</v>
      </c>
      <c r="P1181">
        <v>2.1232922724348968E-2</v>
      </c>
      <c r="Q1181">
        <v>2.9178849066673809E-3</v>
      </c>
      <c r="R1181">
        <v>1.7883018280188524E-3</v>
      </c>
      <c r="S1181">
        <v>0.20411263696513213</v>
      </c>
      <c r="T1181">
        <v>1.0570885980268894</v>
      </c>
      <c r="U1181">
        <v>3.6644179105634098E-2</v>
      </c>
      <c r="V1181">
        <v>0.24291058181430841</v>
      </c>
      <c r="W1181">
        <v>0.11209817339748375</v>
      </c>
      <c r="X1181">
        <v>2.078324130477938E-2</v>
      </c>
      <c r="Y1181">
        <v>4.867168062328146E-3</v>
      </c>
    </row>
    <row r="1182" spans="1:25" x14ac:dyDescent="0.25">
      <c r="A1182" s="881"/>
      <c r="B1182" s="1131">
        <v>932</v>
      </c>
      <c r="C1182" s="885">
        <v>0.9958876085491285</v>
      </c>
      <c r="D1182" s="885">
        <v>0.98133363027497134</v>
      </c>
      <c r="E1182" s="885">
        <v>0.99481649727242516</v>
      </c>
      <c r="F1182" s="885">
        <v>0.97766174679922935</v>
      </c>
      <c r="G1182" s="885">
        <v>1.0209251327517999</v>
      </c>
      <c r="H1182" s="885">
        <v>0.97060121197707716</v>
      </c>
      <c r="I1182" s="885">
        <v>0.97203019137686109</v>
      </c>
      <c r="K1182">
        <v>1.9299215218036438</v>
      </c>
      <c r="L1182">
        <v>0</v>
      </c>
      <c r="M1182">
        <v>1.9425676052931213E-3</v>
      </c>
      <c r="N1182">
        <v>0.19255429377927238</v>
      </c>
      <c r="O1182">
        <v>2.54896668688771E-2</v>
      </c>
      <c r="P1182">
        <v>2.1014282642429886E-2</v>
      </c>
      <c r="Q1182">
        <v>2.9749654593538978E-3</v>
      </c>
      <c r="R1182">
        <v>1.9306362666661227E-3</v>
      </c>
      <c r="S1182">
        <v>0.1997217698129192</v>
      </c>
      <c r="T1182">
        <v>1.0588489936538092</v>
      </c>
      <c r="U1182">
        <v>3.7474420085703758E-2</v>
      </c>
      <c r="V1182">
        <v>0.25076255251243068</v>
      </c>
      <c r="W1182">
        <v>0.11550807204101286</v>
      </c>
      <c r="X1182">
        <v>2.0329880802666657E-2</v>
      </c>
      <c r="Y1182">
        <v>5.2545554837909233E-3</v>
      </c>
    </row>
    <row r="1183" spans="1:25" x14ac:dyDescent="0.25">
      <c r="A1183" s="881"/>
      <c r="B1183" s="1131">
        <v>933</v>
      </c>
      <c r="C1183" s="885">
        <v>0.99538102777556703</v>
      </c>
      <c r="D1183" s="885">
        <v>1.0382874985171666</v>
      </c>
      <c r="E1183" s="885">
        <v>1.0141953904043581</v>
      </c>
      <c r="F1183" s="885">
        <v>1.0307096488518976</v>
      </c>
      <c r="G1183" s="885">
        <v>0.99356131226454591</v>
      </c>
      <c r="H1183" s="885">
        <v>1.0163922877164715</v>
      </c>
      <c r="I1183" s="885">
        <v>1.0218045451504816</v>
      </c>
      <c r="K1183">
        <v>1.9419309495992454</v>
      </c>
      <c r="L1183">
        <v>0</v>
      </c>
      <c r="M1183">
        <v>1.9001135818920924E-3</v>
      </c>
      <c r="N1183">
        <v>0.20009782516061073</v>
      </c>
      <c r="O1183">
        <v>2.480121660108553E-2</v>
      </c>
      <c r="P1183">
        <v>2.1332679652631963E-2</v>
      </c>
      <c r="Q1183">
        <v>2.9629919861322573E-3</v>
      </c>
      <c r="R1183">
        <v>1.8889253132319684E-3</v>
      </c>
      <c r="S1183">
        <v>0.20936831022218047</v>
      </c>
      <c r="T1183">
        <v>1.0570723051032209</v>
      </c>
      <c r="U1183">
        <v>3.7493491999057556E-2</v>
      </c>
      <c r="V1183">
        <v>0.24385232278494964</v>
      </c>
      <c r="W1183">
        <v>0.11845703052735365</v>
      </c>
      <c r="X1183">
        <v>2.1362931812126184E-2</v>
      </c>
      <c r="Y1183">
        <v>5.14103201855526E-3</v>
      </c>
    </row>
    <row r="1184" spans="1:25" x14ac:dyDescent="0.25">
      <c r="A1184" s="881"/>
      <c r="B1184" s="1131">
        <v>934</v>
      </c>
      <c r="C1184" s="885">
        <v>1.0171688340885188</v>
      </c>
      <c r="D1184" s="885">
        <v>0.99246379115752592</v>
      </c>
      <c r="E1184" s="885">
        <v>1.0332622652434351</v>
      </c>
      <c r="F1184" s="885">
        <v>1.0237043288533438</v>
      </c>
      <c r="G1184" s="885">
        <v>1.0450761579606711</v>
      </c>
      <c r="H1184" s="885">
        <v>0.98018389571705189</v>
      </c>
      <c r="I1184" s="885">
        <v>1.0077815266251295</v>
      </c>
      <c r="K1184">
        <v>1.9288962459059715</v>
      </c>
      <c r="L1184">
        <v>0</v>
      </c>
      <c r="M1184">
        <v>1.7611476099693994E-3</v>
      </c>
      <c r="N1184">
        <v>0.19673815528963673</v>
      </c>
      <c r="O1184">
        <v>2.4817186591746726E-2</v>
      </c>
      <c r="P1184">
        <v>2.1537497817025276E-2</v>
      </c>
      <c r="Q1184">
        <v>3.0120890766462687E-3</v>
      </c>
      <c r="R1184">
        <v>1.7504278902082963E-3</v>
      </c>
      <c r="S1184">
        <v>0.20265191973700783</v>
      </c>
      <c r="T1184">
        <v>1.05533853709456</v>
      </c>
      <c r="U1184">
        <v>3.6690379561579348E-2</v>
      </c>
      <c r="V1184">
        <v>0.24634938137842641</v>
      </c>
      <c r="W1184">
        <v>0.11498305877119069</v>
      </c>
      <c r="X1184">
        <v>2.2024672619164905E-2</v>
      </c>
      <c r="Y1184">
        <v>4.7640876887480562E-3</v>
      </c>
    </row>
    <row r="1185" spans="1:25" x14ac:dyDescent="0.25">
      <c r="A1185" s="881"/>
      <c r="B1185" s="1131">
        <v>935</v>
      </c>
      <c r="C1185" s="885">
        <v>0.99059624294641579</v>
      </c>
      <c r="D1185" s="885">
        <v>1.0138319246120224</v>
      </c>
      <c r="E1185" s="885">
        <v>0.99291283774246619</v>
      </c>
      <c r="F1185" s="885">
        <v>1.0135037043403401</v>
      </c>
      <c r="G1185" s="885">
        <v>1.0037473767331326</v>
      </c>
      <c r="H1185" s="885">
        <v>0.98747805459119842</v>
      </c>
      <c r="I1185" s="885">
        <v>1.0070217529130658</v>
      </c>
      <c r="K1185">
        <v>1.9351683545118636</v>
      </c>
      <c r="L1185">
        <v>0</v>
      </c>
      <c r="M1185">
        <v>1.9629781557607097E-3</v>
      </c>
      <c r="N1185">
        <v>0.19344573318500183</v>
      </c>
      <c r="O1185">
        <v>2.5215730271720617E-2</v>
      </c>
      <c r="P1185">
        <v>2.1038316516544048E-2</v>
      </c>
      <c r="Q1185">
        <v>2.9440347199844604E-3</v>
      </c>
      <c r="R1185">
        <v>1.9511006992642638E-3</v>
      </c>
      <c r="S1185">
        <v>0.20665544794548019</v>
      </c>
      <c r="T1185">
        <v>1.0590243134699615</v>
      </c>
      <c r="U1185">
        <v>3.7674593323624828E-2</v>
      </c>
      <c r="V1185">
        <v>0.24743351426439078</v>
      </c>
      <c r="W1185">
        <v>0.11619472402323201</v>
      </c>
      <c r="X1185">
        <v>2.0243571325194682E-2</v>
      </c>
      <c r="Y1185">
        <v>5.3102529232246717E-3</v>
      </c>
    </row>
    <row r="1186" spans="1:25" x14ac:dyDescent="0.25">
      <c r="A1186" s="881"/>
      <c r="B1186" s="1131">
        <v>936</v>
      </c>
      <c r="C1186" s="885">
        <v>1.0014748598843306</v>
      </c>
      <c r="D1186" s="885">
        <v>1.025579612259677</v>
      </c>
      <c r="E1186" s="885">
        <v>1.0306463122124021</v>
      </c>
      <c r="F1186" s="885">
        <v>0.98794171825999699</v>
      </c>
      <c r="G1186" s="885">
        <v>0.9681863599207019</v>
      </c>
      <c r="H1186" s="885">
        <v>1.0048563836512201</v>
      </c>
      <c r="I1186" s="885">
        <v>1.0012182178967011</v>
      </c>
      <c r="K1186">
        <v>1.9363399223127031</v>
      </c>
      <c r="L1186">
        <v>0</v>
      </c>
      <c r="M1186">
        <v>1.8142948231478137E-3</v>
      </c>
      <c r="N1186">
        <v>0.20106382710187545</v>
      </c>
      <c r="O1186">
        <v>2.4800371260215271E-2</v>
      </c>
      <c r="P1186">
        <v>2.1499637089602879E-2</v>
      </c>
      <c r="Q1186">
        <v>3.0091321174868547E-3</v>
      </c>
      <c r="R1186">
        <v>1.8034983217541064E-3</v>
      </c>
      <c r="S1186">
        <v>0.2039005708973593</v>
      </c>
      <c r="T1186">
        <v>1.0555755660666954</v>
      </c>
      <c r="U1186">
        <v>3.7265349431964148E-2</v>
      </c>
      <c r="V1186">
        <v>0.24450175812014527</v>
      </c>
      <c r="W1186">
        <v>0.11771708322983859</v>
      </c>
      <c r="X1186">
        <v>2.2108895590157929E-2</v>
      </c>
      <c r="Y1186">
        <v>4.908527908752694E-3</v>
      </c>
    </row>
    <row r="1187" spans="1:25" x14ac:dyDescent="0.25">
      <c r="A1187" s="881"/>
      <c r="B1187" s="1131">
        <v>937</v>
      </c>
      <c r="C1187" s="885">
        <v>1.012041422270076</v>
      </c>
      <c r="D1187" s="885">
        <v>0.99675106296440696</v>
      </c>
      <c r="E1187" s="885">
        <v>0.967145487466892</v>
      </c>
      <c r="F1187" s="885">
        <v>1.0179037020530006</v>
      </c>
      <c r="G1187" s="885">
        <v>1.0297332234143566</v>
      </c>
      <c r="H1187" s="885">
        <v>0.98434995016588633</v>
      </c>
      <c r="I1187" s="885">
        <v>1.0113343651458386</v>
      </c>
      <c r="K1187">
        <v>1.9206027581527267</v>
      </c>
      <c r="L1187">
        <v>0</v>
      </c>
      <c r="M1187">
        <v>2.0388048376260783E-3</v>
      </c>
      <c r="N1187">
        <v>0.18541600085311077</v>
      </c>
      <c r="O1187">
        <v>2.4889717454281861E-2</v>
      </c>
      <c r="P1187">
        <v>2.0609644406398963E-2</v>
      </c>
      <c r="Q1187">
        <v>2.8275092405818966E-3</v>
      </c>
      <c r="R1187">
        <v>2.0264439004305289E-3</v>
      </c>
      <c r="S1187">
        <v>0.20441459128172709</v>
      </c>
      <c r="T1187">
        <v>1.0614112304349446</v>
      </c>
      <c r="U1187">
        <v>3.6876267887538589E-2</v>
      </c>
      <c r="V1187">
        <v>0.24653022378316314</v>
      </c>
      <c r="W1187">
        <v>0.11338079885453051</v>
      </c>
      <c r="X1187">
        <v>1.8743822613724422E-2</v>
      </c>
      <c r="Y1187">
        <v>5.5153122799196565E-3</v>
      </c>
    </row>
    <row r="1188" spans="1:25" x14ac:dyDescent="0.25">
      <c r="A1188" s="881"/>
      <c r="B1188" s="1131">
        <v>938</v>
      </c>
      <c r="C1188" s="885">
        <v>0.98571688661073109</v>
      </c>
      <c r="D1188" s="885">
        <v>0.96407607756698754</v>
      </c>
      <c r="E1188" s="885">
        <v>1.0304575995778271</v>
      </c>
      <c r="F1188" s="885">
        <v>1.0129965566029251</v>
      </c>
      <c r="G1188" s="885">
        <v>1.0376901184392187</v>
      </c>
      <c r="H1188" s="885">
        <v>1.0145517596204203</v>
      </c>
      <c r="I1188" s="885">
        <v>1.018289752908182</v>
      </c>
      <c r="K1188">
        <v>1.9820864807081131</v>
      </c>
      <c r="L1188">
        <v>0</v>
      </c>
      <c r="M1188">
        <v>1.9196990142366702E-3</v>
      </c>
      <c r="N1188">
        <v>0.21263791577217292</v>
      </c>
      <c r="O1188">
        <v>2.5980712346714736E-2</v>
      </c>
      <c r="P1188">
        <v>2.1839349236326095E-2</v>
      </c>
      <c r="Q1188">
        <v>3.1381675909591461E-3</v>
      </c>
      <c r="R1188">
        <v>1.9084329474050488E-3</v>
      </c>
      <c r="S1188">
        <v>0.21779821095208177</v>
      </c>
      <c r="T1188">
        <v>1.0555926754993015</v>
      </c>
      <c r="U1188">
        <v>3.7861084767694612E-2</v>
      </c>
      <c r="V1188">
        <v>0.25454248322998835</v>
      </c>
      <c r="W1188">
        <v>0.12450911731477228</v>
      </c>
      <c r="X1188">
        <v>2.3003904696847356E-2</v>
      </c>
      <c r="Y1188">
        <v>5.1941253680845073E-3</v>
      </c>
    </row>
    <row r="1189" spans="1:25" x14ac:dyDescent="0.25">
      <c r="A1189" s="881"/>
      <c r="B1189" s="1131">
        <v>939</v>
      </c>
      <c r="C1189" s="885">
        <v>0.99715972049021506</v>
      </c>
      <c r="D1189" s="885">
        <v>0.99503191482186615</v>
      </c>
      <c r="E1189" s="885">
        <v>0.99276676579200673</v>
      </c>
      <c r="F1189" s="885">
        <v>0.96702137768684227</v>
      </c>
      <c r="G1189" s="885">
        <v>1.0208754390257606</v>
      </c>
      <c r="H1189" s="885">
        <v>0.97248171167223818</v>
      </c>
      <c r="I1189" s="885">
        <v>0.9813324189560666</v>
      </c>
      <c r="K1189">
        <v>1.9258259871191155</v>
      </c>
      <c r="L1189">
        <v>0</v>
      </c>
      <c r="M1189">
        <v>1.9388883897194895E-3</v>
      </c>
      <c r="N1189">
        <v>0.19096849801812277</v>
      </c>
      <c r="O1189">
        <v>2.5282780417734019E-2</v>
      </c>
      <c r="P1189">
        <v>2.0965343089989302E-2</v>
      </c>
      <c r="Q1189">
        <v>2.9475867941377966E-3</v>
      </c>
      <c r="R1189">
        <v>1.9269911944102941E-3</v>
      </c>
      <c r="S1189">
        <v>0.20028537241597236</v>
      </c>
      <c r="T1189">
        <v>1.059037771965931</v>
      </c>
      <c r="U1189">
        <v>3.7426612641924407E-2</v>
      </c>
      <c r="V1189">
        <v>0.24883230909995385</v>
      </c>
      <c r="W1189">
        <v>0.1147182757997478</v>
      </c>
      <c r="X1189">
        <v>2.0128699272202958E-2</v>
      </c>
      <c r="Y1189">
        <v>5.2446347987083041E-3</v>
      </c>
    </row>
    <row r="1190" spans="1:25" x14ac:dyDescent="0.25">
      <c r="A1190" s="881"/>
      <c r="B1190" s="1131">
        <v>940</v>
      </c>
      <c r="C1190" s="885">
        <v>1.0201742077099858</v>
      </c>
      <c r="D1190" s="885">
        <v>0.99125899518171889</v>
      </c>
      <c r="E1190" s="885">
        <v>0.99568801359292858</v>
      </c>
      <c r="F1190" s="885">
        <v>0.99941128248671574</v>
      </c>
      <c r="G1190" s="885">
        <v>0.96460701894083045</v>
      </c>
      <c r="H1190" s="885">
        <v>1.0176694214222988</v>
      </c>
      <c r="I1190" s="885">
        <v>1.0171571798791916</v>
      </c>
      <c r="K1190">
        <v>1.9377452987240624</v>
      </c>
      <c r="L1190">
        <v>0</v>
      </c>
      <c r="M1190">
        <v>1.9747670827191749E-3</v>
      </c>
      <c r="N1190">
        <v>0.19633296229534894</v>
      </c>
      <c r="O1190">
        <v>2.4758975481836167E-2</v>
      </c>
      <c r="P1190">
        <v>2.1061742588592357E-2</v>
      </c>
      <c r="Q1190">
        <v>2.8942658097922827E-3</v>
      </c>
      <c r="R1190">
        <v>1.9631908378468952E-3</v>
      </c>
      <c r="S1190">
        <v>0.20784725904592266</v>
      </c>
      <c r="T1190">
        <v>1.0587687773636578</v>
      </c>
      <c r="U1190">
        <v>3.6582291846694412E-2</v>
      </c>
      <c r="V1190">
        <v>0.24608871934692708</v>
      </c>
      <c r="W1190">
        <v>0.11770434768005306</v>
      </c>
      <c r="X1190">
        <v>2.0374375215173494E-2</v>
      </c>
      <c r="Y1190">
        <v>5.3431582949334819E-3</v>
      </c>
    </row>
    <row r="1191" spans="1:25" x14ac:dyDescent="0.25">
      <c r="A1191" s="881"/>
      <c r="B1191" s="1131">
        <v>941</v>
      </c>
      <c r="C1191" s="885">
        <v>0.99438158505051211</v>
      </c>
      <c r="D1191" s="885">
        <v>0.99859753085224112</v>
      </c>
      <c r="E1191" s="885">
        <v>0.99632625736090941</v>
      </c>
      <c r="F1191" s="885">
        <v>1.0271079362792135</v>
      </c>
      <c r="G1191" s="885">
        <v>0.99991638797601268</v>
      </c>
      <c r="H1191" s="885">
        <v>1.0413242303069963</v>
      </c>
      <c r="I1191" s="885">
        <v>1.0227631216233819</v>
      </c>
      <c r="K1191">
        <v>1.9658586047282582</v>
      </c>
      <c r="L1191">
        <v>0</v>
      </c>
      <c r="M1191">
        <v>2.0627548182812934E-3</v>
      </c>
      <c r="N1191">
        <v>0.2055154366322379</v>
      </c>
      <c r="O1191">
        <v>2.5308545635840739E-2</v>
      </c>
      <c r="P1191">
        <v>2.1233567439630559E-2</v>
      </c>
      <c r="Q1191">
        <v>2.9619381077334228E-3</v>
      </c>
      <c r="R1191">
        <v>2.050931410752591E-3</v>
      </c>
      <c r="S1191">
        <v>0.21615178252540174</v>
      </c>
      <c r="T1191">
        <v>1.0587100507467344</v>
      </c>
      <c r="U1191">
        <v>3.7531176323042099E-2</v>
      </c>
      <c r="V1191">
        <v>0.24877850120670025</v>
      </c>
      <c r="W1191">
        <v>0.12315542347389899</v>
      </c>
      <c r="X1191">
        <v>2.0942046833857302E-2</v>
      </c>
      <c r="Y1191">
        <v>5.5819592107106998E-3</v>
      </c>
    </row>
    <row r="1192" spans="1:25" x14ac:dyDescent="0.25">
      <c r="A1192" s="881"/>
      <c r="B1192" s="1131">
        <v>942</v>
      </c>
      <c r="C1192" s="885">
        <v>1.0077238018068546</v>
      </c>
      <c r="D1192" s="885">
        <v>0.98728011943344163</v>
      </c>
      <c r="E1192" s="885">
        <v>1.0052922584926649</v>
      </c>
      <c r="F1192" s="885">
        <v>1.021764594311152</v>
      </c>
      <c r="G1192" s="885">
        <v>0.996373003367101</v>
      </c>
      <c r="H1192" s="885">
        <v>1.002065700155548</v>
      </c>
      <c r="I1192" s="885">
        <v>1.0009917375486683</v>
      </c>
      <c r="K1192">
        <v>1.9404705828703015</v>
      </c>
      <c r="L1192">
        <v>0</v>
      </c>
      <c r="M1192">
        <v>1.9329415097229488E-3</v>
      </c>
      <c r="N1192">
        <v>0.19798536813863538</v>
      </c>
      <c r="O1192">
        <v>2.5114897547701166E-2</v>
      </c>
      <c r="P1192">
        <v>2.1210824909549838E-2</v>
      </c>
      <c r="Q1192">
        <v>2.9635097046797928E-3</v>
      </c>
      <c r="R1192">
        <v>1.9214372295225332E-3</v>
      </c>
      <c r="S1192">
        <v>0.20587616837057235</v>
      </c>
      <c r="T1192">
        <v>1.0578867405057879</v>
      </c>
      <c r="U1192">
        <v>3.7034265275863634E-2</v>
      </c>
      <c r="V1192">
        <v>0.24831758925073266</v>
      </c>
      <c r="W1192">
        <v>0.11791779043899088</v>
      </c>
      <c r="X1192">
        <v>2.094541427083935E-2</v>
      </c>
      <c r="Y1192">
        <v>5.229518737147853E-3</v>
      </c>
    </row>
    <row r="1193" spans="1:25" x14ac:dyDescent="0.25">
      <c r="A1193" s="881"/>
      <c r="B1193" s="1131">
        <v>943</v>
      </c>
      <c r="C1193" s="885">
        <v>1.0145165715470057</v>
      </c>
      <c r="D1193" s="885">
        <v>0.99547999822768662</v>
      </c>
      <c r="E1193" s="885">
        <v>0.99187688002810481</v>
      </c>
      <c r="F1193" s="885">
        <v>1.0097511887720443</v>
      </c>
      <c r="G1193" s="885">
        <v>0.96429456277476411</v>
      </c>
      <c r="H1193" s="885">
        <v>1.0062661928570265</v>
      </c>
      <c r="I1193" s="885">
        <v>1.0265874472347707</v>
      </c>
      <c r="K1193">
        <v>1.9365407595015858</v>
      </c>
      <c r="L1193">
        <v>0</v>
      </c>
      <c r="M1193">
        <v>1.9751768063863461E-3</v>
      </c>
      <c r="N1193">
        <v>0.19404470176212554</v>
      </c>
      <c r="O1193">
        <v>2.4844689091969196E-2</v>
      </c>
      <c r="P1193">
        <v>2.1033096707830864E-2</v>
      </c>
      <c r="Q1193">
        <v>2.8940022492772439E-3</v>
      </c>
      <c r="R1193">
        <v>1.9634634893968324E-3</v>
      </c>
      <c r="S1193">
        <v>0.20936198534734557</v>
      </c>
      <c r="T1193">
        <v>1.059119780474056</v>
      </c>
      <c r="U1193">
        <v>3.6786299650096645E-2</v>
      </c>
      <c r="V1193">
        <v>0.24634185804320607</v>
      </c>
      <c r="W1193">
        <v>0.11663758828907995</v>
      </c>
      <c r="X1193">
        <v>2.0144570841014762E-2</v>
      </c>
      <c r="Y1193">
        <v>5.3439003625728541E-3</v>
      </c>
    </row>
    <row r="1194" spans="1:25" x14ac:dyDescent="0.25">
      <c r="A1194" s="881"/>
      <c r="B1194" s="1131">
        <v>944</v>
      </c>
      <c r="C1194" s="885">
        <v>1.0230067087248784</v>
      </c>
      <c r="D1194" s="885">
        <v>1.0391016957385897</v>
      </c>
      <c r="E1194" s="885">
        <v>0.98627709644610073</v>
      </c>
      <c r="F1194" s="885">
        <v>0.9980454222066133</v>
      </c>
      <c r="G1194" s="885">
        <v>0.99799291737376283</v>
      </c>
      <c r="H1194" s="885">
        <v>0.96851682111618576</v>
      </c>
      <c r="I1194" s="885">
        <v>1.0209230699068463</v>
      </c>
      <c r="K1194">
        <v>1.8957575201186494</v>
      </c>
      <c r="L1194">
        <v>0</v>
      </c>
      <c r="M1194">
        <v>1.8676841946815052E-3</v>
      </c>
      <c r="N1194">
        <v>0.18026777498740909</v>
      </c>
      <c r="O1194">
        <v>2.4122162165627025E-2</v>
      </c>
      <c r="P1194">
        <v>2.07186014511332E-2</v>
      </c>
      <c r="Q1194">
        <v>2.8022760633028714E-3</v>
      </c>
      <c r="R1194">
        <v>1.8561426441142113E-3</v>
      </c>
      <c r="S1194">
        <v>0.19872135054712181</v>
      </c>
      <c r="T1194">
        <v>1.0596365417388942</v>
      </c>
      <c r="U1194">
        <v>3.6481002795606857E-2</v>
      </c>
      <c r="V1194">
        <v>0.24004707785297674</v>
      </c>
      <c r="W1194">
        <v>0.10877563937602153</v>
      </c>
      <c r="X1194">
        <v>1.9144826291103749E-2</v>
      </c>
      <c r="Y1194">
        <v>5.0518084000206959E-3</v>
      </c>
    </row>
    <row r="1195" spans="1:25" x14ac:dyDescent="0.25">
      <c r="A1195" s="881"/>
      <c r="B1195" s="1131">
        <v>945</v>
      </c>
      <c r="C1195" s="885">
        <v>1.0057483045069822</v>
      </c>
      <c r="D1195" s="885">
        <v>1.0046347856719304</v>
      </c>
      <c r="E1195" s="885">
        <v>1.0197132689287087</v>
      </c>
      <c r="F1195" s="885">
        <v>0.99232538920712232</v>
      </c>
      <c r="G1195" s="885">
        <v>0.97457812083186501</v>
      </c>
      <c r="H1195" s="885">
        <v>0.96720484602502843</v>
      </c>
      <c r="I1195" s="885">
        <v>0.99471442411102917</v>
      </c>
      <c r="K1195">
        <v>1.9214442069419249</v>
      </c>
      <c r="L1195">
        <v>0</v>
      </c>
      <c r="M1195">
        <v>1.7977675868568722E-3</v>
      </c>
      <c r="N1195">
        <v>0.19253854698764036</v>
      </c>
      <c r="O1195">
        <v>2.4947985863642656E-2</v>
      </c>
      <c r="P1195">
        <v>2.1311255920369438E-2</v>
      </c>
      <c r="Q1195">
        <v>2.9901365924192035E-3</v>
      </c>
      <c r="R1195">
        <v>1.7866687524699372E-3</v>
      </c>
      <c r="S1195">
        <v>0.19987134085830882</v>
      </c>
      <c r="T1195">
        <v>1.0565690975459998</v>
      </c>
      <c r="U1195">
        <v>3.7107008218334778E-2</v>
      </c>
      <c r="V1195">
        <v>0.246430626087947</v>
      </c>
      <c r="W1195">
        <v>0.1135574703413167</v>
      </c>
      <c r="X1195">
        <v>2.1269113991307043E-2</v>
      </c>
      <c r="Y1195">
        <v>4.8627233690272083E-3</v>
      </c>
    </row>
    <row r="1196" spans="1:25" x14ac:dyDescent="0.25">
      <c r="A1196" s="881"/>
      <c r="B1196" s="1131">
        <v>946</v>
      </c>
      <c r="C1196" s="885">
        <v>0.96670333414206133</v>
      </c>
      <c r="D1196" s="885">
        <v>1.0038518205844986</v>
      </c>
      <c r="E1196" s="885">
        <v>1.0304483448864354</v>
      </c>
      <c r="F1196" s="885">
        <v>1.0062623321816457</v>
      </c>
      <c r="G1196" s="885">
        <v>1.0005862517127961</v>
      </c>
      <c r="H1196" s="885">
        <v>0.96802337038872999</v>
      </c>
      <c r="I1196" s="885">
        <v>1.0089950949609447</v>
      </c>
      <c r="K1196">
        <v>1.9571461863190696</v>
      </c>
      <c r="L1196">
        <v>0</v>
      </c>
      <c r="M1196">
        <v>1.8306640952717363E-3</v>
      </c>
      <c r="N1196">
        <v>0.2027089440160415</v>
      </c>
      <c r="O1196">
        <v>2.5965643402874314E-2</v>
      </c>
      <c r="P1196">
        <v>2.1722886322880153E-2</v>
      </c>
      <c r="Q1196">
        <v>3.1452344533954998E-3</v>
      </c>
      <c r="R1196">
        <v>1.8193723339220182E-3</v>
      </c>
      <c r="S1196">
        <v>0.21109112893579507</v>
      </c>
      <c r="T1196">
        <v>1.0555935146020334</v>
      </c>
      <c r="U1196">
        <v>3.8605753474553015E-2</v>
      </c>
      <c r="V1196">
        <v>0.25217005587079683</v>
      </c>
      <c r="W1196">
        <v>0.11869599114878113</v>
      </c>
      <c r="X1196">
        <v>2.2506594116261876E-2</v>
      </c>
      <c r="Y1196">
        <v>4.951731737007044E-3</v>
      </c>
    </row>
    <row r="1197" spans="1:25" x14ac:dyDescent="0.25">
      <c r="A1197" s="881"/>
      <c r="B1197" s="1131">
        <v>947</v>
      </c>
      <c r="C1197" s="885">
        <v>1.019617592128667</v>
      </c>
      <c r="D1197" s="885">
        <v>0.96745463606081528</v>
      </c>
      <c r="E1197" s="885">
        <v>1.0184117914840733</v>
      </c>
      <c r="F1197" s="885">
        <v>0.99755307868122856</v>
      </c>
      <c r="G1197" s="885">
        <v>1.0141778760200488</v>
      </c>
      <c r="H1197" s="885">
        <v>1.0188012921741396</v>
      </c>
      <c r="I1197" s="885">
        <v>1.0238232673642405</v>
      </c>
      <c r="K1197">
        <v>1.9546154099131574</v>
      </c>
      <c r="L1197">
        <v>0</v>
      </c>
      <c r="M1197">
        <v>1.9083862190360801E-3</v>
      </c>
      <c r="N1197">
        <v>0.20362812023584251</v>
      </c>
      <c r="O1197">
        <v>2.5073228050653592E-2</v>
      </c>
      <c r="P1197">
        <v>2.1488841865888356E-2</v>
      </c>
      <c r="Q1197">
        <v>2.9933309292182867E-3</v>
      </c>
      <c r="R1197">
        <v>1.8972305127083506E-3</v>
      </c>
      <c r="S1197">
        <v>0.21179827294163783</v>
      </c>
      <c r="T1197">
        <v>1.0566876796496252</v>
      </c>
      <c r="U1197">
        <v>3.6602262347202999E-2</v>
      </c>
      <c r="V1197">
        <v>0.24919628355221646</v>
      </c>
      <c r="W1197">
        <v>0.1202035851716626</v>
      </c>
      <c r="X1197">
        <v>2.1791324841815046E-2</v>
      </c>
      <c r="Y1197">
        <v>5.1636360337217009E-3</v>
      </c>
    </row>
    <row r="1198" spans="1:25" x14ac:dyDescent="0.25">
      <c r="A1198" s="881"/>
      <c r="B1198" s="1131">
        <v>948</v>
      </c>
      <c r="C1198" s="885">
        <v>1.0132163323090453</v>
      </c>
      <c r="D1198" s="885">
        <v>1.0163892177476852</v>
      </c>
      <c r="E1198" s="885">
        <v>1.0313788898785146</v>
      </c>
      <c r="F1198" s="885">
        <v>0.9908659325108885</v>
      </c>
      <c r="G1198" s="885">
        <v>1.043744784929127</v>
      </c>
      <c r="H1198" s="885">
        <v>1.0143096358487889</v>
      </c>
      <c r="I1198" s="885">
        <v>1.0142286990466582</v>
      </c>
      <c r="K1198">
        <v>1.9381060018295511</v>
      </c>
      <c r="L1198">
        <v>0</v>
      </c>
      <c r="M1198">
        <v>1.8153779639047004E-3</v>
      </c>
      <c r="N1198">
        <v>0.20165384590815841</v>
      </c>
      <c r="O1198">
        <v>2.4622128955947762E-2</v>
      </c>
      <c r="P1198">
        <v>2.1525510444848114E-2</v>
      </c>
      <c r="Q1198">
        <v>2.9878102589893135E-3</v>
      </c>
      <c r="R1198">
        <v>1.8046823120526191E-3</v>
      </c>
      <c r="S1198">
        <v>0.2059495561507429</v>
      </c>
      <c r="T1198">
        <v>1.055509160896833</v>
      </c>
      <c r="U1198">
        <v>3.6833506735789216E-2</v>
      </c>
      <c r="V1198">
        <v>0.24398457089616526</v>
      </c>
      <c r="W1198">
        <v>0.11800461879618976</v>
      </c>
      <c r="X1198">
        <v>2.2134238097696591E-2</v>
      </c>
      <c r="Y1198">
        <v>4.9117503400429472E-3</v>
      </c>
    </row>
    <row r="1199" spans="1:25" x14ac:dyDescent="0.25">
      <c r="A1199" s="881"/>
      <c r="B1199" s="1131">
        <v>949</v>
      </c>
      <c r="C1199" s="885">
        <v>1.0040143018322933</v>
      </c>
      <c r="D1199" s="885">
        <v>0.98738022062903497</v>
      </c>
      <c r="E1199" s="885">
        <v>1.0229828086444601</v>
      </c>
      <c r="F1199" s="885">
        <v>1.0428741690455832</v>
      </c>
      <c r="G1199" s="885">
        <v>1.0048663336427144</v>
      </c>
      <c r="H1199" s="885">
        <v>1.0260414133377564</v>
      </c>
      <c r="I1199" s="885">
        <v>0.99532057283666631</v>
      </c>
      <c r="K1199">
        <v>1.9562074863906427</v>
      </c>
      <c r="L1199">
        <v>0</v>
      </c>
      <c r="M1199">
        <v>1.9136058826349687E-3</v>
      </c>
      <c r="N1199">
        <v>0.20711187424359676</v>
      </c>
      <c r="O1199">
        <v>2.5206421515458634E-2</v>
      </c>
      <c r="P1199">
        <v>2.1503445685546341E-2</v>
      </c>
      <c r="Q1199">
        <v>3.0272751317578827E-3</v>
      </c>
      <c r="R1199">
        <v>1.9024827373293701E-3</v>
      </c>
      <c r="S1199">
        <v>0.20787701239361639</v>
      </c>
      <c r="T1199">
        <v>1.0562714906487327</v>
      </c>
      <c r="U1199">
        <v>3.7171094607724713E-2</v>
      </c>
      <c r="V1199">
        <v>0.24882371672815007</v>
      </c>
      <c r="W1199">
        <v>0.12188373873749012</v>
      </c>
      <c r="X1199">
        <v>2.2164608986130853E-2</v>
      </c>
      <c r="Y1199">
        <v>5.1779308577447353E-3</v>
      </c>
    </row>
    <row r="1200" spans="1:25" x14ac:dyDescent="0.25">
      <c r="A1200" s="881"/>
      <c r="B1200" s="1131">
        <v>950</v>
      </c>
      <c r="C1200" s="885">
        <v>1.025860713783963</v>
      </c>
      <c r="D1200" s="885">
        <v>1.0019858532787917</v>
      </c>
      <c r="E1200" s="885">
        <v>1.008541221567018</v>
      </c>
      <c r="F1200" s="885">
        <v>1.0270346070910437</v>
      </c>
      <c r="G1200" s="885">
        <v>0.99975611616315085</v>
      </c>
      <c r="H1200" s="885">
        <v>0.96856407902944441</v>
      </c>
      <c r="I1200" s="885">
        <v>1.0053789442057062</v>
      </c>
      <c r="K1200">
        <v>1.908623104695665</v>
      </c>
      <c r="L1200">
        <v>0</v>
      </c>
      <c r="M1200">
        <v>1.8094692199445903E-3</v>
      </c>
      <c r="N1200">
        <v>0.18718042068314356</v>
      </c>
      <c r="O1200">
        <v>2.4490841590430225E-2</v>
      </c>
      <c r="P1200">
        <v>2.1087364608227365E-2</v>
      </c>
      <c r="Q1200">
        <v>2.9022862518918256E-3</v>
      </c>
      <c r="R1200">
        <v>1.7983158581291628E-3</v>
      </c>
      <c r="S1200">
        <v>0.19842807869493009</v>
      </c>
      <c r="T1200">
        <v>1.0575891753559978</v>
      </c>
      <c r="U1200">
        <v>3.6379510492470464E-2</v>
      </c>
      <c r="V1200">
        <v>0.24400309319497729</v>
      </c>
      <c r="W1200">
        <v>0.11123612067139202</v>
      </c>
      <c r="X1200">
        <v>2.0442943562853113E-2</v>
      </c>
      <c r="Y1200">
        <v>4.8944229511642713E-3</v>
      </c>
    </row>
    <row r="1201" spans="1:25" x14ac:dyDescent="0.25">
      <c r="A1201" s="881"/>
      <c r="B1201" s="1131">
        <v>951</v>
      </c>
      <c r="C1201" s="885">
        <v>0.99553081516375697</v>
      </c>
      <c r="D1201" s="885">
        <v>0.99265105211706428</v>
      </c>
      <c r="E1201" s="885">
        <v>1.0026281888234541</v>
      </c>
      <c r="F1201" s="885">
        <v>0.974668514370992</v>
      </c>
      <c r="G1201" s="885">
        <v>1.0129803370693149</v>
      </c>
      <c r="H1201" s="885">
        <v>0.96012352896799447</v>
      </c>
      <c r="I1201" s="885">
        <v>0.99613528874384794</v>
      </c>
      <c r="K1201">
        <v>1.9276133119463532</v>
      </c>
      <c r="L1201">
        <v>0</v>
      </c>
      <c r="M1201">
        <v>1.8802150233584503E-3</v>
      </c>
      <c r="N1201">
        <v>0.19094522381829485</v>
      </c>
      <c r="O1201">
        <v>2.5354221717223398E-2</v>
      </c>
      <c r="P1201">
        <v>2.1148031284798263E-2</v>
      </c>
      <c r="Q1201">
        <v>2.9848998964867911E-3</v>
      </c>
      <c r="R1201">
        <v>1.8685312980125314E-3</v>
      </c>
      <c r="S1201">
        <v>0.20260728811486886</v>
      </c>
      <c r="T1201">
        <v>1.0581310437460891</v>
      </c>
      <c r="U1201">
        <v>3.748785073496496E-2</v>
      </c>
      <c r="V1201">
        <v>0.24936660618362064</v>
      </c>
      <c r="W1201">
        <v>0.11393168295131369</v>
      </c>
      <c r="X1201">
        <v>2.0582620992023404E-2</v>
      </c>
      <c r="Y1201">
        <v>5.0855262320132644E-3</v>
      </c>
    </row>
    <row r="1202" spans="1:25" x14ac:dyDescent="0.25">
      <c r="A1202" s="881"/>
      <c r="B1202" s="1131">
        <v>952</v>
      </c>
      <c r="C1202" s="885">
        <v>0.99762311302665529</v>
      </c>
      <c r="D1202" s="885">
        <v>1.0011196469245316</v>
      </c>
      <c r="E1202" s="885">
        <v>1.008811357580329</v>
      </c>
      <c r="F1202" s="885">
        <v>0.97814029615009135</v>
      </c>
      <c r="G1202" s="885">
        <v>0.96357218458677718</v>
      </c>
      <c r="H1202" s="885">
        <v>0.96378124600005688</v>
      </c>
      <c r="I1202" s="885">
        <v>0.99612139072449912</v>
      </c>
      <c r="K1202">
        <v>1.9254866965006692</v>
      </c>
      <c r="L1202">
        <v>0</v>
      </c>
      <c r="M1202">
        <v>1.8512349446394951E-3</v>
      </c>
      <c r="N1202">
        <v>0.19165595169307401</v>
      </c>
      <c r="O1202">
        <v>2.5194833177433512E-2</v>
      </c>
      <c r="P1202">
        <v>2.1206141156446749E-2</v>
      </c>
      <c r="Q1202">
        <v>2.9863397735376209E-3</v>
      </c>
      <c r="R1202">
        <v>1.839768203509475E-3</v>
      </c>
      <c r="S1202">
        <v>0.20176285638498404</v>
      </c>
      <c r="T1202">
        <v>1.0575644527547801</v>
      </c>
      <c r="U1202">
        <v>3.7409228107889374E-2</v>
      </c>
      <c r="V1202">
        <v>0.24800239373018942</v>
      </c>
      <c r="W1202">
        <v>0.11387488097448717</v>
      </c>
      <c r="X1202">
        <v>2.0833842918450814E-2</v>
      </c>
      <c r="Y1202">
        <v>5.0072425705274997E-3</v>
      </c>
    </row>
    <row r="1203" spans="1:25" x14ac:dyDescent="0.25">
      <c r="A1203" s="881"/>
      <c r="B1203" s="1131">
        <v>953</v>
      </c>
      <c r="C1203" s="885">
        <v>0.99155785267462482</v>
      </c>
      <c r="D1203" s="885">
        <v>1.0012798675697425</v>
      </c>
      <c r="E1203" s="885">
        <v>1.0083123321276679</v>
      </c>
      <c r="F1203" s="885">
        <v>1.0151592417731963</v>
      </c>
      <c r="G1203" s="885">
        <v>1.0314809825851825</v>
      </c>
      <c r="H1203" s="885">
        <v>1.0101737677780178</v>
      </c>
      <c r="I1203" s="885">
        <v>1.031913939976594</v>
      </c>
      <c r="K1203">
        <v>1.9577736128247329</v>
      </c>
      <c r="L1203">
        <v>0</v>
      </c>
      <c r="M1203">
        <v>1.9541155434088103E-3</v>
      </c>
      <c r="N1203">
        <v>0.20205120764170673</v>
      </c>
      <c r="O1203">
        <v>2.534693990483565E-2</v>
      </c>
      <c r="P1203">
        <v>2.139767433425906E-2</v>
      </c>
      <c r="Q1203">
        <v>3.0029029116620358E-3</v>
      </c>
      <c r="R1203">
        <v>1.9425673006218014E-3</v>
      </c>
      <c r="S1203">
        <v>0.21515856264244523</v>
      </c>
      <c r="T1203">
        <v>1.0576101253368166</v>
      </c>
      <c r="U1203">
        <v>3.7638056619943246E-2</v>
      </c>
      <c r="V1203">
        <v>0.24885037633896029</v>
      </c>
      <c r="W1203">
        <v>0.12009211259415316</v>
      </c>
      <c r="X1203">
        <v>2.1350174917584227E-2</v>
      </c>
      <c r="Y1203">
        <v>5.287027825153996E-3</v>
      </c>
    </row>
    <row r="1204" spans="1:25" x14ac:dyDescent="0.25">
      <c r="A1204" s="881"/>
      <c r="B1204" s="1131">
        <v>954</v>
      </c>
      <c r="C1204" s="885">
        <v>0.96453275206992639</v>
      </c>
      <c r="D1204" s="885">
        <v>0.9763195043042554</v>
      </c>
      <c r="E1204" s="885">
        <v>1.0036762570192268</v>
      </c>
      <c r="F1204" s="885">
        <v>0.99759387473418493</v>
      </c>
      <c r="G1204" s="885">
        <v>0.95931201283228384</v>
      </c>
      <c r="H1204" s="885">
        <v>0.98768908532873045</v>
      </c>
      <c r="I1204" s="885">
        <v>0.9969556855833025</v>
      </c>
      <c r="K1204">
        <v>1.9711874809844834</v>
      </c>
      <c r="L1204">
        <v>0</v>
      </c>
      <c r="M1204">
        <v>2.0084005406179111E-3</v>
      </c>
      <c r="N1204">
        <v>0.20466623573616274</v>
      </c>
      <c r="O1204">
        <v>2.6385297340626897E-2</v>
      </c>
      <c r="P1204">
        <v>2.1425329646411112E-2</v>
      </c>
      <c r="Q1204">
        <v>3.1059360162583676E-3</v>
      </c>
      <c r="R1204">
        <v>1.9962826139904503E-3</v>
      </c>
      <c r="S1204">
        <v>0.21380991202660879</v>
      </c>
      <c r="T1204">
        <v>1.0580348997114739</v>
      </c>
      <c r="U1204">
        <v>3.8692631764785566E-2</v>
      </c>
      <c r="V1204">
        <v>0.2561120815909777</v>
      </c>
      <c r="W1204">
        <v>0.12203127624623449</v>
      </c>
      <c r="X1204">
        <v>2.1502775630675305E-2</v>
      </c>
      <c r="Y1204">
        <v>5.433223200895166E-3</v>
      </c>
    </row>
    <row r="1205" spans="1:25" x14ac:dyDescent="0.25">
      <c r="A1205" s="881"/>
      <c r="B1205" s="1131">
        <v>955</v>
      </c>
      <c r="C1205" s="885">
        <v>0.9934390426027776</v>
      </c>
      <c r="D1205" s="885">
        <v>1.024864487202414</v>
      </c>
      <c r="E1205" s="885">
        <v>1.0236200561625857</v>
      </c>
      <c r="F1205" s="885">
        <v>0.99285427096673406</v>
      </c>
      <c r="G1205" s="885">
        <v>0.99743487198675418</v>
      </c>
      <c r="H1205" s="885">
        <v>1.0123683445104221</v>
      </c>
      <c r="I1205" s="885">
        <v>1.0240986015405953</v>
      </c>
      <c r="K1205">
        <v>1.9493325285026775</v>
      </c>
      <c r="L1205">
        <v>0</v>
      </c>
      <c r="M1205">
        <v>1.8708684055430409E-3</v>
      </c>
      <c r="N1205">
        <v>0.20286836847853626</v>
      </c>
      <c r="O1205">
        <v>2.5009582697027456E-2</v>
      </c>
      <c r="P1205">
        <v>2.1519387206114963E-2</v>
      </c>
      <c r="Q1205">
        <v>3.0133314881932252E-3</v>
      </c>
      <c r="R1205">
        <v>1.8598183846005585E-3</v>
      </c>
      <c r="S1205">
        <v>0.21108856354064964</v>
      </c>
      <c r="T1205">
        <v>1.0562135344504457</v>
      </c>
      <c r="U1205">
        <v>3.7566784674718336E-2</v>
      </c>
      <c r="V1205">
        <v>0.24570087833940407</v>
      </c>
      <c r="W1205">
        <v>0.11933526057223943</v>
      </c>
      <c r="X1205">
        <v>2.1966074522373154E-2</v>
      </c>
      <c r="Y1205">
        <v>5.0618125539170084E-3</v>
      </c>
    </row>
    <row r="1206" spans="1:25" x14ac:dyDescent="0.25">
      <c r="A1206" s="881"/>
      <c r="B1206" s="1131">
        <v>956</v>
      </c>
      <c r="C1206" s="885">
        <v>0.98550040207823975</v>
      </c>
      <c r="D1206" s="885">
        <v>1.0236821962531548</v>
      </c>
      <c r="E1206" s="885">
        <v>0.9917272146903362</v>
      </c>
      <c r="F1206" s="885">
        <v>1.0258147078018802</v>
      </c>
      <c r="G1206" s="885">
        <v>0.98207049774398869</v>
      </c>
      <c r="H1206" s="885">
        <v>1.0028516854688168</v>
      </c>
      <c r="I1206" s="885">
        <v>0.96343464401394774</v>
      </c>
      <c r="K1206">
        <v>1.9324132200553641</v>
      </c>
      <c r="L1206">
        <v>0</v>
      </c>
      <c r="M1206">
        <v>1.9992916730278811E-3</v>
      </c>
      <c r="N1206">
        <v>0.19631604204373249</v>
      </c>
      <c r="O1206">
        <v>2.5225406880082603E-2</v>
      </c>
      <c r="P1206">
        <v>2.0918385152979009E-2</v>
      </c>
      <c r="Q1206">
        <v>2.9436089867249538E-3</v>
      </c>
      <c r="R1206">
        <v>1.9873720232899982E-3</v>
      </c>
      <c r="S1206">
        <v>0.19935919547208952</v>
      </c>
      <c r="T1206">
        <v>1.059133576091243</v>
      </c>
      <c r="U1206">
        <v>3.7869401699091386E-2</v>
      </c>
      <c r="V1206">
        <v>0.24696500561315601</v>
      </c>
      <c r="W1206">
        <v>0.11801501395362483</v>
      </c>
      <c r="X1206">
        <v>2.0270532301991759E-2</v>
      </c>
      <c r="Y1206">
        <v>5.4089715103839697E-3</v>
      </c>
    </row>
    <row r="1207" spans="1:25" x14ac:dyDescent="0.25">
      <c r="A1207" s="881"/>
      <c r="B1207" s="1131">
        <v>957</v>
      </c>
      <c r="C1207" s="885">
        <v>1.006338875633686</v>
      </c>
      <c r="D1207" s="885">
        <v>0.98325341741031125</v>
      </c>
      <c r="E1207" s="885">
        <v>1.0095817795371613</v>
      </c>
      <c r="F1207" s="885">
        <v>0.98092119271125733</v>
      </c>
      <c r="G1207" s="885">
        <v>1.0075886495362927</v>
      </c>
      <c r="H1207" s="885">
        <v>1.0414799880620538</v>
      </c>
      <c r="I1207" s="885">
        <v>1.012054167167483</v>
      </c>
      <c r="K1207">
        <v>1.9636053611300639</v>
      </c>
      <c r="L1207">
        <v>0</v>
      </c>
      <c r="M1207">
        <v>1.9976651090005751E-3</v>
      </c>
      <c r="N1207">
        <v>0.20740953613403326</v>
      </c>
      <c r="O1207">
        <v>2.5200494214723052E-2</v>
      </c>
      <c r="P1207">
        <v>2.1379586442540493E-2</v>
      </c>
      <c r="Q1207">
        <v>2.9855499479560614E-3</v>
      </c>
      <c r="R1207">
        <v>1.9862288260240149E-3</v>
      </c>
      <c r="S1207">
        <v>0.21287523048651286</v>
      </c>
      <c r="T1207">
        <v>1.057493960082126</v>
      </c>
      <c r="U1207">
        <v>3.7085231927879686E-2</v>
      </c>
      <c r="V1207">
        <v>0.24902298988185553</v>
      </c>
      <c r="W1207">
        <v>0.12317054674607533</v>
      </c>
      <c r="X1207">
        <v>2.1587811445056337E-2</v>
      </c>
      <c r="Y1207">
        <v>5.4058601042808394E-3</v>
      </c>
    </row>
    <row r="1208" spans="1:25" x14ac:dyDescent="0.25">
      <c r="A1208" s="881"/>
      <c r="B1208" s="1131">
        <v>958</v>
      </c>
      <c r="C1208" s="885">
        <v>0.97726678750822937</v>
      </c>
      <c r="D1208" s="885">
        <v>0.99656628693628835</v>
      </c>
      <c r="E1208" s="885">
        <v>1.0034567018347282</v>
      </c>
      <c r="F1208" s="885">
        <v>0.96036846905433704</v>
      </c>
      <c r="G1208" s="885">
        <v>1.0121308490261984</v>
      </c>
      <c r="H1208" s="885">
        <v>0.98342054435155146</v>
      </c>
      <c r="I1208" s="885">
        <v>0.98347846763542413</v>
      </c>
      <c r="K1208">
        <v>1.9476937073754435</v>
      </c>
      <c r="L1208">
        <v>0</v>
      </c>
      <c r="M1208">
        <v>1.9545959323944134E-3</v>
      </c>
      <c r="N1208">
        <v>0.1990403183210179</v>
      </c>
      <c r="O1208">
        <v>2.5777748886184663E-2</v>
      </c>
      <c r="P1208">
        <v>2.1242643888385277E-2</v>
      </c>
      <c r="Q1208">
        <v>3.0381206007000635E-3</v>
      </c>
      <c r="R1208">
        <v>1.9427344929943068E-3</v>
      </c>
      <c r="S1208">
        <v>0.20578041270905212</v>
      </c>
      <c r="T1208">
        <v>1.0580550369560138</v>
      </c>
      <c r="U1208">
        <v>3.8188456906505339E-2</v>
      </c>
      <c r="V1208">
        <v>0.25153010124317532</v>
      </c>
      <c r="W1208">
        <v>0.1186946352369356</v>
      </c>
      <c r="X1208">
        <v>2.1070611199194195E-2</v>
      </c>
      <c r="Y1208">
        <v>5.2874828676770045E-3</v>
      </c>
    </row>
    <row r="1209" spans="1:25" x14ac:dyDescent="0.25">
      <c r="A1209" s="881"/>
      <c r="B1209" s="1131">
        <v>959</v>
      </c>
      <c r="C1209" s="885">
        <v>1.0262449765855395</v>
      </c>
      <c r="D1209" s="885">
        <v>0.98960207821699031</v>
      </c>
      <c r="E1209" s="885">
        <v>1.017820700931575</v>
      </c>
      <c r="F1209" s="885">
        <v>0.99140876651174992</v>
      </c>
      <c r="G1209" s="885">
        <v>1.0081351866608705</v>
      </c>
      <c r="H1209" s="885">
        <v>1.0233441880073106</v>
      </c>
      <c r="I1209" s="885">
        <v>1.0303396523125694</v>
      </c>
      <c r="K1209">
        <v>1.9436318630157787</v>
      </c>
      <c r="L1209">
        <v>0</v>
      </c>
      <c r="M1209">
        <v>1.8856043299203967E-3</v>
      </c>
      <c r="N1209">
        <v>0.20083147581525121</v>
      </c>
      <c r="O1209">
        <v>2.4632930196454218E-2</v>
      </c>
      <c r="P1209">
        <v>2.1401045199001666E-2</v>
      </c>
      <c r="Q1209">
        <v>2.9437228345844425E-3</v>
      </c>
      <c r="R1209">
        <v>1.8746133394475189E-3</v>
      </c>
      <c r="S1209">
        <v>0.21003622419080331</v>
      </c>
      <c r="T1209">
        <v>1.0567415578132628</v>
      </c>
      <c r="U1209">
        <v>3.6365888703384253E-2</v>
      </c>
      <c r="V1209">
        <v>0.24546639225191749</v>
      </c>
      <c r="W1209">
        <v>0.11860005649420285</v>
      </c>
      <c r="X1209">
        <v>2.1521480963532971E-2</v>
      </c>
      <c r="Y1209">
        <v>5.1020795438548802E-3</v>
      </c>
    </row>
    <row r="1210" spans="1:25" x14ac:dyDescent="0.25">
      <c r="A1210" s="881"/>
      <c r="B1210" s="1131">
        <v>960</v>
      </c>
      <c r="C1210" s="885">
        <v>1.0016197855480153</v>
      </c>
      <c r="D1210" s="885">
        <v>0.99775928172094253</v>
      </c>
      <c r="E1210" s="885">
        <v>1.0091641995136085</v>
      </c>
      <c r="F1210" s="885">
        <v>0.97396556682892399</v>
      </c>
      <c r="G1210" s="885">
        <v>1.0076590602217246</v>
      </c>
      <c r="H1210" s="885">
        <v>0.97769626493794171</v>
      </c>
      <c r="I1210" s="885">
        <v>1.0155571165582471</v>
      </c>
      <c r="K1210">
        <v>1.9340021851422111</v>
      </c>
      <c r="L1210">
        <v>0</v>
      </c>
      <c r="M1210">
        <v>1.8721891236592159E-3</v>
      </c>
      <c r="N1210">
        <v>0.19405554399822575</v>
      </c>
      <c r="O1210">
        <v>2.5136102684133649E-2</v>
      </c>
      <c r="P1210">
        <v>2.1273970220464369E-2</v>
      </c>
      <c r="Q1210">
        <v>2.9797314397465064E-3</v>
      </c>
      <c r="R1210">
        <v>1.8607603010517533E-3</v>
      </c>
      <c r="S1210">
        <v>0.20662418277440095</v>
      </c>
      <c r="T1210">
        <v>1.0575321652719207</v>
      </c>
      <c r="U1210">
        <v>3.7259957460303077E-2</v>
      </c>
      <c r="V1210">
        <v>0.24785567610164894</v>
      </c>
      <c r="W1210">
        <v>0.11527297035666854</v>
      </c>
      <c r="X1210">
        <v>2.0958937517308276E-2</v>
      </c>
      <c r="Y1210">
        <v>5.0643761399944863E-3</v>
      </c>
    </row>
    <row r="1211" spans="1:25" x14ac:dyDescent="0.25">
      <c r="A1211" s="881"/>
      <c r="B1211" s="1131">
        <v>961</v>
      </c>
      <c r="C1211" s="885">
        <v>1.0014024945602813</v>
      </c>
      <c r="D1211" s="885">
        <v>0.9819490695616454</v>
      </c>
      <c r="E1211" s="885">
        <v>1.0007301370431754</v>
      </c>
      <c r="F1211" s="885">
        <v>0.99343861641334041</v>
      </c>
      <c r="G1211" s="885">
        <v>1.00244378641996</v>
      </c>
      <c r="H1211" s="885">
        <v>0.99207224014148454</v>
      </c>
      <c r="I1211" s="885">
        <v>0.96985788646418525</v>
      </c>
      <c r="K1211">
        <v>1.9355839701112543</v>
      </c>
      <c r="L1211">
        <v>0</v>
      </c>
      <c r="M1211">
        <v>1.9495687115136536E-3</v>
      </c>
      <c r="N1211">
        <v>0.19686342842384816</v>
      </c>
      <c r="O1211">
        <v>2.5341405401969951E-2</v>
      </c>
      <c r="P1211">
        <v>2.1092372890461619E-2</v>
      </c>
      <c r="Q1211">
        <v>2.9754478939697545E-3</v>
      </c>
      <c r="R1211">
        <v>1.9378530145613779E-3</v>
      </c>
      <c r="S1211">
        <v>0.20024434786891093</v>
      </c>
      <c r="T1211">
        <v>1.0583052695841337</v>
      </c>
      <c r="U1211">
        <v>3.7268042374214688E-2</v>
      </c>
      <c r="V1211">
        <v>0.24988814673513368</v>
      </c>
      <c r="W1211">
        <v>0.11761538253345966</v>
      </c>
      <c r="X1211">
        <v>2.0727645009542005E-2</v>
      </c>
      <c r="Y1211">
        <v>5.2741970925615058E-3</v>
      </c>
    </row>
    <row r="1212" spans="1:25" x14ac:dyDescent="0.25">
      <c r="A1212" s="881"/>
      <c r="B1212" s="1131">
        <v>962</v>
      </c>
      <c r="C1212" s="885">
        <v>1.0130348020031508</v>
      </c>
      <c r="D1212" s="885">
        <v>1.0125737899373333</v>
      </c>
      <c r="E1212" s="885">
        <v>0.95615183968835982</v>
      </c>
      <c r="F1212" s="885">
        <v>0.98827285098249973</v>
      </c>
      <c r="G1212" s="885">
        <v>0.98175182322414423</v>
      </c>
      <c r="H1212" s="885">
        <v>0.97038641447888108</v>
      </c>
      <c r="I1212" s="885">
        <v>0.98286164769649786</v>
      </c>
      <c r="K1212">
        <v>1.9001786947884276</v>
      </c>
      <c r="L1212">
        <v>0</v>
      </c>
      <c r="M1212">
        <v>2.0387199854306347E-3</v>
      </c>
      <c r="N1212">
        <v>0.17913969322750958</v>
      </c>
      <c r="O1212">
        <v>2.4672338669685993E-2</v>
      </c>
      <c r="P1212">
        <v>2.0305711924045688E-2</v>
      </c>
      <c r="Q1212">
        <v>2.7743901102351993E-3</v>
      </c>
      <c r="R1212">
        <v>2.0261680368105976E-3</v>
      </c>
      <c r="S1212">
        <v>0.19567425195110355</v>
      </c>
      <c r="T1212">
        <v>1.062437429779489</v>
      </c>
      <c r="U1212">
        <v>3.6840107099105138E-2</v>
      </c>
      <c r="V1212">
        <v>0.24446535185961665</v>
      </c>
      <c r="W1212">
        <v>0.11039265452456311</v>
      </c>
      <c r="X1212">
        <v>1.7974756121609672E-2</v>
      </c>
      <c r="Y1212">
        <v>5.5145614700846208E-3</v>
      </c>
    </row>
    <row r="1213" spans="1:25" x14ac:dyDescent="0.25">
      <c r="A1213" s="881"/>
      <c r="B1213" s="1131">
        <v>963</v>
      </c>
      <c r="C1213" s="885">
        <v>1.0022450582691766</v>
      </c>
      <c r="D1213" s="885">
        <v>0.99454619130179189</v>
      </c>
      <c r="E1213" s="885">
        <v>1.0240154795524736</v>
      </c>
      <c r="F1213" s="885">
        <v>1.0071299658989141</v>
      </c>
      <c r="G1213" s="885">
        <v>1.0200281534332964</v>
      </c>
      <c r="H1213" s="885">
        <v>0.96102423204594101</v>
      </c>
      <c r="I1213" s="885">
        <v>0.99948901253913447</v>
      </c>
      <c r="K1213">
        <v>1.927130791808277</v>
      </c>
      <c r="L1213">
        <v>0</v>
      </c>
      <c r="M1213">
        <v>1.7851917919339414E-3</v>
      </c>
      <c r="N1213">
        <v>0.19375684580405705</v>
      </c>
      <c r="O1213">
        <v>2.5160581627784458E-2</v>
      </c>
      <c r="P1213">
        <v>2.1426367841360393E-2</v>
      </c>
      <c r="Q1213">
        <v>3.02639895603854E-3</v>
      </c>
      <c r="R1213">
        <v>1.7741074723478488E-3</v>
      </c>
      <c r="S1213">
        <v>0.20184205665703411</v>
      </c>
      <c r="T1213">
        <v>1.05617757958767</v>
      </c>
      <c r="U1213">
        <v>3.723671201269585E-2</v>
      </c>
      <c r="V1213">
        <v>0.24816973101990888</v>
      </c>
      <c r="W1213">
        <v>0.1139451729636184</v>
      </c>
      <c r="X1213">
        <v>2.157189395233455E-2</v>
      </c>
      <c r="Y1213">
        <v>4.8285357053597629E-3</v>
      </c>
    </row>
    <row r="1214" spans="1:25" x14ac:dyDescent="0.25">
      <c r="A1214" s="881"/>
      <c r="B1214" s="1131">
        <v>964</v>
      </c>
      <c r="C1214" s="885">
        <v>1.020907769325033</v>
      </c>
      <c r="D1214" s="885">
        <v>1.0017967589065992</v>
      </c>
      <c r="E1214" s="885">
        <v>1.0180181270428987</v>
      </c>
      <c r="F1214" s="885">
        <v>0.98975530309172244</v>
      </c>
      <c r="G1214" s="885">
        <v>1.0006176821067552</v>
      </c>
      <c r="H1214" s="885">
        <v>1.0002548641203417</v>
      </c>
      <c r="I1214" s="885">
        <v>1.0242771712254</v>
      </c>
      <c r="K1214">
        <v>1.931481338920858</v>
      </c>
      <c r="L1214">
        <v>0</v>
      </c>
      <c r="M1214">
        <v>1.8407328121347118E-3</v>
      </c>
      <c r="N1214">
        <v>0.19614505586874548</v>
      </c>
      <c r="O1214">
        <v>2.4611957785267306E-2</v>
      </c>
      <c r="P1214">
        <v>2.1345192892211966E-2</v>
      </c>
      <c r="Q1214">
        <v>2.944312060215384E-3</v>
      </c>
      <c r="R1214">
        <v>1.8297463628268867E-3</v>
      </c>
      <c r="S1214">
        <v>0.20637112522115908</v>
      </c>
      <c r="T1214">
        <v>1.0567235608177015</v>
      </c>
      <c r="U1214">
        <v>3.6556006058795117E-2</v>
      </c>
      <c r="V1214">
        <v>0.24469674791443249</v>
      </c>
      <c r="W1214">
        <v>0.11581706150972838</v>
      </c>
      <c r="X1214">
        <v>2.1301338818018677E-2</v>
      </c>
      <c r="Y1214">
        <v>4.9799664238883859E-3</v>
      </c>
    </row>
    <row r="1215" spans="1:25" x14ac:dyDescent="0.25">
      <c r="A1215" s="881"/>
      <c r="B1215" s="1131">
        <v>965</v>
      </c>
      <c r="C1215" s="885">
        <v>1.0393964240619831</v>
      </c>
      <c r="D1215" s="885">
        <v>1.0002245452860687</v>
      </c>
      <c r="E1215" s="885">
        <v>0.9913177629540374</v>
      </c>
      <c r="F1215" s="885">
        <v>1.021115981920772</v>
      </c>
      <c r="G1215" s="885">
        <v>0.97820407896559924</v>
      </c>
      <c r="H1215" s="885">
        <v>1.004379519617927</v>
      </c>
      <c r="I1215" s="885">
        <v>0.9870774376592617</v>
      </c>
      <c r="K1215">
        <v>1.9078687392626192</v>
      </c>
      <c r="L1215">
        <v>0</v>
      </c>
      <c r="M1215">
        <v>1.9220203434357137E-3</v>
      </c>
      <c r="N1215">
        <v>0.1884916664404995</v>
      </c>
      <c r="O1215">
        <v>2.4192962153013715E-2</v>
      </c>
      <c r="P1215">
        <v>2.0777036596341291E-2</v>
      </c>
      <c r="Q1215">
        <v>2.8174305070767618E-3</v>
      </c>
      <c r="R1215">
        <v>1.9105970808502169E-3</v>
      </c>
      <c r="S1215">
        <v>0.19587578260558786</v>
      </c>
      <c r="T1215">
        <v>1.0591713223435386</v>
      </c>
      <c r="U1215">
        <v>3.5905752354879514E-2</v>
      </c>
      <c r="V1215">
        <v>0.24242501496949076</v>
      </c>
      <c r="W1215">
        <v>0.11334334442852696</v>
      </c>
      <c r="X1215">
        <v>1.9679834700332136E-2</v>
      </c>
      <c r="Y1215">
        <v>5.2000154259158578E-3</v>
      </c>
    </row>
    <row r="1216" spans="1:25" x14ac:dyDescent="0.25">
      <c r="A1216" s="881"/>
      <c r="B1216" s="1131">
        <v>966</v>
      </c>
      <c r="C1216" s="885">
        <v>0.99378606339069031</v>
      </c>
      <c r="D1216" s="885">
        <v>1.0208456092935536</v>
      </c>
      <c r="E1216" s="885">
        <v>0.96489966479934164</v>
      </c>
      <c r="F1216" s="885">
        <v>1.0283477407590655</v>
      </c>
      <c r="G1216" s="885">
        <v>0.96442872258665302</v>
      </c>
      <c r="H1216" s="885">
        <v>0.99716085352135131</v>
      </c>
      <c r="I1216" s="885">
        <v>0.98096633821770163</v>
      </c>
      <c r="K1216">
        <v>1.9232735388754065</v>
      </c>
      <c r="L1216">
        <v>0</v>
      </c>
      <c r="M1216">
        <v>2.0884084724305152E-3</v>
      </c>
      <c r="N1216">
        <v>0.18861431249492361</v>
      </c>
      <c r="O1216">
        <v>2.5049368446280362E-2</v>
      </c>
      <c r="P1216">
        <v>2.0535059170805087E-2</v>
      </c>
      <c r="Q1216">
        <v>2.8438201741358749E-3</v>
      </c>
      <c r="R1216">
        <v>2.0758888402033627E-3</v>
      </c>
      <c r="S1216">
        <v>0.2009876148726305</v>
      </c>
      <c r="T1216">
        <v>1.0616204869692316</v>
      </c>
      <c r="U1216">
        <v>3.7553666705270619E-2</v>
      </c>
      <c r="V1216">
        <v>0.24613688277615983</v>
      </c>
      <c r="W1216">
        <v>0.1155182017858935</v>
      </c>
      <c r="X1216">
        <v>1.8776760005838548E-2</v>
      </c>
      <c r="Y1216">
        <v>5.6498851064612976E-3</v>
      </c>
    </row>
    <row r="1217" spans="1:25" x14ac:dyDescent="0.25">
      <c r="A1217" s="881"/>
      <c r="B1217" s="1131">
        <v>967</v>
      </c>
      <c r="C1217" s="885">
        <v>1.0197041275260688</v>
      </c>
      <c r="D1217" s="885">
        <v>0.98138467482547165</v>
      </c>
      <c r="E1217" s="885">
        <v>0.99052968607810277</v>
      </c>
      <c r="F1217" s="885">
        <v>0.9872489863229621</v>
      </c>
      <c r="G1217" s="885">
        <v>1.0209479413407774</v>
      </c>
      <c r="H1217" s="885">
        <v>1.0038923881912667</v>
      </c>
      <c r="I1217" s="885">
        <v>1.0138664086358407</v>
      </c>
      <c r="K1217">
        <v>1.9345053643788912</v>
      </c>
      <c r="L1217">
        <v>0</v>
      </c>
      <c r="M1217">
        <v>1.9799929846644089E-3</v>
      </c>
      <c r="N1217">
        <v>0.1937021686262371</v>
      </c>
      <c r="O1217">
        <v>2.4893679869705518E-2</v>
      </c>
      <c r="P1217">
        <v>2.0990884165558669E-2</v>
      </c>
      <c r="Q1217">
        <v>2.8928736321019327E-3</v>
      </c>
      <c r="R1217">
        <v>1.9682350260437024E-3</v>
      </c>
      <c r="S1217">
        <v>0.20682848524825007</v>
      </c>
      <c r="T1217">
        <v>1.0592439913750125</v>
      </c>
      <c r="U1217">
        <v>3.6599156160582236E-2</v>
      </c>
      <c r="V1217">
        <v>0.24739545604812166</v>
      </c>
      <c r="W1217">
        <v>0.11653973588610272</v>
      </c>
      <c r="X1217">
        <v>2.0073804413452332E-2</v>
      </c>
      <c r="Y1217">
        <v>5.3568869123889976E-3</v>
      </c>
    </row>
    <row r="1218" spans="1:25" x14ac:dyDescent="0.25">
      <c r="A1218" s="881"/>
      <c r="B1218" s="1131">
        <v>968</v>
      </c>
      <c r="C1218" s="885">
        <v>1.0147478391588491</v>
      </c>
      <c r="D1218" s="885">
        <v>0.95942087150384081</v>
      </c>
      <c r="E1218" s="885">
        <v>1.0125841873606127</v>
      </c>
      <c r="F1218" s="885">
        <v>1.0225893574164262</v>
      </c>
      <c r="G1218" s="885">
        <v>0.99013422973897003</v>
      </c>
      <c r="H1218" s="885">
        <v>0.99657825909350606</v>
      </c>
      <c r="I1218" s="885">
        <v>1.0178960156746446</v>
      </c>
      <c r="K1218">
        <v>1.9494814312009228</v>
      </c>
      <c r="L1218">
        <v>0</v>
      </c>
      <c r="M1218">
        <v>1.9068224683333353E-3</v>
      </c>
      <c r="N1218">
        <v>0.19978434529043895</v>
      </c>
      <c r="O1218">
        <v>2.5298297685104117E-2</v>
      </c>
      <c r="P1218">
        <v>2.1407123421059732E-2</v>
      </c>
      <c r="Q1218">
        <v>3.0009368347763666E-3</v>
      </c>
      <c r="R1218">
        <v>1.8954340328703656E-3</v>
      </c>
      <c r="S1218">
        <v>0.21009640229902096</v>
      </c>
      <c r="T1218">
        <v>1.0572194644788451</v>
      </c>
      <c r="U1218">
        <v>3.6777915813895883E-2</v>
      </c>
      <c r="V1218">
        <v>0.25093549052579778</v>
      </c>
      <c r="W1218">
        <v>0.11840069976643235</v>
      </c>
      <c r="X1218">
        <v>2.1413396913200145E-2</v>
      </c>
      <c r="Y1218">
        <v>5.1587466078121258E-3</v>
      </c>
    </row>
    <row r="1219" spans="1:25" x14ac:dyDescent="0.25">
      <c r="A1219" s="881"/>
      <c r="B1219" s="1131">
        <v>969</v>
      </c>
      <c r="C1219" s="885">
        <v>0.99216654736845189</v>
      </c>
      <c r="D1219" s="885">
        <v>1.0034004132505712</v>
      </c>
      <c r="E1219" s="885">
        <v>1.0033892382614662</v>
      </c>
      <c r="F1219" s="885">
        <v>1.042701444414853</v>
      </c>
      <c r="G1219" s="885">
        <v>0.98691741250524312</v>
      </c>
      <c r="H1219" s="885">
        <v>0.98290045200133214</v>
      </c>
      <c r="I1219" s="885">
        <v>1.0137734451522629</v>
      </c>
      <c r="K1219">
        <v>1.9396237023286744</v>
      </c>
      <c r="L1219">
        <v>0</v>
      </c>
      <c r="M1219">
        <v>1.918004384210775E-3</v>
      </c>
      <c r="N1219">
        <v>0.195271954489354</v>
      </c>
      <c r="O1219">
        <v>2.5304884888607163E-2</v>
      </c>
      <c r="P1219">
        <v>2.1225807971766868E-2</v>
      </c>
      <c r="Q1219">
        <v>2.9836089520343845E-3</v>
      </c>
      <c r="R1219">
        <v>1.9063533248242692E-3</v>
      </c>
      <c r="S1219">
        <v>0.20822601137696331</v>
      </c>
      <c r="T1219">
        <v>1.0580612249826655</v>
      </c>
      <c r="U1219">
        <v>3.7614965652593743E-2</v>
      </c>
      <c r="V1219">
        <v>0.24849925088888919</v>
      </c>
      <c r="W1219">
        <v>0.11645279203978091</v>
      </c>
      <c r="X1219">
        <v>2.0806386824439766E-2</v>
      </c>
      <c r="Y1219">
        <v>5.1884653209670261E-3</v>
      </c>
    </row>
    <row r="1220" spans="1:25" x14ac:dyDescent="0.25">
      <c r="A1220" s="881"/>
      <c r="B1220" s="1131">
        <v>970</v>
      </c>
      <c r="C1220" s="885">
        <v>0.96717320750724978</v>
      </c>
      <c r="D1220" s="885">
        <v>1.0117743730750182</v>
      </c>
      <c r="E1220" s="885">
        <v>1.0027573860498862</v>
      </c>
      <c r="F1220" s="885">
        <v>0.99296757388567702</v>
      </c>
      <c r="G1220" s="885">
        <v>0.96966391860976631</v>
      </c>
      <c r="H1220" s="885">
        <v>1.0132850419651622</v>
      </c>
      <c r="I1220" s="885">
        <v>0.98619070263781383</v>
      </c>
      <c r="K1220">
        <v>1.9631447883506215</v>
      </c>
      <c r="L1220">
        <v>0</v>
      </c>
      <c r="M1220">
        <v>2.0227719147162511E-3</v>
      </c>
      <c r="N1220">
        <v>0.20557096454329066</v>
      </c>
      <c r="O1220">
        <v>2.5852344106959753E-2</v>
      </c>
      <c r="P1220">
        <v>2.1291425067694787E-2</v>
      </c>
      <c r="Q1220">
        <v>3.0479853939260593E-3</v>
      </c>
      <c r="R1220">
        <v>2.0108460488239238E-3</v>
      </c>
      <c r="S1220">
        <v>0.2101224779432336</v>
      </c>
      <c r="T1220">
        <v>1.0581191895866748</v>
      </c>
      <c r="U1220">
        <v>3.8586997976406558E-2</v>
      </c>
      <c r="V1220">
        <v>0.25110048372770094</v>
      </c>
      <c r="W1220">
        <v>0.12264763160358502</v>
      </c>
      <c r="X1220">
        <v>2.1344354197364357E-2</v>
      </c>
      <c r="Y1220">
        <v>5.4728600696768775E-3</v>
      </c>
    </row>
    <row r="1221" spans="1:25" x14ac:dyDescent="0.25">
      <c r="A1221" s="881"/>
      <c r="B1221" s="1131">
        <v>971</v>
      </c>
      <c r="C1221" s="885">
        <v>1.0088336860278244</v>
      </c>
      <c r="D1221" s="885">
        <v>0.99260255254173047</v>
      </c>
      <c r="E1221" s="885">
        <v>0.98776559256628838</v>
      </c>
      <c r="F1221" s="885">
        <v>1.0040578845100072</v>
      </c>
      <c r="G1221" s="885">
        <v>0.9917507573847818</v>
      </c>
      <c r="H1221" s="885">
        <v>0.96663822356748941</v>
      </c>
      <c r="I1221" s="885">
        <v>0.99389009594536915</v>
      </c>
      <c r="K1221">
        <v>1.9173647740966064</v>
      </c>
      <c r="L1221">
        <v>0</v>
      </c>
      <c r="M1221">
        <v>1.9274055176765955E-3</v>
      </c>
      <c r="N1221">
        <v>0.18689776853877385</v>
      </c>
      <c r="O1221">
        <v>2.5020496889499883E-2</v>
      </c>
      <c r="P1221">
        <v>2.0866839213388853E-2</v>
      </c>
      <c r="Q1221">
        <v>2.9018065051207853E-3</v>
      </c>
      <c r="R1221">
        <v>1.9155093085019476E-3</v>
      </c>
      <c r="S1221">
        <v>0.20014137631666093</v>
      </c>
      <c r="T1221">
        <v>1.0594990608915726</v>
      </c>
      <c r="U1221">
        <v>3.6993521447387052E-2</v>
      </c>
      <c r="V1221">
        <v>0.24749061448931983</v>
      </c>
      <c r="W1221">
        <v>0.11266040390461052</v>
      </c>
      <c r="X1221">
        <v>1.9691397219178428E-2</v>
      </c>
      <c r="Y1221">
        <v>5.2133848902684594E-3</v>
      </c>
    </row>
    <row r="1222" spans="1:25" x14ac:dyDescent="0.25">
      <c r="A1222" s="881"/>
      <c r="B1222" s="1131">
        <v>972</v>
      </c>
      <c r="C1222" s="885">
        <v>1.0156050242248753</v>
      </c>
      <c r="D1222" s="885">
        <v>0.9856312752235652</v>
      </c>
      <c r="E1222" s="885">
        <v>1.0407067236692582</v>
      </c>
      <c r="F1222" s="885">
        <v>0.97860950942948932</v>
      </c>
      <c r="G1222" s="885">
        <v>1.0214178526937481</v>
      </c>
      <c r="H1222" s="885">
        <v>0.99121495895988654</v>
      </c>
      <c r="I1222" s="885">
        <v>0.99585977582800111</v>
      </c>
      <c r="K1222">
        <v>1.9367055078418702</v>
      </c>
      <c r="L1222">
        <v>0</v>
      </c>
      <c r="M1222">
        <v>1.7618285265139462E-3</v>
      </c>
      <c r="N1222">
        <v>0.20142730870568634</v>
      </c>
      <c r="O1222">
        <v>2.4940668370895782E-2</v>
      </c>
      <c r="P1222">
        <v>2.1655122946479345E-2</v>
      </c>
      <c r="Q1222">
        <v>3.04787753561444E-3</v>
      </c>
      <c r="R1222">
        <v>1.7512291060355662E-3</v>
      </c>
      <c r="S1222">
        <v>0.20230307875100517</v>
      </c>
      <c r="T1222">
        <v>1.0546654690435497</v>
      </c>
      <c r="U1222">
        <v>3.6746874730558043E-2</v>
      </c>
      <c r="V1222">
        <v>0.24742203064519733</v>
      </c>
      <c r="W1222">
        <v>0.11714061740012488</v>
      </c>
      <c r="X1222">
        <v>2.2600790799129199E-2</v>
      </c>
      <c r="Y1222">
        <v>4.7662683341091567E-3</v>
      </c>
    </row>
    <row r="1223" spans="1:25" x14ac:dyDescent="0.25">
      <c r="A1223" s="881"/>
      <c r="B1223" s="1131">
        <v>973</v>
      </c>
      <c r="C1223" s="885">
        <v>1.002480534904044</v>
      </c>
      <c r="D1223" s="885">
        <v>0.98227577349184392</v>
      </c>
      <c r="E1223" s="885">
        <v>0.99132428083203972</v>
      </c>
      <c r="F1223" s="885">
        <v>0.98686041082254916</v>
      </c>
      <c r="G1223" s="885">
        <v>1.0054536489503951</v>
      </c>
      <c r="H1223" s="885">
        <v>0.9691641526023469</v>
      </c>
      <c r="I1223" s="885">
        <v>1.0312510162456707</v>
      </c>
      <c r="K1223">
        <v>1.9356501464837703</v>
      </c>
      <c r="L1223">
        <v>0</v>
      </c>
      <c r="M1223">
        <v>1.9402197365444823E-3</v>
      </c>
      <c r="N1223">
        <v>0.19024047977279637</v>
      </c>
      <c r="O1223">
        <v>2.5309975605954858E-2</v>
      </c>
      <c r="P1223">
        <v>2.1088549951928333E-2</v>
      </c>
      <c r="Q1223">
        <v>2.9438007539664066E-3</v>
      </c>
      <c r="R1223">
        <v>1.9282843483969089E-3</v>
      </c>
      <c r="S1223">
        <v>0.21025248988770512</v>
      </c>
      <c r="T1223">
        <v>1.059170721426866</v>
      </c>
      <c r="U1223">
        <v>3.722796533350059E-2</v>
      </c>
      <c r="V1223">
        <v>0.24969277102030121</v>
      </c>
      <c r="W1223">
        <v>0.11439442327034793</v>
      </c>
      <c r="X1223">
        <v>2.0092750510978637E-2</v>
      </c>
      <c r="Y1223">
        <v>5.2481543375717732E-3</v>
      </c>
    </row>
    <row r="1224" spans="1:25" x14ac:dyDescent="0.25">
      <c r="A1224" s="881"/>
      <c r="B1224" s="1131">
        <v>974</v>
      </c>
      <c r="C1224" s="885">
        <v>0.99615230535480814</v>
      </c>
      <c r="D1224" s="885">
        <v>0.97876809195386727</v>
      </c>
      <c r="E1224" s="885">
        <v>1.0351253665178304</v>
      </c>
      <c r="F1224" s="885">
        <v>1.0088393564139619</v>
      </c>
      <c r="G1224" s="885">
        <v>0.97769950255253235</v>
      </c>
      <c r="H1224" s="885">
        <v>1.0174345751823941</v>
      </c>
      <c r="I1224" s="885">
        <v>0.97762333890466613</v>
      </c>
      <c r="K1224">
        <v>1.9609600471434121</v>
      </c>
      <c r="L1224">
        <v>0</v>
      </c>
      <c r="M1224">
        <v>1.8721467083679458E-3</v>
      </c>
      <c r="N1224">
        <v>0.2103989217135547</v>
      </c>
      <c r="O1224">
        <v>2.5516027500235062E-2</v>
      </c>
      <c r="P1224">
        <v>2.1684542955586417E-2</v>
      </c>
      <c r="Q1224">
        <v>3.0995817351146268E-3</v>
      </c>
      <c r="R1224">
        <v>1.861179205258309E-3</v>
      </c>
      <c r="S1224">
        <v>0.20576059360257359</v>
      </c>
      <c r="T1224">
        <v>1.0551698867228188</v>
      </c>
      <c r="U1224">
        <v>3.7464462412325782E-2</v>
      </c>
      <c r="V1224">
        <v>0.25105939433876379</v>
      </c>
      <c r="W1224">
        <v>0.12281407165739773</v>
      </c>
      <c r="X1224">
        <v>2.2938015748997585E-2</v>
      </c>
      <c r="Y1224">
        <v>5.0655162591529976E-3</v>
      </c>
    </row>
    <row r="1225" spans="1:25" x14ac:dyDescent="0.25">
      <c r="A1225" s="881"/>
      <c r="B1225" s="1131">
        <v>975</v>
      </c>
      <c r="C1225" s="885">
        <v>0.97622572899157312</v>
      </c>
      <c r="D1225" s="885">
        <v>0.99554898176331519</v>
      </c>
      <c r="E1225" s="885">
        <v>1.0219721483069963</v>
      </c>
      <c r="F1225" s="885">
        <v>0.99837359577131235</v>
      </c>
      <c r="G1225" s="885">
        <v>1.0086800819539306</v>
      </c>
      <c r="H1225" s="885">
        <v>0.98745127069507621</v>
      </c>
      <c r="I1225" s="885">
        <v>1.0226269537313166</v>
      </c>
      <c r="K1225">
        <v>1.9629423504695718</v>
      </c>
      <c r="L1225">
        <v>0</v>
      </c>
      <c r="M1225">
        <v>1.8903779749149191E-3</v>
      </c>
      <c r="N1225">
        <v>0.20390934130377283</v>
      </c>
      <c r="O1225">
        <v>2.5818294868200971E-2</v>
      </c>
      <c r="P1225">
        <v>2.1639950214219533E-2</v>
      </c>
      <c r="Q1225">
        <v>3.0994374553656107E-3</v>
      </c>
      <c r="R1225">
        <v>1.878953878323475E-3</v>
      </c>
      <c r="S1225">
        <v>0.2147286086039083</v>
      </c>
      <c r="T1225">
        <v>1.0563634404555842</v>
      </c>
      <c r="U1225">
        <v>3.8229181522871934E-2</v>
      </c>
      <c r="V1225">
        <v>0.25180882608871824</v>
      </c>
      <c r="W1225">
        <v>0.12008079599185024</v>
      </c>
      <c r="X1225">
        <v>2.2162005001853981E-2</v>
      </c>
      <c r="Y1225">
        <v>5.1138930598169756E-3</v>
      </c>
    </row>
    <row r="1226" spans="1:25" x14ac:dyDescent="0.25">
      <c r="A1226" s="881"/>
      <c r="B1226" s="1131">
        <v>976</v>
      </c>
      <c r="C1226" s="885">
        <v>1.0139454654859303</v>
      </c>
      <c r="D1226" s="885">
        <v>1.0108737863149044</v>
      </c>
      <c r="E1226" s="885">
        <v>1.0164945850934057</v>
      </c>
      <c r="F1226" s="885">
        <v>0.98993175309986436</v>
      </c>
      <c r="G1226" s="885">
        <v>1.011298494902213</v>
      </c>
      <c r="H1226" s="885">
        <v>1.0342973341954305</v>
      </c>
      <c r="I1226" s="885">
        <v>0.97443332868018595</v>
      </c>
      <c r="K1226">
        <v>1.9369573980417047</v>
      </c>
      <c r="L1226">
        <v>0</v>
      </c>
      <c r="M1226">
        <v>1.9140742387019781E-3</v>
      </c>
      <c r="N1226">
        <v>0.2030363271913162</v>
      </c>
      <c r="O1226">
        <v>2.4670657479453451E-2</v>
      </c>
      <c r="P1226">
        <v>2.1238679119808434E-2</v>
      </c>
      <c r="Q1226">
        <v>2.9487091532048888E-3</v>
      </c>
      <c r="R1226">
        <v>1.9030191725853826E-3</v>
      </c>
      <c r="S1226">
        <v>0.20015378036316619</v>
      </c>
      <c r="T1226">
        <v>1.0568624835333227</v>
      </c>
      <c r="U1226">
        <v>3.6807019579727832E-2</v>
      </c>
      <c r="V1226">
        <v>0.244543352905013</v>
      </c>
      <c r="W1226">
        <v>0.12000967356312897</v>
      </c>
      <c r="X1226">
        <v>2.151837936200262E-2</v>
      </c>
      <c r="Y1226">
        <v>5.1793908576757679E-3</v>
      </c>
    </row>
    <row r="1227" spans="1:25" x14ac:dyDescent="0.25">
      <c r="A1227" s="881"/>
      <c r="B1227" s="1131">
        <v>977</v>
      </c>
      <c r="C1227" s="885">
        <v>0.96743503779006579</v>
      </c>
      <c r="D1227" s="885">
        <v>0.97958483566763566</v>
      </c>
      <c r="E1227" s="885">
        <v>0.99490616710156587</v>
      </c>
      <c r="F1227" s="885">
        <v>1.0118715691291638</v>
      </c>
      <c r="G1227" s="885">
        <v>1.0171361298649946</v>
      </c>
      <c r="H1227" s="885">
        <v>1.0483867117956127</v>
      </c>
      <c r="I1227" s="885">
        <v>1.0256484201637008</v>
      </c>
      <c r="K1227">
        <v>1.9993302067325305</v>
      </c>
      <c r="L1227">
        <v>0</v>
      </c>
      <c r="M1227">
        <v>2.1614617255683445E-3</v>
      </c>
      <c r="N1227">
        <v>0.21441008925043636</v>
      </c>
      <c r="O1227">
        <v>2.6262566164187272E-2</v>
      </c>
      <c r="P1227">
        <v>2.1442400495943276E-2</v>
      </c>
      <c r="Q1227">
        <v>3.0650651833242014E-3</v>
      </c>
      <c r="R1227">
        <v>2.1491724648938413E-3</v>
      </c>
      <c r="S1227">
        <v>0.22554577315324845</v>
      </c>
      <c r="T1227">
        <v>1.0588407388802044</v>
      </c>
      <c r="U1227">
        <v>3.8576554645124904E-2</v>
      </c>
      <c r="V1227">
        <v>0.25522905454954092</v>
      </c>
      <c r="W1227">
        <v>0.12861084833545186</v>
      </c>
      <c r="X1227">
        <v>2.1510066360812048E-2</v>
      </c>
      <c r="Y1227">
        <v>5.8493389749283897E-3</v>
      </c>
    </row>
    <row r="1228" spans="1:25" x14ac:dyDescent="0.25">
      <c r="A1228" s="881"/>
      <c r="B1228" s="1131">
        <v>978</v>
      </c>
      <c r="C1228" s="885">
        <v>0.97157927992903426</v>
      </c>
      <c r="D1228" s="885">
        <v>1.0248341413915727</v>
      </c>
      <c r="E1228" s="885">
        <v>0.97466178457617181</v>
      </c>
      <c r="F1228" s="885">
        <v>0.97785952614847205</v>
      </c>
      <c r="G1228" s="885">
        <v>0.99785398717656293</v>
      </c>
      <c r="H1228" s="885">
        <v>1.0045966443594641</v>
      </c>
      <c r="I1228" s="885">
        <v>0.99202607836202206</v>
      </c>
      <c r="K1228">
        <v>1.9460150202206097</v>
      </c>
      <c r="L1228">
        <v>0</v>
      </c>
      <c r="M1228">
        <v>2.1044365622676282E-3</v>
      </c>
      <c r="N1228">
        <v>0.19594459794331417</v>
      </c>
      <c r="O1228">
        <v>2.5572651998903274E-2</v>
      </c>
      <c r="P1228">
        <v>2.0822600030685208E-2</v>
      </c>
      <c r="Q1228">
        <v>2.9331331436163095E-3</v>
      </c>
      <c r="R1228">
        <v>2.0919108725001635E-3</v>
      </c>
      <c r="S1228">
        <v>0.20828777552450173</v>
      </c>
      <c r="T1228">
        <v>1.06071231151342</v>
      </c>
      <c r="U1228">
        <v>3.8412007513831316E-2</v>
      </c>
      <c r="V1228">
        <v>0.24883368128007546</v>
      </c>
      <c r="W1228">
        <v>0.11919169805732371</v>
      </c>
      <c r="X1228">
        <v>1.9623597107992458E-2</v>
      </c>
      <c r="Y1228">
        <v>5.6934917967116586E-3</v>
      </c>
    </row>
    <row r="1229" spans="1:25" x14ac:dyDescent="0.25">
      <c r="A1229" s="881"/>
      <c r="B1229" s="1131">
        <v>979</v>
      </c>
      <c r="C1229" s="885">
        <v>0.99123181269071059</v>
      </c>
      <c r="D1229" s="885">
        <v>1.0198352535911361</v>
      </c>
      <c r="E1229" s="885">
        <v>0.99242992972906729</v>
      </c>
      <c r="F1229" s="885">
        <v>1.0007606337046124</v>
      </c>
      <c r="G1229" s="885">
        <v>1.0031345434230525</v>
      </c>
      <c r="H1229" s="885">
        <v>1.0174860550528122</v>
      </c>
      <c r="I1229" s="885">
        <v>1.0138203837672268</v>
      </c>
      <c r="K1229">
        <v>1.9466172835662354</v>
      </c>
      <c r="L1229">
        <v>0</v>
      </c>
      <c r="M1229">
        <v>2.0175015647837776E-3</v>
      </c>
      <c r="N1229">
        <v>0.19855538092087158</v>
      </c>
      <c r="O1229">
        <v>2.5126195150945697E-2</v>
      </c>
      <c r="P1229">
        <v>2.1071072178318596E-2</v>
      </c>
      <c r="Q1229">
        <v>2.9333499157040803E-3</v>
      </c>
      <c r="R1229">
        <v>2.0056494124869933E-3</v>
      </c>
      <c r="S1229">
        <v>0.21043211935349881</v>
      </c>
      <c r="T1229">
        <v>1.0590688098815983</v>
      </c>
      <c r="U1229">
        <v>3.7650436682021393E-2</v>
      </c>
      <c r="V1229">
        <v>0.24661248495167529</v>
      </c>
      <c r="W1229">
        <v>0.11930349150756438</v>
      </c>
      <c r="X1229">
        <v>2.0417078637694763E-2</v>
      </c>
      <c r="Y1229">
        <v>5.45871653863846E-3</v>
      </c>
    </row>
    <row r="1230" spans="1:25" x14ac:dyDescent="0.25">
      <c r="A1230" s="881"/>
      <c r="B1230" s="1131">
        <v>980</v>
      </c>
      <c r="C1230" s="885">
        <v>1.0022163183632256</v>
      </c>
      <c r="D1230" s="885">
        <v>0.99128171518415242</v>
      </c>
      <c r="E1230" s="885">
        <v>1.0262590524463389</v>
      </c>
      <c r="F1230" s="885">
        <v>0.99339163398755648</v>
      </c>
      <c r="G1230" s="885">
        <v>1.0115121956745687</v>
      </c>
      <c r="H1230" s="885">
        <v>0.9964105205319761</v>
      </c>
      <c r="I1230" s="885">
        <v>0.96947273886633245</v>
      </c>
      <c r="K1230">
        <v>1.9382047884351192</v>
      </c>
      <c r="L1230">
        <v>0</v>
      </c>
      <c r="M1230">
        <v>1.8452209217243555E-3</v>
      </c>
      <c r="N1230">
        <v>0.20171734267581687</v>
      </c>
      <c r="O1230">
        <v>2.5202324910552097E-2</v>
      </c>
      <c r="P1230">
        <v>2.1432704877230552E-2</v>
      </c>
      <c r="Q1230">
        <v>3.0374713607494337E-3</v>
      </c>
      <c r="R1230">
        <v>1.8341732869383261E-3</v>
      </c>
      <c r="S1230">
        <v>0.19956074046152689</v>
      </c>
      <c r="T1230">
        <v>1.0559736929177137</v>
      </c>
      <c r="U1230">
        <v>3.7237779825683472E-2</v>
      </c>
      <c r="V1230">
        <v>0.24858584757160776</v>
      </c>
      <c r="W1230">
        <v>0.11844779195824347</v>
      </c>
      <c r="X1230">
        <v>2.2028124458795078E-2</v>
      </c>
      <c r="Y1230">
        <v>4.992015051984584E-3</v>
      </c>
    </row>
    <row r="1231" spans="1:25" x14ac:dyDescent="0.25">
      <c r="A1231" s="881"/>
      <c r="B1231" s="1131">
        <v>981</v>
      </c>
      <c r="C1231" s="885">
        <v>0.99788487724681318</v>
      </c>
      <c r="D1231" s="885">
        <v>1.0321649967306932</v>
      </c>
      <c r="E1231" s="885">
        <v>0.99416778203402878</v>
      </c>
      <c r="F1231" s="885">
        <v>0.99468491181993568</v>
      </c>
      <c r="G1231" s="885">
        <v>1.0298815451231904</v>
      </c>
      <c r="H1231" s="885">
        <v>1.0379292999603558</v>
      </c>
      <c r="I1231" s="885">
        <v>0.99475820075525623</v>
      </c>
      <c r="K1231">
        <v>1.9418153586166569</v>
      </c>
      <c r="L1231">
        <v>0</v>
      </c>
      <c r="M1231">
        <v>2.0248276687422377E-3</v>
      </c>
      <c r="N1231">
        <v>0.20037962804639073</v>
      </c>
      <c r="O1231">
        <v>2.4811169325552662E-2</v>
      </c>
      <c r="P1231">
        <v>2.1000287206068727E-2</v>
      </c>
      <c r="Q1231">
        <v>2.9040600235635231E-3</v>
      </c>
      <c r="R1231">
        <v>2.0131571625259296E-3</v>
      </c>
      <c r="S1231">
        <v>0.20600438978379948</v>
      </c>
      <c r="T1231">
        <v>1.0589087220278426</v>
      </c>
      <c r="U1231">
        <v>3.7399414954442871E-2</v>
      </c>
      <c r="V1231">
        <v>0.2442175236279239</v>
      </c>
      <c r="W1231">
        <v>0.12025584953393288</v>
      </c>
      <c r="X1231">
        <v>2.046683443404225E-2</v>
      </c>
      <c r="Y1231">
        <v>5.4791501593153095E-3</v>
      </c>
    </row>
    <row r="1232" spans="1:25" x14ac:dyDescent="0.25">
      <c r="A1232" s="881"/>
      <c r="B1232" s="1131">
        <v>982</v>
      </c>
      <c r="C1232" s="885">
        <v>1.023322133892784</v>
      </c>
      <c r="D1232" s="885">
        <v>0.99046870683869415</v>
      </c>
      <c r="E1232" s="885">
        <v>1.0041568005371653</v>
      </c>
      <c r="F1232" s="885">
        <v>0.99099941501577593</v>
      </c>
      <c r="G1232" s="885">
        <v>0.97703879217837997</v>
      </c>
      <c r="H1232" s="885">
        <v>0.98874261572844535</v>
      </c>
      <c r="I1232" s="885">
        <v>0.99338050102111808</v>
      </c>
      <c r="K1232">
        <v>1.9202300366570282</v>
      </c>
      <c r="L1232">
        <v>0</v>
      </c>
      <c r="M1232">
        <v>1.8796651927743551E-3</v>
      </c>
      <c r="N1232">
        <v>0.1918340195728428</v>
      </c>
      <c r="O1232">
        <v>2.4692571253661165E-2</v>
      </c>
      <c r="P1232">
        <v>2.1065470096367819E-2</v>
      </c>
      <c r="Q1232">
        <v>2.911018572058843E-3</v>
      </c>
      <c r="R1232">
        <v>1.8683247059726226E-3</v>
      </c>
      <c r="S1232">
        <v>0.19958329915141906</v>
      </c>
      <c r="T1232">
        <v>1.0579908315989262</v>
      </c>
      <c r="U1232">
        <v>3.6469758021306579E-2</v>
      </c>
      <c r="V1232">
        <v>0.24576024812817379</v>
      </c>
      <c r="W1232">
        <v>0.11434262772918487</v>
      </c>
      <c r="X1232">
        <v>2.0506569063302497E-2</v>
      </c>
      <c r="Y1232">
        <v>5.0849639565836791E-3</v>
      </c>
    </row>
    <row r="1233" spans="1:25" x14ac:dyDescent="0.25">
      <c r="A1233" s="881"/>
      <c r="B1233" s="1131">
        <v>983</v>
      </c>
      <c r="C1233" s="885">
        <v>1.0152330926958391</v>
      </c>
      <c r="D1233" s="885">
        <v>1.0105546984626703</v>
      </c>
      <c r="E1233" s="885">
        <v>0.99735376273630116</v>
      </c>
      <c r="F1233" s="885">
        <v>1.0032840795535825</v>
      </c>
      <c r="G1233" s="885">
        <v>1.0133054536580313</v>
      </c>
      <c r="H1233" s="885">
        <v>1.0332508737799135</v>
      </c>
      <c r="I1233" s="885">
        <v>1.0214687345974023</v>
      </c>
      <c r="K1233">
        <v>1.9415510230370319</v>
      </c>
      <c r="L1233">
        <v>0</v>
      </c>
      <c r="M1233">
        <v>1.9886594072727158E-3</v>
      </c>
      <c r="N1233">
        <v>0.19875782375269146</v>
      </c>
      <c r="O1233">
        <v>2.4643212580579239E-2</v>
      </c>
      <c r="P1233">
        <v>2.1087645151106973E-2</v>
      </c>
      <c r="Q1233">
        <v>2.8894493762650288E-3</v>
      </c>
      <c r="R1233">
        <v>1.9771621793037231E-3</v>
      </c>
      <c r="S1233">
        <v>0.20947335615604623</v>
      </c>
      <c r="T1233">
        <v>1.0586155403794781</v>
      </c>
      <c r="U1233">
        <v>3.6760336980167722E-2</v>
      </c>
      <c r="V1233">
        <v>0.24440996631918099</v>
      </c>
      <c r="W1233">
        <v>0.11902201990652854</v>
      </c>
      <c r="X1233">
        <v>2.0521985982227955E-2</v>
      </c>
      <c r="Y1233">
        <v>5.3811836807274921E-3</v>
      </c>
    </row>
    <row r="1234" spans="1:25" x14ac:dyDescent="0.25">
      <c r="A1234" s="881"/>
      <c r="B1234" s="1131">
        <v>984</v>
      </c>
      <c r="C1234" s="885">
        <v>1.0035517740138169</v>
      </c>
      <c r="D1234" s="885">
        <v>0.95935198242317909</v>
      </c>
      <c r="E1234" s="885">
        <v>0.99631642205015347</v>
      </c>
      <c r="F1234" s="885">
        <v>1.0352280938062082</v>
      </c>
      <c r="G1234" s="885">
        <v>0.98484246229833272</v>
      </c>
      <c r="H1234" s="885">
        <v>1.0138249713119796</v>
      </c>
      <c r="I1234" s="885">
        <v>1.0202856974299461</v>
      </c>
      <c r="K1234">
        <v>1.9627808010317331</v>
      </c>
      <c r="L1234">
        <v>0</v>
      </c>
      <c r="M1234">
        <v>2.0299451070912252E-3</v>
      </c>
      <c r="N1234">
        <v>0.20221209431923734</v>
      </c>
      <c r="O1234">
        <v>2.5581451090561577E-2</v>
      </c>
      <c r="P1234">
        <v>2.1261132246272924E-2</v>
      </c>
      <c r="Q1234">
        <v>2.9854125229943559E-3</v>
      </c>
      <c r="R1234">
        <v>2.0180276300898596E-3</v>
      </c>
      <c r="S1234">
        <v>0.21475749568964975</v>
      </c>
      <c r="T1234">
        <v>1.0587109556012511</v>
      </c>
      <c r="U1234">
        <v>3.7188226424681781E-2</v>
      </c>
      <c r="V1234">
        <v>0.25255159146601741</v>
      </c>
      <c r="W1234">
        <v>0.12117670838308539</v>
      </c>
      <c r="X1234">
        <v>2.087524479850663E-2</v>
      </c>
      <c r="Y1234">
        <v>5.4924059664751253E-3</v>
      </c>
    </row>
    <row r="1235" spans="1:25" x14ac:dyDescent="0.25">
      <c r="A1235" s="881"/>
      <c r="B1235" s="1131">
        <v>985</v>
      </c>
      <c r="C1235" s="885">
        <v>0.99155722544711866</v>
      </c>
      <c r="D1235" s="885">
        <v>1.0265702824494782</v>
      </c>
      <c r="E1235" s="885">
        <v>0.98326055542693702</v>
      </c>
      <c r="F1235" s="885">
        <v>1.0176297081391565</v>
      </c>
      <c r="G1235" s="885">
        <v>1.0062646443951826</v>
      </c>
      <c r="H1235" s="885">
        <v>0.98931192193587913</v>
      </c>
      <c r="I1235" s="885">
        <v>1.0190133702400446</v>
      </c>
      <c r="K1235">
        <v>1.9308872177704899</v>
      </c>
      <c r="L1235">
        <v>0</v>
      </c>
      <c r="M1235">
        <v>1.9926778595422212E-3</v>
      </c>
      <c r="N1235">
        <v>0.19055938017047111</v>
      </c>
      <c r="O1235">
        <v>2.5036500893696117E-2</v>
      </c>
      <c r="P1235">
        <v>2.0891577946088719E-2</v>
      </c>
      <c r="Q1235">
        <v>2.8971978275464613E-3</v>
      </c>
      <c r="R1235">
        <v>1.9806327220854136E-3</v>
      </c>
      <c r="S1235">
        <v>0.20791186973276696</v>
      </c>
      <c r="T1235">
        <v>1.0599154201272281</v>
      </c>
      <c r="U1235">
        <v>3.7638080428578566E-2</v>
      </c>
      <c r="V1235">
        <v>0.24575993148144951</v>
      </c>
      <c r="W1235">
        <v>0.11522584039928062</v>
      </c>
      <c r="X1235">
        <v>1.9672834546725804E-2</v>
      </c>
      <c r="Y1235">
        <v>5.3906293541151366E-3</v>
      </c>
    </row>
    <row r="1236" spans="1:25" x14ac:dyDescent="0.25">
      <c r="A1236" s="881"/>
      <c r="B1236" s="1131">
        <v>986</v>
      </c>
      <c r="C1236" s="885">
        <v>1.0149418808553148</v>
      </c>
      <c r="D1236" s="885">
        <v>0.99835742518276194</v>
      </c>
      <c r="E1236" s="885">
        <v>1.0137057731834709</v>
      </c>
      <c r="F1236" s="885">
        <v>0.99699639669256379</v>
      </c>
      <c r="G1236" s="885">
        <v>0.98078016392388878</v>
      </c>
      <c r="H1236" s="885">
        <v>0.97286123902876043</v>
      </c>
      <c r="I1236" s="885">
        <v>0.96641226080976628</v>
      </c>
      <c r="K1236">
        <v>1.912716102525617</v>
      </c>
      <c r="L1236">
        <v>0</v>
      </c>
      <c r="M1236">
        <v>1.8204075557451595E-3</v>
      </c>
      <c r="N1236">
        <v>0.19136508336047689</v>
      </c>
      <c r="O1236">
        <v>2.4798807300542045E-2</v>
      </c>
      <c r="P1236">
        <v>2.1125829870840399E-2</v>
      </c>
      <c r="Q1236">
        <v>2.9532366054212979E-3</v>
      </c>
      <c r="R1236">
        <v>1.8092391415975024E-3</v>
      </c>
      <c r="S1236">
        <v>0.19352469147322793</v>
      </c>
      <c r="T1236">
        <v>1.0571170136134833</v>
      </c>
      <c r="U1236">
        <v>3.6770884426866109E-2</v>
      </c>
      <c r="V1236">
        <v>0.24592903003929895</v>
      </c>
      <c r="W1236">
        <v>0.11332487798263052</v>
      </c>
      <c r="X1236">
        <v>2.0893663739070464E-2</v>
      </c>
      <c r="Y1236">
        <v>4.9241525279056647E-3</v>
      </c>
    </row>
    <row r="1237" spans="1:25" x14ac:dyDescent="0.25">
      <c r="A1237" s="881"/>
      <c r="B1237" s="1131">
        <v>987</v>
      </c>
      <c r="C1237" s="885">
        <v>1.028234520665513</v>
      </c>
      <c r="D1237" s="885">
        <v>0.98334323778729515</v>
      </c>
      <c r="E1237" s="885">
        <v>0.99634079073379445</v>
      </c>
      <c r="F1237" s="885">
        <v>1.0106864377362665</v>
      </c>
      <c r="G1237" s="885">
        <v>1.0314422827313485</v>
      </c>
      <c r="H1237" s="885">
        <v>0.97568600431970054</v>
      </c>
      <c r="I1237" s="885">
        <v>1.0187837869179284</v>
      </c>
      <c r="K1237">
        <v>1.9176728184915066</v>
      </c>
      <c r="L1237">
        <v>0</v>
      </c>
      <c r="M1237">
        <v>1.8833450365885749E-3</v>
      </c>
      <c r="N1237">
        <v>0.18757751108492404</v>
      </c>
      <c r="O1237">
        <v>2.466274685198374E-2</v>
      </c>
      <c r="P1237">
        <v>2.100077726115494E-2</v>
      </c>
      <c r="Q1237">
        <v>2.883292392388413E-3</v>
      </c>
      <c r="R1237">
        <v>1.8718360860422798E-3</v>
      </c>
      <c r="S1237">
        <v>0.20306648976155761</v>
      </c>
      <c r="T1237">
        <v>1.058708713674567</v>
      </c>
      <c r="U1237">
        <v>3.6295523881810267E-2</v>
      </c>
      <c r="V1237">
        <v>0.24598032441040429</v>
      </c>
      <c r="W1237">
        <v>0.1124049749087231</v>
      </c>
      <c r="X1237">
        <v>2.0009452438931867E-2</v>
      </c>
      <c r="Y1237">
        <v>5.0945207756071583E-3</v>
      </c>
    </row>
    <row r="1238" spans="1:25" x14ac:dyDescent="0.25">
      <c r="A1238" s="881"/>
      <c r="B1238" s="1131">
        <v>988</v>
      </c>
      <c r="C1238" s="885">
        <v>1.0007864616351296</v>
      </c>
      <c r="D1238" s="885">
        <v>0.97056531579535021</v>
      </c>
      <c r="E1238" s="885">
        <v>1.0080236179230642</v>
      </c>
      <c r="F1238" s="885">
        <v>1.0403380886700591</v>
      </c>
      <c r="G1238" s="885">
        <v>1.0228099926078367</v>
      </c>
      <c r="H1238" s="885">
        <v>1.0200060056087288</v>
      </c>
      <c r="I1238" s="885">
        <v>1.0023470920472752</v>
      </c>
      <c r="K1238">
        <v>1.9614494370451883</v>
      </c>
      <c r="L1238">
        <v>0</v>
      </c>
      <c r="M1238">
        <v>1.9865665201855062E-3</v>
      </c>
      <c r="N1238">
        <v>0.2052366424700143</v>
      </c>
      <c r="O1238">
        <v>2.5504278228671937E-2</v>
      </c>
      <c r="P1238">
        <v>2.1368417162793276E-2</v>
      </c>
      <c r="Q1238">
        <v>3.0140756579314777E-3</v>
      </c>
      <c r="R1238">
        <v>1.9749649005906833E-3</v>
      </c>
      <c r="S1238">
        <v>0.21106833519925866</v>
      </c>
      <c r="T1238">
        <v>1.0576365539232644</v>
      </c>
      <c r="U1238">
        <v>3.7290982673707708E-2</v>
      </c>
      <c r="V1238">
        <v>0.25146360303596388</v>
      </c>
      <c r="W1238">
        <v>0.12200938641359521</v>
      </c>
      <c r="X1238">
        <v>2.1493560487178175E-2</v>
      </c>
      <c r="Y1238">
        <v>5.3752034124033331E-3</v>
      </c>
    </row>
    <row r="1239" spans="1:25" x14ac:dyDescent="0.25">
      <c r="A1239" s="881"/>
      <c r="B1239" s="1131">
        <v>989</v>
      </c>
      <c r="C1239" s="885">
        <v>0.9980830706578101</v>
      </c>
      <c r="D1239" s="885">
        <v>0.95431215213238429</v>
      </c>
      <c r="E1239" s="885">
        <v>1.0189024601359737</v>
      </c>
      <c r="F1239" s="885">
        <v>0.98905629415152962</v>
      </c>
      <c r="G1239" s="885">
        <v>0.97117565241845716</v>
      </c>
      <c r="H1239" s="885">
        <v>1.0041933981234239</v>
      </c>
      <c r="I1239" s="885">
        <v>0.98404846237991961</v>
      </c>
      <c r="K1239">
        <v>1.9619603455820418</v>
      </c>
      <c r="L1239">
        <v>0</v>
      </c>
      <c r="M1239">
        <v>1.9327196662329888E-3</v>
      </c>
      <c r="N1239">
        <v>0.20652267474297034</v>
      </c>
      <c r="O1239">
        <v>2.5789179280303498E-2</v>
      </c>
      <c r="P1239">
        <v>2.1518403358976743E-2</v>
      </c>
      <c r="Q1239">
        <v>3.0773197093809219E-3</v>
      </c>
      <c r="R1239">
        <v>1.9212684158163246E-3</v>
      </c>
      <c r="S1239">
        <v>0.2077890959820442</v>
      </c>
      <c r="T1239">
        <v>1.0566429653591325</v>
      </c>
      <c r="U1239">
        <v>3.7391988400644879E-2</v>
      </c>
      <c r="V1239">
        <v>0.25403711935486623</v>
      </c>
      <c r="W1239">
        <v>0.12187187258398055</v>
      </c>
      <c r="X1239">
        <v>2.2102118778269127E-2</v>
      </c>
      <c r="Y1239">
        <v>5.2290592818889777E-3</v>
      </c>
    </row>
    <row r="1240" spans="1:25" x14ac:dyDescent="0.25">
      <c r="A1240" s="881"/>
      <c r="B1240" s="1131">
        <v>990</v>
      </c>
      <c r="C1240" s="885">
        <v>1.0120356516780582</v>
      </c>
      <c r="D1240" s="885">
        <v>0.99227406789721606</v>
      </c>
      <c r="E1240" s="885">
        <v>0.95908017330659945</v>
      </c>
      <c r="F1240" s="885">
        <v>0.99359964768484277</v>
      </c>
      <c r="G1240" s="885">
        <v>0.97072513154410633</v>
      </c>
      <c r="H1240" s="885">
        <v>1.0434574175211644</v>
      </c>
      <c r="I1240" s="885">
        <v>1.0040904951582115</v>
      </c>
      <c r="K1240">
        <v>1.9441050701763587</v>
      </c>
      <c r="L1240">
        <v>0</v>
      </c>
      <c r="M1240">
        <v>2.2029486128752117E-3</v>
      </c>
      <c r="N1240">
        <v>0.19543373149798077</v>
      </c>
      <c r="O1240">
        <v>2.4945425802114316E-2</v>
      </c>
      <c r="P1240">
        <v>2.0564080832096779E-2</v>
      </c>
      <c r="Q1240">
        <v>2.8096001676928533E-3</v>
      </c>
      <c r="R1240">
        <v>2.1903530059130976E-3</v>
      </c>
      <c r="S1240">
        <v>0.20932904568142793</v>
      </c>
      <c r="T1240">
        <v>1.0621636295524592</v>
      </c>
      <c r="U1240">
        <v>3.687647815473305E-2</v>
      </c>
      <c r="V1240">
        <v>0.24708586379583389</v>
      </c>
      <c r="W1240">
        <v>0.12018531112838882</v>
      </c>
      <c r="X1240">
        <v>1.8763080338168342E-2</v>
      </c>
      <c r="Y1240">
        <v>5.9614188324211073E-3</v>
      </c>
    </row>
    <row r="1241" spans="1:25" x14ac:dyDescent="0.25">
      <c r="A1241" s="881"/>
      <c r="B1241" s="1131">
        <v>991</v>
      </c>
      <c r="C1241" s="885">
        <v>0.98097125594238122</v>
      </c>
      <c r="D1241" s="885">
        <v>1.0002650474369794</v>
      </c>
      <c r="E1241" s="885">
        <v>0.9847933993509711</v>
      </c>
      <c r="F1241" s="885">
        <v>1.0438602770593102</v>
      </c>
      <c r="G1241" s="885">
        <v>0.96610625850810794</v>
      </c>
      <c r="H1241" s="885">
        <v>1.0296321505340293</v>
      </c>
      <c r="I1241" s="885">
        <v>0.98560387939785876</v>
      </c>
      <c r="K1241">
        <v>1.9601142259653259</v>
      </c>
      <c r="L1241">
        <v>0</v>
      </c>
      <c r="M1241">
        <v>2.1164815960255092E-3</v>
      </c>
      <c r="N1241">
        <v>0.20341792398041147</v>
      </c>
      <c r="O1241">
        <v>2.5633344716271364E-2</v>
      </c>
      <c r="P1241">
        <v>2.1008895592729997E-2</v>
      </c>
      <c r="Q1241">
        <v>2.9655385651162027E-3</v>
      </c>
      <c r="R1241">
        <v>2.1042110568006817E-3</v>
      </c>
      <c r="S1241">
        <v>0.20979545504316377</v>
      </c>
      <c r="T1241">
        <v>1.0597736649765268</v>
      </c>
      <c r="U1241">
        <v>3.8044244798044274E-2</v>
      </c>
      <c r="V1241">
        <v>0.25050854765453512</v>
      </c>
      <c r="W1241">
        <v>0.1228706476132243</v>
      </c>
      <c r="X1241">
        <v>2.0381264720901723E-2</v>
      </c>
      <c r="Y1241">
        <v>5.7269688436230046E-3</v>
      </c>
    </row>
    <row r="1242" spans="1:25" x14ac:dyDescent="0.25">
      <c r="A1242" s="881"/>
      <c r="B1242" s="1131">
        <v>992</v>
      </c>
      <c r="C1242" s="885">
        <v>0.99092800582540153</v>
      </c>
      <c r="D1242" s="885">
        <v>0.99482270570781817</v>
      </c>
      <c r="E1242" s="885">
        <v>1.0070502544262974</v>
      </c>
      <c r="F1242" s="885">
        <v>1.0307169140370613</v>
      </c>
      <c r="G1242" s="885">
        <v>1.0001597479924973</v>
      </c>
      <c r="H1242" s="885">
        <v>1.0072246998590912</v>
      </c>
      <c r="I1242" s="885">
        <v>1.0304251325485707</v>
      </c>
      <c r="K1242">
        <v>1.9590427826627066</v>
      </c>
      <c r="L1242">
        <v>0</v>
      </c>
      <c r="M1242">
        <v>1.9611109376615481E-3</v>
      </c>
      <c r="N1242">
        <v>0.2019773656599968</v>
      </c>
      <c r="O1242">
        <v>2.5444428018546843E-2</v>
      </c>
      <c r="P1242">
        <v>2.1394115836085841E-2</v>
      </c>
      <c r="Q1242">
        <v>3.0092882513257815E-3</v>
      </c>
      <c r="R1242">
        <v>1.9494926352559261E-3</v>
      </c>
      <c r="S1242">
        <v>0.21531346826056805</v>
      </c>
      <c r="T1242">
        <v>1.0577256785294724</v>
      </c>
      <c r="U1242">
        <v>3.7661979862836356E-2</v>
      </c>
      <c r="V1242">
        <v>0.24975490220159932</v>
      </c>
      <c r="W1242">
        <v>0.12015138334901219</v>
      </c>
      <c r="X1242">
        <v>2.1315914692575738E-2</v>
      </c>
      <c r="Y1242">
        <v>5.3058763030921349E-3</v>
      </c>
    </row>
    <row r="1243" spans="1:25" x14ac:dyDescent="0.25">
      <c r="A1243" s="881"/>
      <c r="B1243" s="1131">
        <v>993</v>
      </c>
      <c r="C1243" s="885">
        <v>0.98681739539131386</v>
      </c>
      <c r="D1243" s="885">
        <v>0.99108708931749989</v>
      </c>
      <c r="E1243" s="885">
        <v>1.0170040796053932</v>
      </c>
      <c r="F1243" s="885">
        <v>1.0005311912016397</v>
      </c>
      <c r="G1243" s="885">
        <v>1.001922859245737</v>
      </c>
      <c r="H1243" s="885">
        <v>1.0062629165278212</v>
      </c>
      <c r="I1243" s="885">
        <v>1.0059728705851003</v>
      </c>
      <c r="K1243">
        <v>1.9602661020850045</v>
      </c>
      <c r="L1243">
        <v>0</v>
      </c>
      <c r="M1243">
        <v>1.9301048982112989E-3</v>
      </c>
      <c r="N1243">
        <v>0.20502965595055897</v>
      </c>
      <c r="O1243">
        <v>2.5598088868230243E-2</v>
      </c>
      <c r="P1243">
        <v>2.1501501376995271E-2</v>
      </c>
      <c r="Q1243">
        <v>3.0568976199200053E-3</v>
      </c>
      <c r="R1243">
        <v>1.9186623498763764E-3</v>
      </c>
      <c r="S1243">
        <v>0.21134531735567347</v>
      </c>
      <c r="T1243">
        <v>1.0568160156689264</v>
      </c>
      <c r="U1243">
        <v>3.7818861701478038E-2</v>
      </c>
      <c r="V1243">
        <v>0.25082736991397991</v>
      </c>
      <c r="W1243">
        <v>0.1211461292520556</v>
      </c>
      <c r="X1243">
        <v>2.1915740496032475E-2</v>
      </c>
      <c r="Y1243">
        <v>5.2219664294898428E-3</v>
      </c>
    </row>
    <row r="1244" spans="1:25" x14ac:dyDescent="0.25">
      <c r="A1244" s="881"/>
      <c r="B1244" s="1131">
        <v>994</v>
      </c>
      <c r="C1244" s="885">
        <v>1.0103525711017491</v>
      </c>
      <c r="D1244" s="885">
        <v>1.0140922616342669</v>
      </c>
      <c r="E1244" s="885">
        <v>0.96940587522700017</v>
      </c>
      <c r="F1244" s="885">
        <v>1.0132457018826595</v>
      </c>
      <c r="G1244" s="885">
        <v>0.99026000453844198</v>
      </c>
      <c r="H1244" s="885">
        <v>0.99805209962151098</v>
      </c>
      <c r="I1244" s="885">
        <v>1.0162129986982857</v>
      </c>
      <c r="K1244">
        <v>1.9222700164524533</v>
      </c>
      <c r="L1244">
        <v>0</v>
      </c>
      <c r="M1244">
        <v>2.0433638081627727E-3</v>
      </c>
      <c r="N1244">
        <v>0.18715946400039912</v>
      </c>
      <c r="O1244">
        <v>2.4719528728086054E-2</v>
      </c>
      <c r="P1244">
        <v>2.0632957662229227E-2</v>
      </c>
      <c r="Q1244">
        <v>2.818055370949135E-3</v>
      </c>
      <c r="R1244">
        <v>2.0311307342855333E-3</v>
      </c>
      <c r="S1244">
        <v>0.20550866549257552</v>
      </c>
      <c r="T1244">
        <v>1.0612008136448392</v>
      </c>
      <c r="U1244">
        <v>3.6937908279107604E-2</v>
      </c>
      <c r="V1244">
        <v>0.24464745634716939</v>
      </c>
      <c r="W1244">
        <v>0.11426606771874231</v>
      </c>
      <c r="X1244">
        <v>1.8863263985572001E-2</v>
      </c>
      <c r="Y1244">
        <v>5.5280682966586158E-3</v>
      </c>
    </row>
    <row r="1245" spans="1:25" x14ac:dyDescent="0.25">
      <c r="A1245" s="881"/>
      <c r="B1245" s="1131">
        <v>995</v>
      </c>
      <c r="C1245" s="885">
        <v>0.9881063072414078</v>
      </c>
      <c r="D1245" s="885">
        <v>0.97569605909828494</v>
      </c>
      <c r="E1245" s="885">
        <v>1.0157919911728559</v>
      </c>
      <c r="F1245" s="885">
        <v>0.99641929973160803</v>
      </c>
      <c r="G1245" s="885">
        <v>1.0216893417125772</v>
      </c>
      <c r="H1245" s="885">
        <v>1.0233124036354397</v>
      </c>
      <c r="I1245" s="885">
        <v>0.97409463929865192</v>
      </c>
      <c r="K1245">
        <v>1.9662174010238855</v>
      </c>
      <c r="L1245">
        <v>0</v>
      </c>
      <c r="M1245">
        <v>1.980576984471712E-3</v>
      </c>
      <c r="N1245">
        <v>0.20962241373177512</v>
      </c>
      <c r="O1245">
        <v>2.5763987565088388E-2</v>
      </c>
      <c r="P1245">
        <v>2.1456159887079339E-2</v>
      </c>
      <c r="Q1245">
        <v>3.069620805688155E-3</v>
      </c>
      <c r="R1245">
        <v>1.9690434530270258E-3</v>
      </c>
      <c r="S1245">
        <v>0.20758063012238082</v>
      </c>
      <c r="T1245">
        <v>1.0569265794455041</v>
      </c>
      <c r="U1245">
        <v>3.7769529783801895E-2</v>
      </c>
      <c r="V1245">
        <v>0.252634687426463</v>
      </c>
      <c r="W1245">
        <v>0.12396145708620027</v>
      </c>
      <c r="X1245">
        <v>2.2084781517209787E-2</v>
      </c>
      <c r="Y1245">
        <v>5.3590871841397237E-3</v>
      </c>
    </row>
    <row r="1246" spans="1:25" x14ac:dyDescent="0.25">
      <c r="A1246" s="881"/>
      <c r="B1246" s="1131">
        <v>996</v>
      </c>
      <c r="C1246" s="885">
        <v>0.97652522799427521</v>
      </c>
      <c r="D1246" s="885">
        <v>1.0028848785733853</v>
      </c>
      <c r="E1246" s="885">
        <v>1.0079400392844142</v>
      </c>
      <c r="F1246" s="885">
        <v>1.0357298223498119</v>
      </c>
      <c r="G1246" s="885">
        <v>0.99784456735774341</v>
      </c>
      <c r="H1246" s="885">
        <v>0.9683872376017828</v>
      </c>
      <c r="I1246" s="885">
        <v>0.99801014493520013</v>
      </c>
      <c r="K1246">
        <v>1.9430266604974553</v>
      </c>
      <c r="L1246">
        <v>0</v>
      </c>
      <c r="M1246">
        <v>1.9021063521349497E-3</v>
      </c>
      <c r="N1246">
        <v>0.19639551733519342</v>
      </c>
      <c r="O1246">
        <v>2.5716739698865121E-2</v>
      </c>
      <c r="P1246">
        <v>2.1312920680758077E-2</v>
      </c>
      <c r="Q1246">
        <v>3.045918774201854E-3</v>
      </c>
      <c r="R1246">
        <v>1.890379116565355E-3</v>
      </c>
      <c r="S1246">
        <v>0.2068218193018361</v>
      </c>
      <c r="T1246">
        <v>1.0576442052285691</v>
      </c>
      <c r="U1246">
        <v>3.8217456683193561E-2</v>
      </c>
      <c r="V1246">
        <v>0.25082998700341097</v>
      </c>
      <c r="W1246">
        <v>0.1167601411215327</v>
      </c>
      <c r="X1246">
        <v>2.1148693113479455E-2</v>
      </c>
      <c r="Y1246">
        <v>5.1449887919825998E-3</v>
      </c>
    </row>
    <row r="1247" spans="1:25" x14ac:dyDescent="0.25">
      <c r="A1247" s="881"/>
      <c r="B1247" s="1131">
        <v>997</v>
      </c>
      <c r="C1247" s="885">
        <v>0.99965180584417568</v>
      </c>
      <c r="D1247" s="885">
        <v>1.0133928884839718</v>
      </c>
      <c r="E1247" s="885">
        <v>0.97525081446317274</v>
      </c>
      <c r="F1247" s="885">
        <v>0.97553433943764289</v>
      </c>
      <c r="G1247" s="885">
        <v>0.99668672836624828</v>
      </c>
      <c r="H1247" s="885">
        <v>1.0047178219604465</v>
      </c>
      <c r="I1247" s="885">
        <v>1.0059453447507298</v>
      </c>
      <c r="K1247">
        <v>1.9322189536456116</v>
      </c>
      <c r="L1247">
        <v>0</v>
      </c>
      <c r="M1247">
        <v>2.0544058718272016E-3</v>
      </c>
      <c r="N1247">
        <v>0.19163876470044697</v>
      </c>
      <c r="O1247">
        <v>2.4992655981295488E-2</v>
      </c>
      <c r="P1247">
        <v>2.0755654572178268E-2</v>
      </c>
      <c r="Q1247">
        <v>2.8661049210573818E-3</v>
      </c>
      <c r="R1247">
        <v>2.0421888705731443E-3</v>
      </c>
      <c r="S1247">
        <v>0.2063492390634627</v>
      </c>
      <c r="T1247">
        <v>1.0606576317128134</v>
      </c>
      <c r="U1247">
        <v>3.7333309841221185E-2</v>
      </c>
      <c r="V1247">
        <v>0.24620892556396867</v>
      </c>
      <c r="W1247">
        <v>0.11652468538974477</v>
      </c>
      <c r="X1247">
        <v>1.9346034002356363E-2</v>
      </c>
      <c r="Y1247">
        <v>5.5581648983198456E-3</v>
      </c>
    </row>
    <row r="1248" spans="1:25" x14ac:dyDescent="0.25">
      <c r="A1248" s="881"/>
      <c r="B1248" s="1131">
        <v>998</v>
      </c>
      <c r="C1248" s="885">
        <v>0.99255984427388411</v>
      </c>
      <c r="D1248" s="885">
        <v>0.98214794668740268</v>
      </c>
      <c r="E1248" s="885">
        <v>1.0126030206490293</v>
      </c>
      <c r="F1248" s="885">
        <v>0.97932013941329776</v>
      </c>
      <c r="G1248" s="885">
        <v>1.0291390149132975</v>
      </c>
      <c r="H1248" s="885">
        <v>0.99038576742239282</v>
      </c>
      <c r="I1248" s="885">
        <v>0.96586205533745184</v>
      </c>
      <c r="K1248">
        <v>1.9430332253594402</v>
      </c>
      <c r="L1248">
        <v>0</v>
      </c>
      <c r="M1248">
        <v>1.9148642195951702E-3</v>
      </c>
      <c r="N1248">
        <v>0.20062911884972282</v>
      </c>
      <c r="O1248">
        <v>2.5564601105201454E-2</v>
      </c>
      <c r="P1248">
        <v>2.1296341649298351E-2</v>
      </c>
      <c r="Q1248">
        <v>3.0376017138890642E-3</v>
      </c>
      <c r="R1248">
        <v>1.9033373171597483E-3</v>
      </c>
      <c r="S1248">
        <v>0.20100963572906752</v>
      </c>
      <c r="T1248">
        <v>1.0572177437531949</v>
      </c>
      <c r="U1248">
        <v>3.7600060909394252E-2</v>
      </c>
      <c r="V1248">
        <v>0.25113855137203278</v>
      </c>
      <c r="W1248">
        <v>0.11889982968334196</v>
      </c>
      <c r="X1248">
        <v>2.1471010754398587E-2</v>
      </c>
      <c r="Y1248">
        <v>5.1802567423308611E-3</v>
      </c>
    </row>
    <row r="1249" spans="1:25" x14ac:dyDescent="0.25">
      <c r="A1249" s="881"/>
      <c r="B1249" s="1131">
        <v>999</v>
      </c>
      <c r="C1249" s="885">
        <v>1.0282134352039789</v>
      </c>
      <c r="D1249" s="885">
        <v>1.0373362072282215</v>
      </c>
      <c r="E1249" s="885">
        <v>0.97194149036632993</v>
      </c>
      <c r="F1249" s="885">
        <v>1.0178297593797541</v>
      </c>
      <c r="G1249" s="885">
        <v>1.0337506887964212</v>
      </c>
      <c r="H1249" s="885">
        <v>0.96440264531396924</v>
      </c>
      <c r="I1249" s="885">
        <v>1.0298089555249583</v>
      </c>
      <c r="K1249">
        <v>1.8903290590738608</v>
      </c>
      <c r="L1249">
        <v>0</v>
      </c>
      <c r="M1249">
        <v>1.9084532600116477E-3</v>
      </c>
      <c r="N1249">
        <v>0.17615118433522137</v>
      </c>
      <c r="O1249">
        <v>2.4020116754225031E-2</v>
      </c>
      <c r="P1249">
        <v>2.0508964464441459E-2</v>
      </c>
      <c r="Q1249">
        <v>2.7497172117900014E-3</v>
      </c>
      <c r="R1249">
        <v>1.8966108339189126E-3</v>
      </c>
      <c r="S1249">
        <v>0.19918110243672027</v>
      </c>
      <c r="T1249">
        <v>1.0609650114476403</v>
      </c>
      <c r="U1249">
        <v>3.6296268190186873E-2</v>
      </c>
      <c r="V1249">
        <v>0.23956905215775226</v>
      </c>
      <c r="W1249">
        <v>0.10735491090495874</v>
      </c>
      <c r="X1249">
        <v>1.8382624124679583E-2</v>
      </c>
      <c r="Y1249">
        <v>5.1619494723339097E-3</v>
      </c>
    </row>
    <row r="1250" spans="1:25" x14ac:dyDescent="0.25">
      <c r="A1250" s="881"/>
      <c r="B1250" s="1131">
        <v>1000</v>
      </c>
      <c r="C1250" s="885">
        <v>1.0000052568322537</v>
      </c>
      <c r="D1250" s="885">
        <v>0.98018657864799152</v>
      </c>
      <c r="E1250" s="885">
        <v>1.0081070709656623</v>
      </c>
      <c r="F1250" s="885">
        <v>1.026242706895574</v>
      </c>
      <c r="G1250" s="885">
        <v>1.0092556113012388</v>
      </c>
      <c r="H1250" s="885">
        <v>0.95417719510311327</v>
      </c>
      <c r="I1250" s="885">
        <v>1.0050563488662168</v>
      </c>
      <c r="K1250">
        <v>1.9296137851981268</v>
      </c>
      <c r="L1250">
        <v>0</v>
      </c>
      <c r="M1250">
        <v>1.8504018786707421E-3</v>
      </c>
      <c r="N1250">
        <v>0.19114045271048133</v>
      </c>
      <c r="O1250">
        <v>2.5399449483650582E-2</v>
      </c>
      <c r="P1250">
        <v>2.1258382804987142E-2</v>
      </c>
      <c r="Q1250">
        <v>3.0040254404103649E-3</v>
      </c>
      <c r="R1250">
        <v>1.8388419437608498E-3</v>
      </c>
      <c r="S1250">
        <v>0.20408079070510926</v>
      </c>
      <c r="T1250">
        <v>1.0576289143877207</v>
      </c>
      <c r="U1250">
        <v>3.7320114415335705E-2</v>
      </c>
      <c r="V1250">
        <v>0.25031943753280489</v>
      </c>
      <c r="W1250">
        <v>0.11362301053843725</v>
      </c>
      <c r="X1250">
        <v>2.084604551726571E-2</v>
      </c>
      <c r="Y1250">
        <v>5.0047215968331863E-3</v>
      </c>
    </row>
    <row r="1251" spans="1:25" x14ac:dyDescent="0.25">
      <c r="A1251" s="881"/>
      <c r="B1251" s="1131">
        <v>1001</v>
      </c>
      <c r="C1251" s="885">
        <v>1.0108551991979469</v>
      </c>
      <c r="D1251" s="885">
        <v>0.96167223814493696</v>
      </c>
      <c r="E1251" s="885">
        <v>0.9621820508033988</v>
      </c>
      <c r="F1251" s="885">
        <v>1.0032893560809073</v>
      </c>
      <c r="G1251" s="885">
        <v>1.003754689969875</v>
      </c>
      <c r="H1251" s="885">
        <v>1.0009134979586123</v>
      </c>
      <c r="I1251" s="885">
        <v>0.98421797055518789</v>
      </c>
      <c r="K1251">
        <v>1.9360604584679282</v>
      </c>
      <c r="L1251">
        <v>0</v>
      </c>
      <c r="M1251">
        <v>2.1348340728248325E-3</v>
      </c>
      <c r="N1251">
        <v>0.19118866751231361</v>
      </c>
      <c r="O1251">
        <v>2.5366106181617148E-2</v>
      </c>
      <c r="P1251">
        <v>2.0595870508364235E-2</v>
      </c>
      <c r="Q1251">
        <v>2.8597846217643147E-3</v>
      </c>
      <c r="R1251">
        <v>2.1221369715676655E-3</v>
      </c>
      <c r="S1251">
        <v>0.20414239140416821</v>
      </c>
      <c r="T1251">
        <v>1.0618739636041228</v>
      </c>
      <c r="U1251">
        <v>3.691954162230987E-2</v>
      </c>
      <c r="V1251">
        <v>0.25119104611440374</v>
      </c>
      <c r="W1251">
        <v>0.11731847854194019</v>
      </c>
      <c r="X1251">
        <v>1.8841548183837042E-2</v>
      </c>
      <c r="Y1251">
        <v>5.7757572743425186E-3</v>
      </c>
    </row>
    <row r="1252" spans="1:25" x14ac:dyDescent="0.25">
      <c r="A1252" s="881"/>
      <c r="B1252" s="1131">
        <v>1002</v>
      </c>
      <c r="C1252" s="885">
        <v>0.98869608337118942</v>
      </c>
      <c r="D1252" s="885">
        <v>0.968518518148902</v>
      </c>
      <c r="E1252" s="885">
        <v>0.99286406257734294</v>
      </c>
      <c r="F1252" s="885">
        <v>1.0121405880041503</v>
      </c>
      <c r="G1252" s="885">
        <v>1.0034508481062117</v>
      </c>
      <c r="H1252" s="885">
        <v>0.9577556754547315</v>
      </c>
      <c r="I1252" s="885">
        <v>0.97382098462809108</v>
      </c>
      <c r="K1252">
        <v>1.9349671736777989</v>
      </c>
      <c r="L1252">
        <v>0</v>
      </c>
      <c r="M1252">
        <v>1.951438584960029E-3</v>
      </c>
      <c r="N1252">
        <v>0.19224685552704388</v>
      </c>
      <c r="O1252">
        <v>2.5843267391136373E-2</v>
      </c>
      <c r="P1252">
        <v>2.1050538650305897E-2</v>
      </c>
      <c r="Q1252">
        <v>3.0075131504370342E-3</v>
      </c>
      <c r="R1252">
        <v>1.9393031878444048E-3</v>
      </c>
      <c r="S1252">
        <v>0.20146733052927282</v>
      </c>
      <c r="T1252">
        <v>1.0590288073298679</v>
      </c>
      <c r="U1252">
        <v>3.7746999536667158E-2</v>
      </c>
      <c r="V1252">
        <v>0.2535018273171229</v>
      </c>
      <c r="W1252">
        <v>0.11547848170067364</v>
      </c>
      <c r="X1252">
        <v>2.0329543956195274E-2</v>
      </c>
      <c r="Y1252">
        <v>5.2781439861884112E-3</v>
      </c>
    </row>
    <row r="1253" spans="1:25" x14ac:dyDescent="0.25">
      <c r="A1253" s="881"/>
      <c r="B1253" s="1131">
        <v>1003</v>
      </c>
      <c r="C1253" s="885">
        <v>1.0110985627209605</v>
      </c>
      <c r="D1253" s="885">
        <v>1.0229025962085327</v>
      </c>
      <c r="E1253" s="885">
        <v>0.98663021397684858</v>
      </c>
      <c r="F1253" s="885">
        <v>0.9689526671358667</v>
      </c>
      <c r="G1253" s="885">
        <v>1.0468611906471466</v>
      </c>
      <c r="H1253" s="885">
        <v>1.0138262904677295</v>
      </c>
      <c r="I1253" s="885">
        <v>0.9960215996852898</v>
      </c>
      <c r="K1253">
        <v>1.9241363124567137</v>
      </c>
      <c r="L1253">
        <v>0</v>
      </c>
      <c r="M1253">
        <v>1.9919721343795581E-3</v>
      </c>
      <c r="N1253">
        <v>0.19253023604026961</v>
      </c>
      <c r="O1253">
        <v>2.4596015083541499E-2</v>
      </c>
      <c r="P1253">
        <v>2.0820940826519845E-2</v>
      </c>
      <c r="Q1253">
        <v>2.8552583302905886E-3</v>
      </c>
      <c r="R1253">
        <v>1.9802252942291779E-3</v>
      </c>
      <c r="S1253">
        <v>0.20203628047752961</v>
      </c>
      <c r="T1253">
        <v>1.0596039192230535</v>
      </c>
      <c r="U1253">
        <v>3.6910655377141957E-2</v>
      </c>
      <c r="V1253">
        <v>0.24350005091280097</v>
      </c>
      <c r="W1253">
        <v>0.1161466150605427</v>
      </c>
      <c r="X1253">
        <v>1.9758567495373129E-2</v>
      </c>
      <c r="Y1253">
        <v>5.3895204697990192E-3</v>
      </c>
    </row>
    <row r="1254" spans="1:25" x14ac:dyDescent="0.25">
      <c r="A1254" s="881"/>
      <c r="B1254" s="1131">
        <v>1004</v>
      </c>
      <c r="C1254" s="885">
        <v>1.0108029158736669</v>
      </c>
      <c r="D1254" s="885">
        <v>1.0261806703528011</v>
      </c>
      <c r="E1254" s="885">
        <v>1.0283474420832655</v>
      </c>
      <c r="F1254" s="885">
        <v>1.0055157105928989</v>
      </c>
      <c r="G1254" s="885">
        <v>0.95562645863122819</v>
      </c>
      <c r="H1254" s="885">
        <v>0.99633246835444644</v>
      </c>
      <c r="I1254" s="885">
        <v>1.0172625864572711</v>
      </c>
      <c r="K1254">
        <v>1.9283130586359922</v>
      </c>
      <c r="L1254">
        <v>0</v>
      </c>
      <c r="M1254">
        <v>1.7904749905503748E-3</v>
      </c>
      <c r="N1254">
        <v>0.19700292493024812</v>
      </c>
      <c r="O1254">
        <v>2.4564404485226527E-2</v>
      </c>
      <c r="P1254">
        <v>2.144929597698704E-2</v>
      </c>
      <c r="Q1254">
        <v>2.9738528907242924E-3</v>
      </c>
      <c r="R1254">
        <v>1.7797286502246169E-3</v>
      </c>
      <c r="S1254">
        <v>0.20434409751060037</v>
      </c>
      <c r="T1254">
        <v>1.0557840856727692</v>
      </c>
      <c r="U1254">
        <v>3.692145126892498E-2</v>
      </c>
      <c r="V1254">
        <v>0.24315755269484893</v>
      </c>
      <c r="W1254">
        <v>0.11551742244513974</v>
      </c>
      <c r="X1254">
        <v>2.1764882402329232E-2</v>
      </c>
      <c r="Y1254">
        <v>4.8438346985195373E-3</v>
      </c>
    </row>
    <row r="1255" spans="1:25" x14ac:dyDescent="0.25">
      <c r="A1255" s="881"/>
      <c r="B1255" s="1131">
        <v>1005</v>
      </c>
      <c r="C1255" s="885">
        <v>1.0096161721001606</v>
      </c>
      <c r="D1255" s="885">
        <v>0.96324915284001422</v>
      </c>
      <c r="E1255" s="885">
        <v>1.0095060188908029</v>
      </c>
      <c r="F1255" s="885">
        <v>1.0057961885812938</v>
      </c>
      <c r="G1255" s="885">
        <v>0.97525236184120956</v>
      </c>
      <c r="H1255" s="885">
        <v>0.97581843552346426</v>
      </c>
      <c r="I1255" s="885">
        <v>0.96964879527511083</v>
      </c>
      <c r="K1255">
        <v>1.9318588329615471</v>
      </c>
      <c r="L1255">
        <v>0</v>
      </c>
      <c r="M1255">
        <v>1.885079738579344E-3</v>
      </c>
      <c r="N1255">
        <v>0.19560007776079949</v>
      </c>
      <c r="O1255">
        <v>2.5376537815131783E-2</v>
      </c>
      <c r="P1255">
        <v>2.1211738166833409E-2</v>
      </c>
      <c r="Q1255">
        <v>3.0018224964320993E-3</v>
      </c>
      <c r="R1255">
        <v>1.8735784142504151E-3</v>
      </c>
      <c r="S1255">
        <v>0.19873029115473231</v>
      </c>
      <c r="T1255">
        <v>1.0575008910623145</v>
      </c>
      <c r="U1255">
        <v>3.696485023935861E-2</v>
      </c>
      <c r="V1255">
        <v>0.25115654924002206</v>
      </c>
      <c r="W1255">
        <v>0.11616345912070111</v>
      </c>
      <c r="X1255">
        <v>2.1064854410916406E-2</v>
      </c>
      <c r="Y1255">
        <v>5.0992628186313635E-3</v>
      </c>
    </row>
    <row r="1256" spans="1:25" x14ac:dyDescent="0.25">
      <c r="A1256" s="881"/>
      <c r="B1256" s="1131">
        <v>1006</v>
      </c>
      <c r="C1256" s="885">
        <v>0.99863355917550167</v>
      </c>
      <c r="D1256" s="885">
        <v>0.97297442581622129</v>
      </c>
      <c r="E1256" s="885">
        <v>1.0358394998027824</v>
      </c>
      <c r="F1256" s="885">
        <v>1.0226439232615407</v>
      </c>
      <c r="G1256" s="885">
        <v>1.0054143094164356</v>
      </c>
      <c r="H1256" s="885">
        <v>0.98371465981101291</v>
      </c>
      <c r="I1256" s="885">
        <v>0.95963436837452676</v>
      </c>
      <c r="K1256">
        <v>1.9427914089947285</v>
      </c>
      <c r="L1256">
        <v>0</v>
      </c>
      <c r="M1256">
        <v>1.8081938515401527E-3</v>
      </c>
      <c r="N1256">
        <v>0.203621836436707</v>
      </c>
      <c r="O1256">
        <v>2.5527791762206837E-2</v>
      </c>
      <c r="P1256">
        <v>2.1600205958726734E-2</v>
      </c>
      <c r="Q1256">
        <v>3.1018966392937514E-3</v>
      </c>
      <c r="R1256">
        <v>1.7972424517909626E-3</v>
      </c>
      <c r="S1256">
        <v>0.19870081668536962</v>
      </c>
      <c r="T1256">
        <v>1.0551052784942154</v>
      </c>
      <c r="U1256">
        <v>3.7371376375263721E-2</v>
      </c>
      <c r="V1256">
        <v>0.2514581613770675</v>
      </c>
      <c r="W1256">
        <v>0.11880150006635362</v>
      </c>
      <c r="X1256">
        <v>2.2621995106313183E-2</v>
      </c>
      <c r="Y1256">
        <v>4.8915014929599944E-3</v>
      </c>
    </row>
    <row r="1257" spans="1:25" x14ac:dyDescent="0.25">
      <c r="A1257" s="881"/>
      <c r="B1257" s="1131">
        <v>1007</v>
      </c>
      <c r="C1257" s="885">
        <v>1.0142933493578461</v>
      </c>
      <c r="D1257" s="885">
        <v>0.96999389461918961</v>
      </c>
      <c r="E1257" s="885">
        <v>1.026622334790164</v>
      </c>
      <c r="F1257" s="885">
        <v>0.97837832592936325</v>
      </c>
      <c r="G1257" s="885">
        <v>0.99051454961237118</v>
      </c>
      <c r="H1257" s="885">
        <v>0.96250335301138024</v>
      </c>
      <c r="I1257" s="885">
        <v>0.95609356841892978</v>
      </c>
      <c r="K1257">
        <v>1.9204417383790489</v>
      </c>
      <c r="L1257">
        <v>0</v>
      </c>
      <c r="M1257">
        <v>1.7789026433306274E-3</v>
      </c>
      <c r="N1257">
        <v>0.19464752201517602</v>
      </c>
      <c r="O1257">
        <v>2.5172016847046719E-2</v>
      </c>
      <c r="P1257">
        <v>2.1356548825280194E-2</v>
      </c>
      <c r="Q1257">
        <v>3.0302815142559149E-3</v>
      </c>
      <c r="R1257">
        <v>1.7678935841006738E-3</v>
      </c>
      <c r="S1257">
        <v>0.19313274063118305</v>
      </c>
      <c r="T1257">
        <v>1.0559406978414292</v>
      </c>
      <c r="U1257">
        <v>3.6794395452306346E-2</v>
      </c>
      <c r="V1257">
        <v>0.2496106248322689</v>
      </c>
      <c r="W1257">
        <v>0.11426852566367228</v>
      </c>
      <c r="X1257">
        <v>2.1687770265699222E-2</v>
      </c>
      <c r="Y1257">
        <v>4.8116235499586638E-3</v>
      </c>
    </row>
    <row r="1258" spans="1:25" x14ac:dyDescent="0.25">
      <c r="A1258" s="881"/>
      <c r="B1258" s="1131">
        <v>1008</v>
      </c>
      <c r="C1258" s="885">
        <v>1.0129341733871831</v>
      </c>
      <c r="D1258" s="885">
        <v>1.01234172316756</v>
      </c>
      <c r="E1258" s="885">
        <v>0.98386407806073717</v>
      </c>
      <c r="F1258" s="885">
        <v>1.0332189009948647</v>
      </c>
      <c r="G1258" s="885">
        <v>1.0440025022845758</v>
      </c>
      <c r="H1258" s="885">
        <v>1.0160636294395835</v>
      </c>
      <c r="I1258" s="885">
        <v>0.99891126332853397</v>
      </c>
      <c r="K1258">
        <v>1.9278579464081922</v>
      </c>
      <c r="L1258">
        <v>0</v>
      </c>
      <c r="M1258">
        <v>2.0146551253522223E-3</v>
      </c>
      <c r="N1258">
        <v>0.19305559071353062</v>
      </c>
      <c r="O1258">
        <v>2.4677584631422427E-2</v>
      </c>
      <c r="P1258">
        <v>2.0812432740509777E-2</v>
      </c>
      <c r="Q1258">
        <v>2.8546577944548283E-3</v>
      </c>
      <c r="R1258">
        <v>2.0028091390259118E-3</v>
      </c>
      <c r="S1258">
        <v>0.2034411077473019</v>
      </c>
      <c r="T1258">
        <v>1.0598595963558628</v>
      </c>
      <c r="U1258">
        <v>3.6843766931191901E-2</v>
      </c>
      <c r="V1258">
        <v>0.24450262356842387</v>
      </c>
      <c r="W1258">
        <v>0.11668647399850667</v>
      </c>
      <c r="X1258">
        <v>1.9684971662740035E-2</v>
      </c>
      <c r="Y1258">
        <v>5.4509862505732918E-3</v>
      </c>
    </row>
    <row r="1259" spans="1:25" x14ac:dyDescent="0.25">
      <c r="A1259" s="881"/>
      <c r="B1259" s="1131">
        <v>1009</v>
      </c>
      <c r="C1259" s="885">
        <v>1.0130067349521192</v>
      </c>
      <c r="D1259" s="885">
        <v>0.98948879183282512</v>
      </c>
      <c r="E1259" s="885">
        <v>1.0060775270749065</v>
      </c>
      <c r="F1259" s="885">
        <v>0.96903375176271045</v>
      </c>
      <c r="G1259" s="885">
        <v>1.0085646751008575</v>
      </c>
      <c r="H1259" s="885">
        <v>1.0342314818816543</v>
      </c>
      <c r="I1259" s="885">
        <v>0.96098030737323126</v>
      </c>
      <c r="K1259">
        <v>1.9411996035228889</v>
      </c>
      <c r="L1259">
        <v>0</v>
      </c>
      <c r="M1259">
        <v>1.9791096951731865E-3</v>
      </c>
      <c r="N1259">
        <v>0.20324753197383616</v>
      </c>
      <c r="O1259">
        <v>2.4956256129614305E-2</v>
      </c>
      <c r="P1259">
        <v>2.111838674672098E-2</v>
      </c>
      <c r="Q1259">
        <v>2.9475698551048725E-3</v>
      </c>
      <c r="R1259">
        <v>1.9676952017143351E-3</v>
      </c>
      <c r="S1259">
        <v>0.1995183984613684</v>
      </c>
      <c r="T1259">
        <v>1.0578147818091235</v>
      </c>
      <c r="U1259">
        <v>3.6841127816076055E-2</v>
      </c>
      <c r="V1259">
        <v>0.24729553450654321</v>
      </c>
      <c r="W1259">
        <v>0.12098710629427754</v>
      </c>
      <c r="X1259">
        <v>2.1128906735164196E-2</v>
      </c>
      <c r="Y1259">
        <v>5.355417688517502E-3</v>
      </c>
    </row>
    <row r="1260" spans="1:25" x14ac:dyDescent="0.25">
      <c r="A1260" s="881"/>
      <c r="B1260" s="1131">
        <v>1010</v>
      </c>
      <c r="C1260" s="885">
        <v>0.9795831968114137</v>
      </c>
      <c r="D1260" s="885">
        <v>0.99552839180267971</v>
      </c>
      <c r="E1260" s="885">
        <v>1.0149974696048183</v>
      </c>
      <c r="F1260" s="885">
        <v>1.0048630376691037</v>
      </c>
      <c r="G1260" s="885">
        <v>0.99697566364997647</v>
      </c>
      <c r="H1260" s="885">
        <v>1.012504803661525</v>
      </c>
      <c r="I1260" s="885">
        <v>1.0225269436093609</v>
      </c>
      <c r="K1260">
        <v>1.9700631799583876</v>
      </c>
      <c r="L1260">
        <v>0</v>
      </c>
      <c r="M1260">
        <v>1.9603809077772187E-3</v>
      </c>
      <c r="N1260">
        <v>0.2069585643161351</v>
      </c>
      <c r="O1260">
        <v>2.5730067648926807E-2</v>
      </c>
      <c r="P1260">
        <v>2.1555804425576818E-2</v>
      </c>
      <c r="Q1260">
        <v>3.067480277624672E-3</v>
      </c>
      <c r="R1260">
        <v>1.9488269270411119E-3</v>
      </c>
      <c r="S1260">
        <v>0.21662617281531674</v>
      </c>
      <c r="T1260">
        <v>1.0569990849258291</v>
      </c>
      <c r="U1260">
        <v>3.8098153094495879E-2</v>
      </c>
      <c r="V1260">
        <v>0.25131757688246703</v>
      </c>
      <c r="W1260">
        <v>0.12245201631964253</v>
      </c>
      <c r="X1260">
        <v>2.1965748768325598E-2</v>
      </c>
      <c r="Y1260">
        <v>5.3040644647820642E-3</v>
      </c>
    </row>
    <row r="1261" spans="1:25" x14ac:dyDescent="0.25">
      <c r="A1261" s="881"/>
      <c r="B1261" s="1131">
        <v>1011</v>
      </c>
      <c r="C1261" s="885">
        <v>0.99697092473925486</v>
      </c>
      <c r="D1261" s="885">
        <v>0.98377672984879638</v>
      </c>
      <c r="E1261" s="885">
        <v>0.99144690112663103</v>
      </c>
      <c r="F1261" s="885">
        <v>1.0456683875368435</v>
      </c>
      <c r="G1261" s="885">
        <v>0.97108483402297674</v>
      </c>
      <c r="H1261" s="885">
        <v>1.0130352027997194</v>
      </c>
      <c r="I1261" s="885">
        <v>0.98409213101856263</v>
      </c>
      <c r="K1261">
        <v>1.9483771606425144</v>
      </c>
      <c r="L1261">
        <v>0</v>
      </c>
      <c r="M1261">
        <v>2.0371867150890213E-3</v>
      </c>
      <c r="N1261">
        <v>0.19987789011243173</v>
      </c>
      <c r="O1261">
        <v>2.5430574334466768E-2</v>
      </c>
      <c r="P1261">
        <v>2.1043855025819687E-2</v>
      </c>
      <c r="Q1261">
        <v>2.9585111737417602E-3</v>
      </c>
      <c r="R1261">
        <v>2.0251962627801942E-3</v>
      </c>
      <c r="S1261">
        <v>0.20602294745806346</v>
      </c>
      <c r="T1261">
        <v>1.0591594167395588</v>
      </c>
      <c r="U1261">
        <v>3.7433700095795185E-2</v>
      </c>
      <c r="V1261">
        <v>0.25028858404192472</v>
      </c>
      <c r="W1261">
        <v>0.12017939650116555</v>
      </c>
      <c r="X1261">
        <v>2.0482358990336371E-2</v>
      </c>
      <c r="Y1261">
        <v>5.5119166215190848E-3</v>
      </c>
    </row>
    <row r="1262" spans="1:25" x14ac:dyDescent="0.25">
      <c r="A1262" s="881"/>
      <c r="B1262" s="1131">
        <v>1012</v>
      </c>
      <c r="C1262" s="885">
        <v>0.98526540301014798</v>
      </c>
      <c r="D1262" s="885">
        <v>1.0091895574825476</v>
      </c>
      <c r="E1262" s="885">
        <v>1.0132049329979569</v>
      </c>
      <c r="F1262" s="885">
        <v>0.9923847641345811</v>
      </c>
      <c r="G1262" s="885">
        <v>0.98032743428984936</v>
      </c>
      <c r="H1262" s="885">
        <v>1.0050206318311095</v>
      </c>
      <c r="I1262" s="885">
        <v>0.9922370003937927</v>
      </c>
      <c r="K1262">
        <v>1.9497677420341237</v>
      </c>
      <c r="L1262">
        <v>0</v>
      </c>
      <c r="M1262">
        <v>1.9289587103602729E-3</v>
      </c>
      <c r="N1262">
        <v>0.20249989835182264</v>
      </c>
      <c r="O1262">
        <v>2.540973059660313E-2</v>
      </c>
      <c r="P1262">
        <v>2.1357838573961209E-2</v>
      </c>
      <c r="Q1262">
        <v>3.0267507973000987E-3</v>
      </c>
      <c r="R1262">
        <v>1.9174944520396172E-3</v>
      </c>
      <c r="S1262">
        <v>0.20693376779588343</v>
      </c>
      <c r="T1262">
        <v>1.057162756615057</v>
      </c>
      <c r="U1262">
        <v>3.7878434061418595E-2</v>
      </c>
      <c r="V1262">
        <v>0.24876679859892073</v>
      </c>
      <c r="W1262">
        <v>0.1199595456809866</v>
      </c>
      <c r="X1262">
        <v>2.1564897423914053E-2</v>
      </c>
      <c r="Y1262">
        <v>5.218787796575604E-3</v>
      </c>
    </row>
    <row r="1263" spans="1:25" x14ac:dyDescent="0.25">
      <c r="A1263" s="881"/>
      <c r="B1263" s="1131">
        <v>1013</v>
      </c>
      <c r="C1263" s="885">
        <v>0.9725751997907478</v>
      </c>
      <c r="D1263" s="885">
        <v>1.0140825912832878</v>
      </c>
      <c r="E1263" s="885">
        <v>0.99708029325183112</v>
      </c>
      <c r="F1263" s="885">
        <v>1.0365838983787732</v>
      </c>
      <c r="G1263" s="885">
        <v>0.96400578818038507</v>
      </c>
      <c r="H1263" s="885">
        <v>1.0258349051649349</v>
      </c>
      <c r="I1263" s="885">
        <v>0.99262440113743633</v>
      </c>
      <c r="K1263">
        <v>1.963603951084296</v>
      </c>
      <c r="L1263">
        <v>0</v>
      </c>
      <c r="M1263">
        <v>2.058625756343926E-3</v>
      </c>
      <c r="N1263">
        <v>0.20556671057042802</v>
      </c>
      <c r="O1263">
        <v>2.5679821031049026E-2</v>
      </c>
      <c r="P1263">
        <v>2.1207966009852058E-2</v>
      </c>
      <c r="Q1263">
        <v>3.0108917014357501E-3</v>
      </c>
      <c r="R1263">
        <v>2.0466351054495941E-3</v>
      </c>
      <c r="S1263">
        <v>0.21138626921477688</v>
      </c>
      <c r="T1263">
        <v>1.0586406902013612</v>
      </c>
      <c r="U1263">
        <v>3.8372673505294448E-2</v>
      </c>
      <c r="V1263">
        <v>0.25001165460022851</v>
      </c>
      <c r="W1263">
        <v>0.12312246244583787</v>
      </c>
      <c r="X1263">
        <v>2.1046536370972365E-2</v>
      </c>
      <c r="Y1263">
        <v>5.5702660839526061E-3</v>
      </c>
    </row>
    <row r="1264" spans="1:25" x14ac:dyDescent="0.25">
      <c r="A1264" s="881"/>
      <c r="B1264" s="1131">
        <v>1014</v>
      </c>
      <c r="C1264" s="885">
        <v>1.0298065126634564</v>
      </c>
      <c r="D1264" s="885">
        <v>1.0187932565862132</v>
      </c>
      <c r="E1264" s="885">
        <v>0.99839756706264315</v>
      </c>
      <c r="F1264" s="885">
        <v>1.0135532914313135</v>
      </c>
      <c r="G1264" s="885">
        <v>0.99828893790817763</v>
      </c>
      <c r="H1264" s="885">
        <v>0.95585869069753804</v>
      </c>
      <c r="I1264" s="885">
        <v>1.008056474826323</v>
      </c>
      <c r="K1264">
        <v>1.8928692666620186</v>
      </c>
      <c r="L1264">
        <v>0</v>
      </c>
      <c r="M1264">
        <v>1.8024516181132234E-3</v>
      </c>
      <c r="N1264">
        <v>0.1806474919943567</v>
      </c>
      <c r="O1264">
        <v>2.4197221652181362E-2</v>
      </c>
      <c r="P1264">
        <v>2.086462531111332E-2</v>
      </c>
      <c r="Q1264">
        <v>2.8417359365626371E-3</v>
      </c>
      <c r="R1264">
        <v>1.7911809093911545E-3</v>
      </c>
      <c r="S1264">
        <v>0.19544342614215368</v>
      </c>
      <c r="T1264">
        <v>1.0585195729163632</v>
      </c>
      <c r="U1264">
        <v>3.6240119034004682E-2</v>
      </c>
      <c r="V1264">
        <v>0.24148771848703998</v>
      </c>
      <c r="W1264">
        <v>0.10809967300873347</v>
      </c>
      <c r="X1264">
        <v>1.9663948915494823E-2</v>
      </c>
      <c r="Y1264">
        <v>4.8750039727346308E-3</v>
      </c>
    </row>
    <row r="1265" spans="1:25" x14ac:dyDescent="0.25">
      <c r="A1265" s="881"/>
      <c r="B1265" s="1131">
        <v>1015</v>
      </c>
      <c r="C1265" s="885">
        <v>1.0291364650551811</v>
      </c>
      <c r="D1265" s="885">
        <v>1.0120560366125784</v>
      </c>
      <c r="E1265" s="885">
        <v>0.9746616114994836</v>
      </c>
      <c r="F1265" s="885">
        <v>1.0228450968071998</v>
      </c>
      <c r="G1265" s="885">
        <v>0.99112181912975927</v>
      </c>
      <c r="H1265" s="885">
        <v>1.0350609067494769</v>
      </c>
      <c r="I1265" s="885">
        <v>1.0023710657156455</v>
      </c>
      <c r="K1265">
        <v>1.9230630534300837</v>
      </c>
      <c r="L1265">
        <v>0</v>
      </c>
      <c r="M1265">
        <v>2.0596984290381006E-3</v>
      </c>
      <c r="N1265">
        <v>0.19181367434284932</v>
      </c>
      <c r="O1265">
        <v>2.429245905907422E-2</v>
      </c>
      <c r="P1265">
        <v>2.0633981246580793E-2</v>
      </c>
      <c r="Q1265">
        <v>2.7838805380046537E-3</v>
      </c>
      <c r="R1265">
        <v>2.0478101031173781E-3</v>
      </c>
      <c r="S1265">
        <v>0.20281922223839924</v>
      </c>
      <c r="T1265">
        <v>1.0607123275821506</v>
      </c>
      <c r="U1265">
        <v>3.6263714160508193E-2</v>
      </c>
      <c r="V1265">
        <v>0.24236391955834338</v>
      </c>
      <c r="W1265">
        <v>0.11667890082982897</v>
      </c>
      <c r="X1265">
        <v>1.9139398159996983E-2</v>
      </c>
      <c r="Y1265">
        <v>5.5734640402664379E-3</v>
      </c>
    </row>
    <row r="1266" spans="1:25" x14ac:dyDescent="0.25">
      <c r="A1266" s="881"/>
      <c r="B1266" s="1131">
        <v>1016</v>
      </c>
      <c r="C1266" s="885">
        <v>1.006119301695698</v>
      </c>
      <c r="D1266" s="885">
        <v>0.96254529685353796</v>
      </c>
      <c r="E1266" s="885">
        <v>1.0246155828173782</v>
      </c>
      <c r="F1266" s="885">
        <v>0.98865641536093962</v>
      </c>
      <c r="G1266" s="885">
        <v>0.99459558965924832</v>
      </c>
      <c r="H1266" s="885">
        <v>1.0165671000558374</v>
      </c>
      <c r="I1266" s="885">
        <v>1.0341203663911402</v>
      </c>
      <c r="K1266">
        <v>1.9696048394583325</v>
      </c>
      <c r="L1266">
        <v>0</v>
      </c>
      <c r="M1266">
        <v>1.9094409288658524E-3</v>
      </c>
      <c r="N1266">
        <v>0.20770256307869908</v>
      </c>
      <c r="O1266">
        <v>2.5474000485407284E-2</v>
      </c>
      <c r="P1266">
        <v>2.1694492531063477E-2</v>
      </c>
      <c r="Q1266">
        <v>3.0588730950418205E-3</v>
      </c>
      <c r="R1266">
        <v>1.8982585306120134E-3</v>
      </c>
      <c r="S1266">
        <v>0.21707164916005744</v>
      </c>
      <c r="T1266">
        <v>1.0561230253796325</v>
      </c>
      <c r="U1266">
        <v>3.7093325352190155E-2</v>
      </c>
      <c r="V1266">
        <v>0.25175489393648021</v>
      </c>
      <c r="W1266">
        <v>0.122097113252929</v>
      </c>
      <c r="X1266">
        <v>2.2379651625515688E-2</v>
      </c>
      <c r="Y1266">
        <v>5.166433959569461E-3</v>
      </c>
    </row>
    <row r="1267" spans="1:25" x14ac:dyDescent="0.25">
      <c r="A1267" s="881"/>
      <c r="B1267" s="1131">
        <v>1017</v>
      </c>
      <c r="C1267" s="885">
        <v>1.0299990227740605</v>
      </c>
      <c r="D1267" s="885">
        <v>0.99574423717210592</v>
      </c>
      <c r="E1267" s="885">
        <v>0.99889984514162578</v>
      </c>
      <c r="F1267" s="885">
        <v>1.0020663309890088</v>
      </c>
      <c r="G1267" s="885">
        <v>0.97943023445399524</v>
      </c>
      <c r="H1267" s="885">
        <v>1.0023667982867392</v>
      </c>
      <c r="I1267" s="885">
        <v>1.0158633093171601</v>
      </c>
      <c r="K1267">
        <v>1.9227009641493169</v>
      </c>
      <c r="L1267">
        <v>0</v>
      </c>
      <c r="M1267">
        <v>1.9092662423591655E-3</v>
      </c>
      <c r="N1267">
        <v>0.19170984650380277</v>
      </c>
      <c r="O1267">
        <v>2.4468019050444961E-2</v>
      </c>
      <c r="P1267">
        <v>2.1020680745825741E-2</v>
      </c>
      <c r="Q1267">
        <v>2.8704225506002504E-3</v>
      </c>
      <c r="R1267">
        <v>1.897899536417956E-3</v>
      </c>
      <c r="S1267">
        <v>0.20364584703096389</v>
      </c>
      <c r="T1267">
        <v>1.0584734085448331</v>
      </c>
      <c r="U1267">
        <v>3.6233345639885513E-2</v>
      </c>
      <c r="V1267">
        <v>0.24420763961677441</v>
      </c>
      <c r="W1267">
        <v>0.11467994192646423</v>
      </c>
      <c r="X1267">
        <v>2.0237722349947536E-2</v>
      </c>
      <c r="Y1267">
        <v>5.165456895715642E-3</v>
      </c>
    </row>
    <row r="1268" spans="1:25" x14ac:dyDescent="0.25">
      <c r="A1268" s="881"/>
      <c r="B1268" s="1131">
        <v>1018</v>
      </c>
      <c r="C1268" s="885">
        <v>1.0043913581667478</v>
      </c>
      <c r="D1268" s="885">
        <v>1.030413921149971</v>
      </c>
      <c r="E1268" s="885">
        <v>0.99354196676277395</v>
      </c>
      <c r="F1268" s="885">
        <v>1.0034829832066647</v>
      </c>
      <c r="G1268" s="885">
        <v>1.0012080466653759</v>
      </c>
      <c r="H1268" s="885">
        <v>1.0254763317362443</v>
      </c>
      <c r="I1268" s="885">
        <v>1.0067205927504035</v>
      </c>
      <c r="K1268">
        <v>1.9347080878053968</v>
      </c>
      <c r="L1268">
        <v>0</v>
      </c>
      <c r="M1268">
        <v>1.9918580747082973E-3</v>
      </c>
      <c r="N1268">
        <v>0.19671961380643155</v>
      </c>
      <c r="O1268">
        <v>2.4671080463678222E-2</v>
      </c>
      <c r="P1268">
        <v>2.0979204427301768E-2</v>
      </c>
      <c r="Q1268">
        <v>2.885504035463303E-3</v>
      </c>
      <c r="R1268">
        <v>1.9802395298282212E-3</v>
      </c>
      <c r="S1268">
        <v>0.20604753014760885</v>
      </c>
      <c r="T1268">
        <v>1.058966357477785</v>
      </c>
      <c r="U1268">
        <v>3.7157140289453855E-2</v>
      </c>
      <c r="V1268">
        <v>0.24353276816437019</v>
      </c>
      <c r="W1268">
        <v>0.11811011072200853</v>
      </c>
      <c r="X1268">
        <v>2.0260837601765672E-2</v>
      </c>
      <c r="Y1268">
        <v>5.3895592144068511E-3</v>
      </c>
    </row>
    <row r="1269" spans="1:25" x14ac:dyDescent="0.25">
      <c r="A1269" s="881"/>
      <c r="B1269" s="1131">
        <v>1019</v>
      </c>
      <c r="C1269" s="885">
        <v>0.98011057378510213</v>
      </c>
      <c r="D1269" s="885">
        <v>0.96636695383537063</v>
      </c>
      <c r="E1269" s="885">
        <v>0.9841885055116234</v>
      </c>
      <c r="F1269" s="885">
        <v>0.97560489612842005</v>
      </c>
      <c r="G1269" s="885">
        <v>0.97412429917297616</v>
      </c>
      <c r="H1269" s="885">
        <v>0.98841359506663862</v>
      </c>
      <c r="I1269" s="885">
        <v>1.0060839236809083</v>
      </c>
      <c r="K1269">
        <v>1.9612090996341924</v>
      </c>
      <c r="L1269">
        <v>0</v>
      </c>
      <c r="M1269">
        <v>2.0712232114125499E-3</v>
      </c>
      <c r="N1269">
        <v>0.1986479600106042</v>
      </c>
      <c r="O1269">
        <v>2.6098494107009533E-2</v>
      </c>
      <c r="P1269">
        <v>2.1110952519314767E-2</v>
      </c>
      <c r="Q1269">
        <v>3.0102032434602198E-3</v>
      </c>
      <c r="R1269">
        <v>2.0587443739923891E-3</v>
      </c>
      <c r="S1269">
        <v>0.21341969612910811</v>
      </c>
      <c r="T1269">
        <v>1.0598295937736504</v>
      </c>
      <c r="U1269">
        <v>3.8077653276190199E-2</v>
      </c>
      <c r="V1269">
        <v>0.25507503442635071</v>
      </c>
      <c r="W1269">
        <v>0.12003965869952286</v>
      </c>
      <c r="X1269">
        <v>2.0309108765291409E-2</v>
      </c>
      <c r="Y1269">
        <v>5.6032235211067915E-3</v>
      </c>
    </row>
    <row r="1270" spans="1:25" x14ac:dyDescent="0.25">
      <c r="A1270" s="881"/>
      <c r="B1270" s="1131">
        <v>1020</v>
      </c>
      <c r="C1270" s="885">
        <v>1.0093261274016099</v>
      </c>
      <c r="D1270" s="885">
        <v>1.0103558122115115</v>
      </c>
      <c r="E1270" s="885">
        <v>1.023059837074739</v>
      </c>
      <c r="F1270" s="885">
        <v>0.99559663074863858</v>
      </c>
      <c r="G1270" s="885">
        <v>1.0023747113348329</v>
      </c>
      <c r="H1270" s="885">
        <v>0.97869968904183424</v>
      </c>
      <c r="I1270" s="885">
        <v>0.98670329850005745</v>
      </c>
      <c r="K1270">
        <v>1.9205896283609853</v>
      </c>
      <c r="L1270">
        <v>0</v>
      </c>
      <c r="M1270">
        <v>1.7948706265279292E-3</v>
      </c>
      <c r="N1270">
        <v>0.19425064008179221</v>
      </c>
      <c r="O1270">
        <v>2.478984580414936E-2</v>
      </c>
      <c r="P1270">
        <v>2.1317421286299588E-2</v>
      </c>
      <c r="Q1270">
        <v>2.9822531100002492E-3</v>
      </c>
      <c r="R1270">
        <v>1.7839155272256952E-3</v>
      </c>
      <c r="S1270">
        <v>0.19817715234364411</v>
      </c>
      <c r="T1270">
        <v>1.0562644842459525</v>
      </c>
      <c r="U1270">
        <v>3.6975472632412215E-2</v>
      </c>
      <c r="V1270">
        <v>0.24523854307149701</v>
      </c>
      <c r="W1270">
        <v>0.11430907258165483</v>
      </c>
      <c r="X1270">
        <v>2.1440468305373366E-2</v>
      </c>
      <c r="Y1270">
        <v>4.8552299975128379E-3</v>
      </c>
    </row>
    <row r="1271" spans="1:25" x14ac:dyDescent="0.25">
      <c r="A1271" s="881"/>
      <c r="B1271" s="1131">
        <v>1021</v>
      </c>
      <c r="C1271" s="885">
        <v>1.0226313043843289</v>
      </c>
      <c r="D1271" s="885">
        <v>1.0083945592381267</v>
      </c>
      <c r="E1271" s="885">
        <v>0.970631398205547</v>
      </c>
      <c r="F1271" s="885">
        <v>0.99150653856969662</v>
      </c>
      <c r="G1271" s="885">
        <v>1.0256269658335497</v>
      </c>
      <c r="H1271" s="885">
        <v>1.0168393133495315</v>
      </c>
      <c r="I1271" s="885">
        <v>1.0266042777058884</v>
      </c>
      <c r="K1271">
        <v>1.9258119451032298</v>
      </c>
      <c r="L1271">
        <v>0</v>
      </c>
      <c r="M1271">
        <v>2.057270869556386E-3</v>
      </c>
      <c r="N1271">
        <v>0.18917617097433559</v>
      </c>
      <c r="O1271">
        <v>2.4490825214940865E-2</v>
      </c>
      <c r="P1271">
        <v>2.0659072687281396E-2</v>
      </c>
      <c r="Q1271">
        <v>2.7943898307028858E-3</v>
      </c>
      <c r="R1271">
        <v>2.0451867912248461E-3</v>
      </c>
      <c r="S1271">
        <v>0.20754842186294717</v>
      </c>
      <c r="T1271">
        <v>1.0610868137866787</v>
      </c>
      <c r="U1271">
        <v>3.6494394842905245E-2</v>
      </c>
      <c r="V1271">
        <v>0.24366816385836035</v>
      </c>
      <c r="W1271">
        <v>0.11539845775522098</v>
      </c>
      <c r="X1271">
        <v>1.8940994118116523E-2</v>
      </c>
      <c r="Y1271">
        <v>5.5663242500694991E-3</v>
      </c>
    </row>
    <row r="1272" spans="1:25" x14ac:dyDescent="0.25">
      <c r="A1272" s="881"/>
      <c r="B1272" s="1131">
        <v>1022</v>
      </c>
      <c r="C1272" s="885">
        <v>0.98275290478378596</v>
      </c>
      <c r="D1272" s="885">
        <v>1.0045342070629177</v>
      </c>
      <c r="E1272" s="885">
        <v>1.0006281091413554</v>
      </c>
      <c r="F1272" s="885">
        <v>1.0227140858388299</v>
      </c>
      <c r="G1272" s="885">
        <v>0.9789282388289684</v>
      </c>
      <c r="H1272" s="885">
        <v>0.98265573708669052</v>
      </c>
      <c r="I1272" s="885">
        <v>1.0367448668261205</v>
      </c>
      <c r="K1272">
        <v>1.9505630329663546</v>
      </c>
      <c r="L1272">
        <v>0</v>
      </c>
      <c r="M1272">
        <v>1.9461009367384252E-3</v>
      </c>
      <c r="N1272">
        <v>0.19643761758774686</v>
      </c>
      <c r="O1272">
        <v>2.5533007427665639E-2</v>
      </c>
      <c r="P1272">
        <v>2.1297557125995768E-2</v>
      </c>
      <c r="Q1272">
        <v>3.0024074057141514E-3</v>
      </c>
      <c r="R1272">
        <v>1.9342753349789513E-3</v>
      </c>
      <c r="S1272">
        <v>0.21484667714230807</v>
      </c>
      <c r="T1272">
        <v>1.0583146388979425</v>
      </c>
      <c r="U1272">
        <v>3.7975273763375679E-2</v>
      </c>
      <c r="V1272">
        <v>0.24971384910317482</v>
      </c>
      <c r="W1272">
        <v>0.11736917287246837</v>
      </c>
      <c r="X1272">
        <v>2.0820197413597981E-2</v>
      </c>
      <c r="Y1272">
        <v>5.264459828119899E-3</v>
      </c>
    </row>
    <row r="1273" spans="1:25" x14ac:dyDescent="0.25">
      <c r="A1273" s="881"/>
      <c r="B1273" s="1131">
        <v>1023</v>
      </c>
      <c r="C1273" s="885">
        <v>1.0108816432467091</v>
      </c>
      <c r="D1273" s="885">
        <v>0.98354155817050215</v>
      </c>
      <c r="E1273" s="885">
        <v>1.0351461141708296</v>
      </c>
      <c r="F1273" s="885">
        <v>1.0037743090041484</v>
      </c>
      <c r="G1273" s="885">
        <v>1.0347319090556277</v>
      </c>
      <c r="H1273" s="885">
        <v>1.0481334910060176</v>
      </c>
      <c r="I1273" s="885">
        <v>1.0045125813595945</v>
      </c>
      <c r="K1273">
        <v>1.9668757945278492</v>
      </c>
      <c r="L1273">
        <v>0</v>
      </c>
      <c r="M1273">
        <v>1.8958701815277464E-3</v>
      </c>
      <c r="N1273">
        <v>0.21311513471220428</v>
      </c>
      <c r="O1273">
        <v>2.5083599837626869E-2</v>
      </c>
      <c r="P1273">
        <v>2.1712359387957056E-2</v>
      </c>
      <c r="Q1273">
        <v>3.0481568131346679E-3</v>
      </c>
      <c r="R1273">
        <v>1.8850853337763183E-3</v>
      </c>
      <c r="S1273">
        <v>0.21098563643360127</v>
      </c>
      <c r="T1273">
        <v>1.0551680093836693</v>
      </c>
      <c r="U1273">
        <v>3.6918575829562983E-2</v>
      </c>
      <c r="V1273">
        <v>0.24834514584589407</v>
      </c>
      <c r="W1273">
        <v>0.12439785625647562</v>
      </c>
      <c r="X1273">
        <v>2.2981524015149194E-2</v>
      </c>
      <c r="Y1273">
        <v>5.1305808603258687E-3</v>
      </c>
    </row>
    <row r="1274" spans="1:25" x14ac:dyDescent="0.25">
      <c r="A1274" s="881"/>
      <c r="B1274" s="1131">
        <v>1024</v>
      </c>
      <c r="C1274" s="885">
        <v>1.0211568439988012</v>
      </c>
      <c r="D1274" s="885">
        <v>1.023313183234078</v>
      </c>
      <c r="E1274" s="885">
        <v>1.025875095753717</v>
      </c>
      <c r="F1274" s="885">
        <v>1.0234116662231416</v>
      </c>
      <c r="G1274" s="885">
        <v>0.98810725438344749</v>
      </c>
      <c r="H1274" s="885">
        <v>0.96840569273070842</v>
      </c>
      <c r="I1274" s="885">
        <v>1.0284657165306736</v>
      </c>
      <c r="K1274">
        <v>1.9116677751925244</v>
      </c>
      <c r="L1274">
        <v>0</v>
      </c>
      <c r="M1274">
        <v>1.7340630106395289E-3</v>
      </c>
      <c r="N1274">
        <v>0.18930426138120685</v>
      </c>
      <c r="O1274">
        <v>2.4348924983892017E-2</v>
      </c>
      <c r="P1274">
        <v>2.1360551273063213E-2</v>
      </c>
      <c r="Q1274">
        <v>2.9399906572259663E-3</v>
      </c>
      <c r="R1274">
        <v>1.7233571682317619E-3</v>
      </c>
      <c r="S1274">
        <v>0.20194748714299232</v>
      </c>
      <c r="T1274">
        <v>1.0560085713529499</v>
      </c>
      <c r="U1274">
        <v>3.6547089529138675E-2</v>
      </c>
      <c r="V1274">
        <v>0.24209926214494601</v>
      </c>
      <c r="W1274">
        <v>0.11118755188873852</v>
      </c>
      <c r="X1274">
        <v>2.1244380573389149E-2</v>
      </c>
      <c r="Y1274">
        <v>4.6904101073890299E-3</v>
      </c>
    </row>
    <row r="1275" spans="1:25" x14ac:dyDescent="0.25">
      <c r="A1275" s="881"/>
      <c r="B1275" s="1131">
        <v>1025</v>
      </c>
      <c r="C1275" s="885">
        <v>1.0222199278143027</v>
      </c>
      <c r="D1275" s="885">
        <v>0.9812316705946138</v>
      </c>
      <c r="E1275" s="885">
        <v>0.99711826099389844</v>
      </c>
      <c r="F1275" s="885">
        <v>1.0338260691730177</v>
      </c>
      <c r="G1275" s="885">
        <v>0.9859459338852401</v>
      </c>
      <c r="H1275" s="885">
        <v>0.97277495873737407</v>
      </c>
      <c r="I1275" s="885">
        <v>0.9754883504044739</v>
      </c>
      <c r="K1275">
        <v>1.9128852411044168</v>
      </c>
      <c r="L1275">
        <v>0</v>
      </c>
      <c r="M1275">
        <v>1.8876965992555826E-3</v>
      </c>
      <c r="N1275">
        <v>0.18846304610367193</v>
      </c>
      <c r="O1275">
        <v>2.48343352854473E-2</v>
      </c>
      <c r="P1275">
        <v>2.0926528096471671E-2</v>
      </c>
      <c r="Q1275">
        <v>2.9051877456625118E-3</v>
      </c>
      <c r="R1275">
        <v>1.8761282733018797E-3</v>
      </c>
      <c r="S1275">
        <v>0.19549042414548673</v>
      </c>
      <c r="T1275">
        <v>1.0586371982960336</v>
      </c>
      <c r="U1275">
        <v>3.6509081446606771E-2</v>
      </c>
      <c r="V1275">
        <v>0.24706463875424148</v>
      </c>
      <c r="W1275">
        <v>0.11287542723986978</v>
      </c>
      <c r="X1275">
        <v>2.0084739622469993E-2</v>
      </c>
      <c r="Y1275">
        <v>5.1062026944086389E-3</v>
      </c>
    </row>
    <row r="1276" spans="1:25" x14ac:dyDescent="0.25">
      <c r="A1276" s="881"/>
      <c r="B1276" s="1131">
        <v>1026</v>
      </c>
      <c r="C1276" s="885">
        <v>1.000351544939301</v>
      </c>
      <c r="D1276" s="885">
        <v>0.99923984738768779</v>
      </c>
      <c r="E1276" s="885">
        <v>0.99548519341397923</v>
      </c>
      <c r="F1276" s="885">
        <v>0.99436546614221111</v>
      </c>
      <c r="G1276" s="885">
        <v>1.0036208729738267</v>
      </c>
      <c r="H1276" s="885">
        <v>0.99619036870274436</v>
      </c>
      <c r="I1276" s="885">
        <v>1.0351266571620934</v>
      </c>
      <c r="K1276">
        <v>1.943774776315319</v>
      </c>
      <c r="L1276">
        <v>0</v>
      </c>
      <c r="M1276">
        <v>1.9644230004556987E-3</v>
      </c>
      <c r="N1276">
        <v>0.19515583735936942</v>
      </c>
      <c r="O1276">
        <v>2.5149500534107885E-2</v>
      </c>
      <c r="P1276">
        <v>2.1158221860197435E-2</v>
      </c>
      <c r="Q1276">
        <v>2.9409635136923495E-3</v>
      </c>
      <c r="R1276">
        <v>1.952652550779248E-3</v>
      </c>
      <c r="S1276">
        <v>0.21266676945159219</v>
      </c>
      <c r="T1276">
        <v>1.0587874427425255</v>
      </c>
      <c r="U1276">
        <v>3.7307195445158661E-2</v>
      </c>
      <c r="V1276">
        <v>0.24785396695819348</v>
      </c>
      <c r="W1276">
        <v>0.11701493297347222</v>
      </c>
      <c r="X1276">
        <v>2.0437239375203708E-2</v>
      </c>
      <c r="Y1276">
        <v>5.314476551480745E-3</v>
      </c>
    </row>
    <row r="1277" spans="1:25" x14ac:dyDescent="0.25">
      <c r="A1277" s="881"/>
      <c r="B1277" s="1131">
        <v>1027</v>
      </c>
      <c r="C1277" s="885">
        <v>1.0301979886265824</v>
      </c>
      <c r="D1277" s="885">
        <v>0.97613134750246577</v>
      </c>
      <c r="E1277" s="885">
        <v>1.0050617994143711</v>
      </c>
      <c r="F1277" s="885">
        <v>1.014269305301543</v>
      </c>
      <c r="G1277" s="885">
        <v>0.97583789964389511</v>
      </c>
      <c r="H1277" s="885">
        <v>1.0081428686769001</v>
      </c>
      <c r="I1277" s="885">
        <v>0.97286749211464052</v>
      </c>
      <c r="K1277">
        <v>1.9252460553333408</v>
      </c>
      <c r="L1277">
        <v>0</v>
      </c>
      <c r="M1277">
        <v>1.9139117642097128E-3</v>
      </c>
      <c r="N1277">
        <v>0.19590375298872773</v>
      </c>
      <c r="O1277">
        <v>2.4705852608563977E-2</v>
      </c>
      <c r="P1277">
        <v>2.1056253021309854E-2</v>
      </c>
      <c r="Q1277">
        <v>2.9122446173678704E-3</v>
      </c>
      <c r="R1277">
        <v>1.9025983884702414E-3</v>
      </c>
      <c r="S1277">
        <v>0.19734044092549993</v>
      </c>
      <c r="T1277">
        <v>1.0579078633666852</v>
      </c>
      <c r="U1277">
        <v>3.6226347763181704E-2</v>
      </c>
      <c r="V1277">
        <v>0.24662201194957456</v>
      </c>
      <c r="W1277">
        <v>0.11669633858232005</v>
      </c>
      <c r="X1277">
        <v>2.0708017263823812E-2</v>
      </c>
      <c r="Y1277">
        <v>5.1782456220258004E-3</v>
      </c>
    </row>
    <row r="1278" spans="1:25" x14ac:dyDescent="0.25">
      <c r="A1278" s="881"/>
      <c r="B1278" s="1131">
        <v>1028</v>
      </c>
      <c r="C1278" s="885">
        <v>0.98050701064779544</v>
      </c>
      <c r="D1278" s="885">
        <v>1.0314741989715948</v>
      </c>
      <c r="E1278" s="885">
        <v>1.0246663777862928</v>
      </c>
      <c r="F1278" s="885">
        <v>1.0275589561968292</v>
      </c>
      <c r="G1278" s="885">
        <v>0.98645071129675699</v>
      </c>
      <c r="H1278" s="885">
        <v>1.024376607988907</v>
      </c>
      <c r="I1278" s="885">
        <v>1.007432567215313</v>
      </c>
      <c r="K1278">
        <v>1.9587851100371536</v>
      </c>
      <c r="L1278">
        <v>0</v>
      </c>
      <c r="M1278">
        <v>1.907738456885877E-3</v>
      </c>
      <c r="N1278">
        <v>0.20755359317604316</v>
      </c>
      <c r="O1278">
        <v>2.5259239604982872E-2</v>
      </c>
      <c r="P1278">
        <v>2.1554723977433781E-2</v>
      </c>
      <c r="Q1278">
        <v>3.0479210970945332E-3</v>
      </c>
      <c r="R1278">
        <v>1.8965978535897294E-3</v>
      </c>
      <c r="S1278">
        <v>0.21100398839407664</v>
      </c>
      <c r="T1278">
        <v>1.056118408355593</v>
      </c>
      <c r="U1278">
        <v>3.8062257786673367E-2</v>
      </c>
      <c r="V1278">
        <v>0.24674379981145503</v>
      </c>
      <c r="W1278">
        <v>0.12200537349585044</v>
      </c>
      <c r="X1278">
        <v>2.2285030797090023E-2</v>
      </c>
      <c r="Y1278">
        <v>5.1619141441568376E-3</v>
      </c>
    </row>
    <row r="1279" spans="1:25" x14ac:dyDescent="0.25">
      <c r="A1279" s="881"/>
      <c r="B1279" s="1131">
        <v>1029</v>
      </c>
      <c r="C1279" s="885">
        <v>0.96444627194299581</v>
      </c>
      <c r="D1279" s="885">
        <v>0.99797107178674238</v>
      </c>
      <c r="E1279" s="885">
        <v>0.97958990717680039</v>
      </c>
      <c r="F1279" s="885">
        <v>1.0349226830980842</v>
      </c>
      <c r="G1279" s="885">
        <v>0.99766114865093392</v>
      </c>
      <c r="H1279" s="885">
        <v>0.99077753257697587</v>
      </c>
      <c r="I1279" s="885">
        <v>1.0141895423782865</v>
      </c>
      <c r="K1279">
        <v>1.9622027150594163</v>
      </c>
      <c r="L1279">
        <v>0</v>
      </c>
      <c r="M1279">
        <v>2.0966494936522514E-3</v>
      </c>
      <c r="N1279">
        <v>0.19822650342884965</v>
      </c>
      <c r="O1279">
        <v>2.610220271223716E-2</v>
      </c>
      <c r="P1279">
        <v>2.1057464717165568E-2</v>
      </c>
      <c r="Q1279">
        <v>3.0033905539281992E-3</v>
      </c>
      <c r="R1279">
        <v>2.0840192477173617E-3</v>
      </c>
      <c r="S1279">
        <v>0.21567194206463619</v>
      </c>
      <c r="T1279">
        <v>1.0602552468784767</v>
      </c>
      <c r="U1279">
        <v>3.869610126205425E-2</v>
      </c>
      <c r="V1279">
        <v>0.25326911445672623</v>
      </c>
      <c r="W1279">
        <v>0.12016730665908375</v>
      </c>
      <c r="X1279">
        <v>2.0094059176667126E-2</v>
      </c>
      <c r="Y1279">
        <v>5.6720133955262854E-3</v>
      </c>
    </row>
    <row r="1280" spans="1:25" x14ac:dyDescent="0.25">
      <c r="A1280" s="881"/>
      <c r="B1280" s="1131">
        <v>1030</v>
      </c>
      <c r="C1280" s="885">
        <v>1.0263531584348378</v>
      </c>
      <c r="D1280" s="885">
        <v>0.99231109698994024</v>
      </c>
      <c r="E1280" s="885">
        <v>1.0099773699558257</v>
      </c>
      <c r="F1280" s="885">
        <v>0.99446077665066046</v>
      </c>
      <c r="G1280" s="885">
        <v>0.99046502622236499</v>
      </c>
      <c r="H1280" s="885">
        <v>1.0390180968009617</v>
      </c>
      <c r="I1280" s="885">
        <v>0.9739926187438922</v>
      </c>
      <c r="K1280">
        <v>1.9357902616778766</v>
      </c>
      <c r="L1280">
        <v>0</v>
      </c>
      <c r="M1280">
        <v>1.9436005094974832E-3</v>
      </c>
      <c r="N1280">
        <v>0.20204105320526186</v>
      </c>
      <c r="O1280">
        <v>2.4596985191012069E-2</v>
      </c>
      <c r="P1280">
        <v>2.1141822649648329E-2</v>
      </c>
      <c r="Q1280">
        <v>2.9170780030146714E-3</v>
      </c>
      <c r="R1280">
        <v>1.9324402451023036E-3</v>
      </c>
      <c r="S1280">
        <v>0.19979035904555659</v>
      </c>
      <c r="T1280">
        <v>1.0574577730400205</v>
      </c>
      <c r="U1280">
        <v>3.6362055588964541E-2</v>
      </c>
      <c r="V1280">
        <v>0.24511927320279145</v>
      </c>
      <c r="W1280">
        <v>0.11995021126730436</v>
      </c>
      <c r="X1280">
        <v>2.1165345430283384E-2</v>
      </c>
      <c r="Y1280">
        <v>5.2594653184128782E-3</v>
      </c>
    </row>
    <row r="1281" spans="1:25" x14ac:dyDescent="0.25">
      <c r="A1281" s="881"/>
      <c r="B1281" s="1131">
        <v>1031</v>
      </c>
      <c r="C1281" s="885">
        <v>0.99550930091460255</v>
      </c>
      <c r="D1281" s="885">
        <v>1.0258279070559484</v>
      </c>
      <c r="E1281" s="885">
        <v>1.0189755037694668</v>
      </c>
      <c r="F1281" s="885">
        <v>0.97506500004642538</v>
      </c>
      <c r="G1281" s="885">
        <v>0.99475702720815251</v>
      </c>
      <c r="H1281" s="885">
        <v>0.99942762554652453</v>
      </c>
      <c r="I1281" s="885">
        <v>1.0150778145689321</v>
      </c>
      <c r="K1281">
        <v>1.9388691289634086</v>
      </c>
      <c r="L1281">
        <v>0</v>
      </c>
      <c r="M1281">
        <v>1.8604264264447817E-3</v>
      </c>
      <c r="N1281">
        <v>0.19883116941072307</v>
      </c>
      <c r="O1281">
        <v>2.4946007868536395E-2</v>
      </c>
      <c r="P1281">
        <v>2.1394272059752539E-2</v>
      </c>
      <c r="Q1281">
        <v>2.9920289676251938E-3</v>
      </c>
      <c r="R1281">
        <v>1.8492950842549701E-3</v>
      </c>
      <c r="S1281">
        <v>0.2073856873763609</v>
      </c>
      <c r="T1281">
        <v>1.0566363097487033</v>
      </c>
      <c r="U1281">
        <v>3.7488660896115869E-2</v>
      </c>
      <c r="V1281">
        <v>0.24529852970458216</v>
      </c>
      <c r="W1281">
        <v>0.11732722217639707</v>
      </c>
      <c r="X1281">
        <v>2.1547200497420146E-2</v>
      </c>
      <c r="Y1281">
        <v>5.0331715993813426E-3</v>
      </c>
    </row>
    <row r="1282" spans="1:25" x14ac:dyDescent="0.25">
      <c r="A1282" s="881"/>
      <c r="B1282" s="1131">
        <v>1032</v>
      </c>
      <c r="C1282" s="885">
        <v>0.98612335461264211</v>
      </c>
      <c r="D1282" s="885">
        <v>0.99867244150236545</v>
      </c>
      <c r="E1282" s="885">
        <v>0.96747103534035628</v>
      </c>
      <c r="F1282" s="885">
        <v>0.98614706306796951</v>
      </c>
      <c r="G1282" s="885">
        <v>0.99574892722121555</v>
      </c>
      <c r="H1282" s="885">
        <v>0.98922786112935013</v>
      </c>
      <c r="I1282" s="885">
        <v>0.99305504794748545</v>
      </c>
      <c r="K1282">
        <v>1.9373592306070759</v>
      </c>
      <c r="L1282">
        <v>0</v>
      </c>
      <c r="M1282">
        <v>2.0993243156542784E-3</v>
      </c>
      <c r="N1282">
        <v>0.19111938047005339</v>
      </c>
      <c r="O1282">
        <v>2.5519542763060673E-2</v>
      </c>
      <c r="P1282">
        <v>2.0698235935645518E-2</v>
      </c>
      <c r="Q1282">
        <v>2.9004143105039759E-3</v>
      </c>
      <c r="R1282">
        <v>2.0866575283479231E-3</v>
      </c>
      <c r="S1282">
        <v>0.20631083939156247</v>
      </c>
      <c r="T1282">
        <v>1.0613809133966625</v>
      </c>
      <c r="U1282">
        <v>3.7845478891002052E-2</v>
      </c>
      <c r="V1282">
        <v>0.24996051796367474</v>
      </c>
      <c r="W1282">
        <v>0.11684174849495423</v>
      </c>
      <c r="X1282">
        <v>1.9115631851569056E-2</v>
      </c>
      <c r="Y1282">
        <v>5.679193925693697E-3</v>
      </c>
    </row>
    <row r="1283" spans="1:25" x14ac:dyDescent="0.25">
      <c r="A1283" s="881"/>
      <c r="B1283" s="1131">
        <v>1033</v>
      </c>
      <c r="C1283" s="885">
        <v>0.99772552507925383</v>
      </c>
      <c r="D1283" s="885">
        <v>0.99578130540465748</v>
      </c>
      <c r="E1283" s="885">
        <v>0.95846082851275061</v>
      </c>
      <c r="F1283" s="885">
        <v>0.9697570623936177</v>
      </c>
      <c r="G1283" s="885">
        <v>0.97453897671062761</v>
      </c>
      <c r="H1283" s="885">
        <v>0.97138975759661161</v>
      </c>
      <c r="I1283" s="885">
        <v>1.0084711134566582</v>
      </c>
      <c r="K1283">
        <v>1.9237245390858666</v>
      </c>
      <c r="L1283">
        <v>0</v>
      </c>
      <c r="M1283">
        <v>2.0792760134810497E-3</v>
      </c>
      <c r="N1283">
        <v>0.18402716525743318</v>
      </c>
      <c r="O1283">
        <v>2.5259022068390702E-2</v>
      </c>
      <c r="P1283">
        <v>2.0532469154344361E-2</v>
      </c>
      <c r="Q1283">
        <v>2.8438100571763401E-3</v>
      </c>
      <c r="R1283">
        <v>2.0665023770782011E-3</v>
      </c>
      <c r="S1283">
        <v>0.20552454702621956</v>
      </c>
      <c r="T1283">
        <v>1.0622215109431028</v>
      </c>
      <c r="U1283">
        <v>3.7405388218320193E-2</v>
      </c>
      <c r="V1283">
        <v>0.24865925438731987</v>
      </c>
      <c r="W1283">
        <v>0.11322002757350211</v>
      </c>
      <c r="X1283">
        <v>1.8419779788380011E-2</v>
      </c>
      <c r="Y1283">
        <v>5.6243382480813415E-3</v>
      </c>
    </row>
    <row r="1284" spans="1:25" x14ac:dyDescent="0.25">
      <c r="A1284" s="881"/>
      <c r="B1284" s="1131">
        <v>1034</v>
      </c>
      <c r="C1284" s="885">
        <v>1.0167882355933593</v>
      </c>
      <c r="D1284" s="885">
        <v>0.98412977245877542</v>
      </c>
      <c r="E1284" s="885">
        <v>0.9821480516860982</v>
      </c>
      <c r="F1284" s="885">
        <v>1.0056092328254456</v>
      </c>
      <c r="G1284" s="885">
        <v>0.97921496113285345</v>
      </c>
      <c r="H1284" s="885">
        <v>0.97421296400344048</v>
      </c>
      <c r="I1284" s="885">
        <v>1.0031713790675172</v>
      </c>
      <c r="K1284">
        <v>1.9190388786929204</v>
      </c>
      <c r="L1284">
        <v>0</v>
      </c>
      <c r="M1284">
        <v>1.9584932972327991E-3</v>
      </c>
      <c r="N1284">
        <v>0.1866281424549493</v>
      </c>
      <c r="O1284">
        <v>2.4930491685517694E-2</v>
      </c>
      <c r="P1284">
        <v>2.0805635907051617E-2</v>
      </c>
      <c r="Q1284">
        <v>2.8732250453819943E-3</v>
      </c>
      <c r="R1284">
        <v>1.9465063573354761E-3</v>
      </c>
      <c r="S1284">
        <v>0.20198297540553892</v>
      </c>
      <c r="T1284">
        <v>1.0600183599502657</v>
      </c>
      <c r="U1284">
        <v>3.6704113299597906E-2</v>
      </c>
      <c r="V1284">
        <v>0.24744560989118317</v>
      </c>
      <c r="W1284">
        <v>0.11293571522446599</v>
      </c>
      <c r="X1284">
        <v>1.9428848129845602E-2</v>
      </c>
      <c r="Y1284">
        <v>5.2977486390189208E-3</v>
      </c>
    </row>
    <row r="1285" spans="1:25" x14ac:dyDescent="0.25">
      <c r="A1285" s="881"/>
      <c r="B1285" s="1131">
        <v>1035</v>
      </c>
      <c r="C1285" s="885">
        <v>0.96914717769557779</v>
      </c>
      <c r="D1285" s="885">
        <v>1.0222769411433823</v>
      </c>
      <c r="E1285" s="885">
        <v>1.0228486079614418</v>
      </c>
      <c r="F1285" s="885">
        <v>0.9927723561216224</v>
      </c>
      <c r="G1285" s="885">
        <v>1.0282452579797716</v>
      </c>
      <c r="H1285" s="885">
        <v>1.009186630533804</v>
      </c>
      <c r="I1285" s="885">
        <v>0.98813562594336546</v>
      </c>
      <c r="K1285">
        <v>1.9602180036513073</v>
      </c>
      <c r="L1285">
        <v>0</v>
      </c>
      <c r="M1285">
        <v>1.9172421395312004E-3</v>
      </c>
      <c r="N1285">
        <v>0.20739574051200785</v>
      </c>
      <c r="O1285">
        <v>2.5668449191376626E-2</v>
      </c>
      <c r="P1285">
        <v>2.154095428126556E-2</v>
      </c>
      <c r="Q1285">
        <v>3.0898106134344657E-3</v>
      </c>
      <c r="R1285">
        <v>1.905884486572554E-3</v>
      </c>
      <c r="S1285">
        <v>0.20869797803117873</v>
      </c>
      <c r="T1285">
        <v>1.0562836979173635</v>
      </c>
      <c r="U1285">
        <v>3.8508403532326728E-2</v>
      </c>
      <c r="V1285">
        <v>0.24950763984697036</v>
      </c>
      <c r="W1285">
        <v>0.12206182239253131</v>
      </c>
      <c r="X1285">
        <v>2.2287675688012661E-2</v>
      </c>
      <c r="Y1285">
        <v>5.1871892977983468E-3</v>
      </c>
    </row>
    <row r="1286" spans="1:25" x14ac:dyDescent="0.25">
      <c r="A1286" s="881"/>
      <c r="B1286" s="1131">
        <v>1036</v>
      </c>
      <c r="C1286" s="885">
        <v>0.97601497928787317</v>
      </c>
      <c r="D1286" s="885">
        <v>0.9805921093646347</v>
      </c>
      <c r="E1286" s="885">
        <v>0.96923118596218305</v>
      </c>
      <c r="F1286" s="885">
        <v>0.97572526948520732</v>
      </c>
      <c r="G1286" s="885">
        <v>0.99538854537579702</v>
      </c>
      <c r="H1286" s="885">
        <v>1.0406926854303762</v>
      </c>
      <c r="I1286" s="885">
        <v>0.96045766443747693</v>
      </c>
      <c r="K1286">
        <v>1.9682482778700527</v>
      </c>
      <c r="L1286">
        <v>0</v>
      </c>
      <c r="M1286">
        <v>2.2434100263460056E-3</v>
      </c>
      <c r="N1286">
        <v>0.20542400051665274</v>
      </c>
      <c r="O1286">
        <v>2.6018421078345837E-2</v>
      </c>
      <c r="P1286">
        <v>2.0809263031014585E-2</v>
      </c>
      <c r="Q1286">
        <v>2.9586556972877702E-3</v>
      </c>
      <c r="R1286">
        <v>2.2305596137500799E-3</v>
      </c>
      <c r="S1286">
        <v>0.20848034769653309</v>
      </c>
      <c r="T1286">
        <v>1.061217068214831</v>
      </c>
      <c r="U1286">
        <v>3.8237436302613781E-2</v>
      </c>
      <c r="V1286">
        <v>0.2537893559583107</v>
      </c>
      <c r="W1286">
        <v>0.12543239417494884</v>
      </c>
      <c r="X1286">
        <v>1.9823337647259423E-2</v>
      </c>
      <c r="Y1286">
        <v>6.0708479648486618E-3</v>
      </c>
    </row>
    <row r="1287" spans="1:25" x14ac:dyDescent="0.25">
      <c r="A1287" s="881"/>
      <c r="B1287" s="1131">
        <v>1037</v>
      </c>
      <c r="C1287" s="885">
        <v>0.97481940630711017</v>
      </c>
      <c r="D1287" s="885">
        <v>1.0096829751186256</v>
      </c>
      <c r="E1287" s="885">
        <v>0.98893227282939744</v>
      </c>
      <c r="F1287" s="885">
        <v>1.0364549051264549</v>
      </c>
      <c r="G1287" s="885">
        <v>0.99463912597910253</v>
      </c>
      <c r="H1287" s="885">
        <v>1.0098824012362055</v>
      </c>
      <c r="I1287" s="885">
        <v>1.0291377363119378</v>
      </c>
      <c r="K1287">
        <v>1.9627332300065037</v>
      </c>
      <c r="L1287">
        <v>0</v>
      </c>
      <c r="M1287">
        <v>2.0613235850316602E-3</v>
      </c>
      <c r="N1287">
        <v>0.20066301218635044</v>
      </c>
      <c r="O1287">
        <v>2.5675811814808942E-2</v>
      </c>
      <c r="P1287">
        <v>2.1171847874475479E-2</v>
      </c>
      <c r="Q1287">
        <v>2.9848711829272311E-3</v>
      </c>
      <c r="R1287">
        <v>2.0491312180257429E-3</v>
      </c>
      <c r="S1287">
        <v>0.21739779251163496</v>
      </c>
      <c r="T1287">
        <v>1.0593913638573054</v>
      </c>
      <c r="U1287">
        <v>3.8284332830730863E-2</v>
      </c>
      <c r="V1287">
        <v>0.25022831619498298</v>
      </c>
      <c r="W1287">
        <v>0.12086066660459154</v>
      </c>
      <c r="X1287">
        <v>2.0510347636160015E-2</v>
      </c>
      <c r="Y1287">
        <v>5.5770596795415954E-3</v>
      </c>
    </row>
    <row r="1288" spans="1:25" x14ac:dyDescent="0.25">
      <c r="A1288" s="881"/>
      <c r="B1288" s="1131">
        <v>1038</v>
      </c>
      <c r="C1288" s="885">
        <v>1.0211539004445294</v>
      </c>
      <c r="D1288" s="885">
        <v>0.9955517903483071</v>
      </c>
      <c r="E1288" s="885">
        <v>0.99639602924134896</v>
      </c>
      <c r="F1288" s="885">
        <v>0.9842892756651529</v>
      </c>
      <c r="G1288" s="885">
        <v>0.97167142661606876</v>
      </c>
      <c r="H1288" s="885">
        <v>0.97370075872147666</v>
      </c>
      <c r="I1288" s="885">
        <v>1.0018981580806499</v>
      </c>
      <c r="K1288">
        <v>1.9136369726244709</v>
      </c>
      <c r="L1288">
        <v>0</v>
      </c>
      <c r="M1288">
        <v>1.8807957067008137E-3</v>
      </c>
      <c r="N1288">
        <v>0.18735246567638003</v>
      </c>
      <c r="O1288">
        <v>2.4682321146516029E-2</v>
      </c>
      <c r="P1288">
        <v>2.0952343915138099E-2</v>
      </c>
      <c r="Q1288">
        <v>2.8882362159023374E-3</v>
      </c>
      <c r="R1288">
        <v>1.8692690039908198E-3</v>
      </c>
      <c r="S1288">
        <v>0.19975143818023719</v>
      </c>
      <c r="T1288">
        <v>1.0587036317998035</v>
      </c>
      <c r="U1288">
        <v>3.6547194878921385E-2</v>
      </c>
      <c r="V1288">
        <v>0.24542663887257293</v>
      </c>
      <c r="W1288">
        <v>0.11226586335520838</v>
      </c>
      <c r="X1288">
        <v>1.9990831261996762E-2</v>
      </c>
      <c r="Y1288">
        <v>5.087534024501455E-3</v>
      </c>
    </row>
    <row r="1289" spans="1:25" x14ac:dyDescent="0.25">
      <c r="A1289" s="881"/>
      <c r="B1289" s="1131">
        <v>1039</v>
      </c>
      <c r="C1289" s="885">
        <v>0.97753742948616573</v>
      </c>
      <c r="D1289" s="885">
        <v>1.0126117516277182</v>
      </c>
      <c r="E1289" s="885">
        <v>0.99902252934886049</v>
      </c>
      <c r="F1289" s="885">
        <v>1.0436282854802486</v>
      </c>
      <c r="G1289" s="885">
        <v>1.0177709094704817</v>
      </c>
      <c r="H1289" s="885">
        <v>1.0015469821148764</v>
      </c>
      <c r="I1289" s="885">
        <v>1.0199697248015458</v>
      </c>
      <c r="K1289">
        <v>1.9558480403384941</v>
      </c>
      <c r="L1289">
        <v>0</v>
      </c>
      <c r="M1289">
        <v>1.9929500918792636E-3</v>
      </c>
      <c r="N1289">
        <v>0.20018658424980382</v>
      </c>
      <c r="O1289">
        <v>2.5567793065529209E-2</v>
      </c>
      <c r="P1289">
        <v>2.1257851087695741E-2</v>
      </c>
      <c r="Q1289">
        <v>3.0033191358863442E-3</v>
      </c>
      <c r="R1289">
        <v>1.9810616620500568E-3</v>
      </c>
      <c r="S1289">
        <v>0.21370215440976259</v>
      </c>
      <c r="T1289">
        <v>1.0584621341340077</v>
      </c>
      <c r="U1289">
        <v>3.817788401261929E-2</v>
      </c>
      <c r="V1289">
        <v>0.24946724753948887</v>
      </c>
      <c r="W1289">
        <v>0.11974062775962031</v>
      </c>
      <c r="X1289">
        <v>2.0902536586611821E-2</v>
      </c>
      <c r="Y1289">
        <v>5.3917967872988727E-3</v>
      </c>
    </row>
    <row r="1290" spans="1:25" x14ac:dyDescent="0.25">
      <c r="A1290" s="881"/>
      <c r="B1290" s="1131">
        <v>1040</v>
      </c>
      <c r="C1290" s="885">
        <v>0.9879773913758837</v>
      </c>
      <c r="D1290" s="885">
        <v>1.0103855966141484</v>
      </c>
      <c r="E1290" s="885">
        <v>1.041530029923265</v>
      </c>
      <c r="F1290" s="885">
        <v>1.0141863690487101</v>
      </c>
      <c r="G1290" s="885">
        <v>0.97628600085884198</v>
      </c>
      <c r="H1290" s="885">
        <v>0.97297156911728677</v>
      </c>
      <c r="I1290" s="885">
        <v>1.0301805558785309</v>
      </c>
      <c r="K1290">
        <v>1.946772664597715</v>
      </c>
      <c r="L1290">
        <v>0</v>
      </c>
      <c r="M1290">
        <v>1.75301926851367E-3</v>
      </c>
      <c r="N1290">
        <v>0.20090767327563391</v>
      </c>
      <c r="O1290">
        <v>2.5325148840122044E-2</v>
      </c>
      <c r="P1290">
        <v>2.1811933827414511E-2</v>
      </c>
      <c r="Q1290">
        <v>3.1027333675719263E-3</v>
      </c>
      <c r="R1290">
        <v>1.7422565980917092E-3</v>
      </c>
      <c r="S1290">
        <v>0.21077625021624172</v>
      </c>
      <c r="T1290">
        <v>1.0545911657173217</v>
      </c>
      <c r="U1290">
        <v>3.7774458126965435E-2</v>
      </c>
      <c r="V1290">
        <v>0.24822924502820878</v>
      </c>
      <c r="W1290">
        <v>0.11677447203622247</v>
      </c>
      <c r="X1290">
        <v>2.2748498707162664E-2</v>
      </c>
      <c r="Y1290">
        <v>4.7418481252724277E-3</v>
      </c>
    </row>
    <row r="1291" spans="1:25" x14ac:dyDescent="0.25">
      <c r="A1291" s="881"/>
      <c r="B1291" s="1131">
        <v>1041</v>
      </c>
      <c r="C1291" s="885">
        <v>1.0070022503420573</v>
      </c>
      <c r="D1291" s="885">
        <v>0.99644554666923435</v>
      </c>
      <c r="E1291" s="885">
        <v>1.0039806066443251</v>
      </c>
      <c r="F1291" s="885">
        <v>1.0191703147718525</v>
      </c>
      <c r="G1291" s="885">
        <v>0.97623262297700641</v>
      </c>
      <c r="H1291" s="885">
        <v>0.97855070523870857</v>
      </c>
      <c r="I1291" s="885">
        <v>1.0244708956400592</v>
      </c>
      <c r="K1291">
        <v>1.9317182768776771</v>
      </c>
      <c r="L1291">
        <v>0</v>
      </c>
      <c r="M1291">
        <v>1.885516548881049E-3</v>
      </c>
      <c r="N1291">
        <v>0.19231312042240353</v>
      </c>
      <c r="O1291">
        <v>2.5018066728142257E-2</v>
      </c>
      <c r="P1291">
        <v>2.120048033463345E-2</v>
      </c>
      <c r="Q1291">
        <v>2.9501108232852049E-3</v>
      </c>
      <c r="R1291">
        <v>1.8740174702743711E-3</v>
      </c>
      <c r="S1291">
        <v>0.20753717121104762</v>
      </c>
      <c r="T1291">
        <v>1.0580069883666505</v>
      </c>
      <c r="U1291">
        <v>3.7060801590304289E-2</v>
      </c>
      <c r="V1291">
        <v>0.24726392395575034</v>
      </c>
      <c r="W1291">
        <v>0.11464197680619428</v>
      </c>
      <c r="X1291">
        <v>2.0636677933476899E-2</v>
      </c>
      <c r="Y1291">
        <v>5.1004577843937905E-3</v>
      </c>
    </row>
    <row r="1292" spans="1:25" x14ac:dyDescent="0.25">
      <c r="A1292" s="881"/>
      <c r="B1292" s="1131">
        <v>1042</v>
      </c>
      <c r="C1292" s="885">
        <v>0.97815370884250019</v>
      </c>
      <c r="D1292" s="885">
        <v>0.98753504087084398</v>
      </c>
      <c r="E1292" s="885">
        <v>0.96380462878358131</v>
      </c>
      <c r="F1292" s="885">
        <v>0.97614360607084216</v>
      </c>
      <c r="G1292" s="885">
        <v>1.007220888987981</v>
      </c>
      <c r="H1292" s="885">
        <v>1.0140989445874364</v>
      </c>
      <c r="I1292" s="885">
        <v>0.97438813056322882</v>
      </c>
      <c r="K1292">
        <v>1.9540153904962196</v>
      </c>
      <c r="L1292">
        <v>0</v>
      </c>
      <c r="M1292">
        <v>2.198537479690415E-3</v>
      </c>
      <c r="N1292">
        <v>0.19790613529992579</v>
      </c>
      <c r="O1292">
        <v>2.5870821772267426E-2</v>
      </c>
      <c r="P1292">
        <v>2.0700958627683633E-2</v>
      </c>
      <c r="Q1292">
        <v>2.9270179653379282E-3</v>
      </c>
      <c r="R1292">
        <v>2.1856074866532286E-3</v>
      </c>
      <c r="S1292">
        <v>0.20765899003186228</v>
      </c>
      <c r="T1292">
        <v>1.0617225885972319</v>
      </c>
      <c r="U1292">
        <v>3.8153830286121369E-2</v>
      </c>
      <c r="V1292">
        <v>0.25256170407235567</v>
      </c>
      <c r="W1292">
        <v>0.12130220019826045</v>
      </c>
      <c r="X1292">
        <v>1.9275570544852134E-2</v>
      </c>
      <c r="Y1292">
        <v>5.9485030933557484E-3</v>
      </c>
    </row>
    <row r="1293" spans="1:25" x14ac:dyDescent="0.25">
      <c r="A1293" s="881"/>
      <c r="B1293" s="1131">
        <v>1043</v>
      </c>
      <c r="C1293" s="885">
        <v>0.98658766877000936</v>
      </c>
      <c r="D1293" s="885">
        <v>0.95734370590038798</v>
      </c>
      <c r="E1293" s="885">
        <v>0.97664428428688776</v>
      </c>
      <c r="F1293" s="885">
        <v>1.0168054937241509</v>
      </c>
      <c r="G1293" s="885">
        <v>1.0163179125828246</v>
      </c>
      <c r="H1293" s="885">
        <v>0.9839794823914273</v>
      </c>
      <c r="I1293" s="885">
        <v>1.00110071529698</v>
      </c>
      <c r="K1293">
        <v>1.9554373683610362</v>
      </c>
      <c r="L1293">
        <v>0</v>
      </c>
      <c r="M1293">
        <v>2.0908275720998766E-3</v>
      </c>
      <c r="N1293">
        <v>0.19586516985022098</v>
      </c>
      <c r="O1293">
        <v>2.6048482467941468E-2</v>
      </c>
      <c r="P1293">
        <v>2.0972877599420084E-2</v>
      </c>
      <c r="Q1293">
        <v>2.9795078620435396E-3</v>
      </c>
      <c r="R1293">
        <v>2.0781822196526819E-3</v>
      </c>
      <c r="S1293">
        <v>0.21141847691072818</v>
      </c>
      <c r="T1293">
        <v>1.0605283290490117</v>
      </c>
      <c r="U1293">
        <v>3.7827667811259534E-2</v>
      </c>
      <c r="V1293">
        <v>0.25532726034101128</v>
      </c>
      <c r="W1293">
        <v>0.11897909650595664</v>
      </c>
      <c r="X1293">
        <v>1.9847018386580172E-2</v>
      </c>
      <c r="Y1293">
        <v>5.6561269293100092E-3</v>
      </c>
    </row>
    <row r="1294" spans="1:25" x14ac:dyDescent="0.25">
      <c r="A1294" s="881"/>
      <c r="B1294" s="1131">
        <v>1044</v>
      </c>
      <c r="C1294" s="885">
        <v>1.0132769086826126</v>
      </c>
      <c r="D1294" s="885">
        <v>1.0161690938476382</v>
      </c>
      <c r="E1294" s="885">
        <v>1.0369067381957906</v>
      </c>
      <c r="F1294" s="885">
        <v>1.0152767825849109</v>
      </c>
      <c r="G1294" s="885">
        <v>0.99530648274439582</v>
      </c>
      <c r="H1294" s="885">
        <v>0.99038115575863517</v>
      </c>
      <c r="I1294" s="885">
        <v>1.0151955492779103</v>
      </c>
      <c r="K1294">
        <v>1.9290778439368463</v>
      </c>
      <c r="L1294">
        <v>0</v>
      </c>
      <c r="M1294">
        <v>1.752013596270088E-3</v>
      </c>
      <c r="N1294">
        <v>0.19795424322946845</v>
      </c>
      <c r="O1294">
        <v>2.4623290924754342E-2</v>
      </c>
      <c r="P1294">
        <v>2.1574120494828521E-2</v>
      </c>
      <c r="Q1294">
        <v>3.0042438713131837E-3</v>
      </c>
      <c r="R1294">
        <v>1.7414420289073667E-3</v>
      </c>
      <c r="S1294">
        <v>0.20374703295773347</v>
      </c>
      <c r="T1294">
        <v>1.0550087618019666</v>
      </c>
      <c r="U1294">
        <v>3.683130473133743E-2</v>
      </c>
      <c r="V1294">
        <v>0.24399971943571094</v>
      </c>
      <c r="W1294">
        <v>0.11541258286860537</v>
      </c>
      <c r="X1294">
        <v>2.219348405201476E-2</v>
      </c>
      <c r="Y1294">
        <v>4.739631136475307E-3</v>
      </c>
    </row>
    <row r="1295" spans="1:25" x14ac:dyDescent="0.25">
      <c r="A1295" s="881"/>
      <c r="B1295" s="1131">
        <v>1045</v>
      </c>
      <c r="C1295" s="885">
        <v>1.0056384558149909</v>
      </c>
      <c r="D1295" s="885">
        <v>0.99610603947701126</v>
      </c>
      <c r="E1295" s="885">
        <v>0.97882939708926353</v>
      </c>
      <c r="F1295" s="885">
        <v>0.98531301752570333</v>
      </c>
      <c r="G1295" s="885">
        <v>1.0127128885403347</v>
      </c>
      <c r="H1295" s="885">
        <v>0.96693705243076467</v>
      </c>
      <c r="I1295" s="885">
        <v>0.98942860837954338</v>
      </c>
      <c r="K1295">
        <v>1.9158235070914245</v>
      </c>
      <c r="L1295">
        <v>0</v>
      </c>
      <c r="M1295">
        <v>1.9673394031028712E-3</v>
      </c>
      <c r="N1295">
        <v>0.18553313718737866</v>
      </c>
      <c r="O1295">
        <v>2.5056223273194556E-2</v>
      </c>
      <c r="P1295">
        <v>2.0731290866227423E-2</v>
      </c>
      <c r="Q1295">
        <v>2.8804325387833838E-3</v>
      </c>
      <c r="R1295">
        <v>1.9551974977213078E-3</v>
      </c>
      <c r="S1295">
        <v>0.19958294027191503</v>
      </c>
      <c r="T1295">
        <v>1.0603257198721594</v>
      </c>
      <c r="U1295">
        <v>3.7111061520287307E-2</v>
      </c>
      <c r="V1295">
        <v>0.24749625681235796</v>
      </c>
      <c r="W1295">
        <v>0.11253183586262791</v>
      </c>
      <c r="X1295">
        <v>1.9265347733758886E-2</v>
      </c>
      <c r="Y1295">
        <v>5.3214030581154974E-3</v>
      </c>
    </row>
    <row r="1296" spans="1:25" x14ac:dyDescent="0.25">
      <c r="A1296" s="881"/>
      <c r="B1296" s="1131">
        <v>1046</v>
      </c>
      <c r="C1296" s="885">
        <v>0.98490831473968488</v>
      </c>
      <c r="D1296" s="885">
        <v>0.98194022521635993</v>
      </c>
      <c r="E1296" s="885">
        <v>1.005300931674314</v>
      </c>
      <c r="F1296" s="885">
        <v>1.0003249865350992</v>
      </c>
      <c r="G1296" s="885">
        <v>1.0209366583329267</v>
      </c>
      <c r="H1296" s="885">
        <v>0.98078696188342895</v>
      </c>
      <c r="I1296" s="885">
        <v>0.96722889471860463</v>
      </c>
      <c r="K1296">
        <v>1.9435398228620213</v>
      </c>
      <c r="L1296">
        <v>0</v>
      </c>
      <c r="M1296">
        <v>1.940896455705195E-3</v>
      </c>
      <c r="N1296">
        <v>0.19878016701505707</v>
      </c>
      <c r="O1296">
        <v>2.5765911030759106E-2</v>
      </c>
      <c r="P1296">
        <v>2.1222822526373725E-2</v>
      </c>
      <c r="Q1296">
        <v>3.0391973881403979E-3</v>
      </c>
      <c r="R1296">
        <v>1.9290986757858944E-3</v>
      </c>
      <c r="S1296">
        <v>0.20191504026006202</v>
      </c>
      <c r="T1296">
        <v>1.0578859456007166</v>
      </c>
      <c r="U1296">
        <v>3.789216726308256E-2</v>
      </c>
      <c r="V1296">
        <v>0.2522872613882049</v>
      </c>
      <c r="W1296">
        <v>0.11839046343339218</v>
      </c>
      <c r="X1296">
        <v>2.1122274067870438E-2</v>
      </c>
      <c r="Y1296">
        <v>5.25037066828164E-3</v>
      </c>
    </row>
    <row r="1297" spans="1:25" x14ac:dyDescent="0.25">
      <c r="A1297" s="881"/>
      <c r="B1297" s="1131">
        <v>1047</v>
      </c>
      <c r="C1297" s="885">
        <v>0.99709161546124037</v>
      </c>
      <c r="D1297" s="885">
        <v>1.0000485523541005</v>
      </c>
      <c r="E1297" s="885">
        <v>0.9939791385320178</v>
      </c>
      <c r="F1297" s="885">
        <v>1.0068784630055556</v>
      </c>
      <c r="G1297" s="885">
        <v>0.99321098956079357</v>
      </c>
      <c r="H1297" s="885">
        <v>1.003883490534756</v>
      </c>
      <c r="I1297" s="885">
        <v>1.011675901476397</v>
      </c>
      <c r="K1297">
        <v>1.9440328561700844</v>
      </c>
      <c r="L1297">
        <v>0</v>
      </c>
      <c r="M1297">
        <v>1.9915723880911174E-3</v>
      </c>
      <c r="N1297">
        <v>0.19693679461090186</v>
      </c>
      <c r="O1297">
        <v>2.5221622884576075E-2</v>
      </c>
      <c r="P1297">
        <v>2.1096215451686818E-2</v>
      </c>
      <c r="Q1297">
        <v>2.9450889490275755E-3</v>
      </c>
      <c r="R1297">
        <v>1.979730048321368E-3</v>
      </c>
      <c r="S1297">
        <v>0.20924084693639911</v>
      </c>
      <c r="T1297">
        <v>1.0589260938460812</v>
      </c>
      <c r="U1297">
        <v>3.7429169017385695E-2</v>
      </c>
      <c r="V1297">
        <v>0.24821317337877932</v>
      </c>
      <c r="W1297">
        <v>0.11820498708662625</v>
      </c>
      <c r="X1297">
        <v>2.0442533774692555E-2</v>
      </c>
      <c r="Y1297">
        <v>5.3881725736957299E-3</v>
      </c>
    </row>
    <row r="1298" spans="1:25" x14ac:dyDescent="0.25">
      <c r="A1298" s="881"/>
      <c r="B1298" s="1131">
        <v>1048</v>
      </c>
      <c r="C1298" s="885">
        <v>0.99082276735098529</v>
      </c>
      <c r="D1298" s="885">
        <v>1.0254968122169379</v>
      </c>
      <c r="E1298" s="885">
        <v>0.99350262207871132</v>
      </c>
      <c r="F1298" s="885">
        <v>0.9767983683263749</v>
      </c>
      <c r="G1298" s="885">
        <v>0.99886587229080082</v>
      </c>
      <c r="H1298" s="885">
        <v>0.98539719607514931</v>
      </c>
      <c r="I1298" s="885">
        <v>0.98312010489760648</v>
      </c>
      <c r="K1298">
        <v>1.9247247056487247</v>
      </c>
      <c r="L1298">
        <v>0</v>
      </c>
      <c r="M1298">
        <v>1.9449594310923819E-3</v>
      </c>
      <c r="N1298">
        <v>0.19201884387970325</v>
      </c>
      <c r="O1298">
        <v>2.5067992303060047E-2</v>
      </c>
      <c r="P1298">
        <v>2.0942908210031728E-2</v>
      </c>
      <c r="Q1298">
        <v>2.9308443994780376E-3</v>
      </c>
      <c r="R1298">
        <v>1.9331568769437851E-3</v>
      </c>
      <c r="S1298">
        <v>0.20044496606770204</v>
      </c>
      <c r="T1298">
        <v>1.0589699814979334</v>
      </c>
      <c r="U1298">
        <v>3.7665980062907278E-2</v>
      </c>
      <c r="V1298">
        <v>0.24599607524664979</v>
      </c>
      <c r="W1298">
        <v>0.1152908945270176</v>
      </c>
      <c r="X1298">
        <v>2.0146606254343117E-2</v>
      </c>
      <c r="Y1298">
        <v>5.2614157540477663E-3</v>
      </c>
    </row>
    <row r="1299" spans="1:25" x14ac:dyDescent="0.25">
      <c r="A1299" s="881"/>
      <c r="B1299" s="1131">
        <v>1049</v>
      </c>
      <c r="C1299" s="885">
        <v>1.0129842965043776</v>
      </c>
      <c r="D1299" s="885">
        <v>1.0021259494896662</v>
      </c>
      <c r="E1299" s="885">
        <v>1.005643881182759</v>
      </c>
      <c r="F1299" s="885">
        <v>0.97160669184587345</v>
      </c>
      <c r="G1299" s="885">
        <v>0.97655623018240234</v>
      </c>
      <c r="H1299" s="885">
        <v>0.98457781059317351</v>
      </c>
      <c r="I1299" s="885">
        <v>1.0105942722615071</v>
      </c>
      <c r="K1299">
        <v>1.9251460539078118</v>
      </c>
      <c r="L1299">
        <v>0</v>
      </c>
      <c r="M1299">
        <v>1.8740507014985697E-3</v>
      </c>
      <c r="N1299">
        <v>0.19214172468892662</v>
      </c>
      <c r="O1299">
        <v>2.4800437850494034E-2</v>
      </c>
      <c r="P1299">
        <v>2.1146681717049583E-2</v>
      </c>
      <c r="Q1299">
        <v>2.930490021788659E-3</v>
      </c>
      <c r="R1299">
        <v>1.862687035889289E-3</v>
      </c>
      <c r="S1299">
        <v>0.20359490432710667</v>
      </c>
      <c r="T1299">
        <v>1.0578545163142004</v>
      </c>
      <c r="U1299">
        <v>3.6841943877809792E-2</v>
      </c>
      <c r="V1299">
        <v>0.24573901341724091</v>
      </c>
      <c r="W1299">
        <v>0.11440995924224685</v>
      </c>
      <c r="X1299">
        <v>2.0628126039481148E-2</v>
      </c>
      <c r="Y1299">
        <v>5.0696200770742883E-3</v>
      </c>
    </row>
    <row r="1300" spans="1:25" x14ac:dyDescent="0.25">
      <c r="A1300" s="881"/>
      <c r="B1300" s="1131">
        <v>1050</v>
      </c>
      <c r="C1300" s="885">
        <v>0.98636633373379923</v>
      </c>
      <c r="D1300" s="885">
        <v>0.98093211345094988</v>
      </c>
      <c r="E1300" s="885">
        <v>0.98858695717673661</v>
      </c>
      <c r="F1300" s="885">
        <v>0.99277553472638747</v>
      </c>
      <c r="G1300" s="885">
        <v>1.0142340239479506</v>
      </c>
      <c r="H1300" s="885">
        <v>0.97309071919733281</v>
      </c>
      <c r="I1300" s="885">
        <v>0.98009352949166628</v>
      </c>
      <c r="K1300">
        <v>1.9388113471389112</v>
      </c>
      <c r="L1300">
        <v>0</v>
      </c>
      <c r="M1300">
        <v>1.9926866437515543E-3</v>
      </c>
      <c r="N1300">
        <v>0.19373178069247565</v>
      </c>
      <c r="O1300">
        <v>2.5740943097556764E-2</v>
      </c>
      <c r="P1300">
        <v>2.1000919014221991E-2</v>
      </c>
      <c r="Q1300">
        <v>2.9853669964949548E-3</v>
      </c>
      <c r="R1300">
        <v>1.9804791328941092E-3</v>
      </c>
      <c r="S1300">
        <v>0.20361341429555119</v>
      </c>
      <c r="T1300">
        <v>1.0594232346650292</v>
      </c>
      <c r="U1300">
        <v>3.7836156126339282E-2</v>
      </c>
      <c r="V1300">
        <v>0.25220458276394464</v>
      </c>
      <c r="W1300">
        <v>0.11671373112557375</v>
      </c>
      <c r="X1300">
        <v>2.0183214537613403E-2</v>
      </c>
      <c r="Y1300">
        <v>5.3902113349670669E-3</v>
      </c>
    </row>
    <row r="1301" spans="1:25" x14ac:dyDescent="0.25">
      <c r="A1301" s="881"/>
      <c r="B1301" s="1131">
        <v>1051</v>
      </c>
      <c r="C1301" s="885">
        <v>1.0101523723864152</v>
      </c>
      <c r="D1301" s="885">
        <v>1.0152981260175984</v>
      </c>
      <c r="E1301" s="885">
        <v>0.98126839597058568</v>
      </c>
      <c r="F1301" s="885">
        <v>1.0029047551283712</v>
      </c>
      <c r="G1301" s="885">
        <v>1.0267889193760102</v>
      </c>
      <c r="H1301" s="885">
        <v>1.0419547153286108</v>
      </c>
      <c r="I1301" s="885">
        <v>1.0293535807125873</v>
      </c>
      <c r="K1301">
        <v>1.9455110575730614</v>
      </c>
      <c r="L1301">
        <v>0</v>
      </c>
      <c r="M1301">
        <v>2.080009582794301E-3</v>
      </c>
      <c r="N1301">
        <v>0.19774188334323753</v>
      </c>
      <c r="O1301">
        <v>2.4709917228320475E-2</v>
      </c>
      <c r="P1301">
        <v>2.0899567839382259E-2</v>
      </c>
      <c r="Q1301">
        <v>2.8514535883558175E-3</v>
      </c>
      <c r="R1301">
        <v>2.0680808271943008E-3</v>
      </c>
      <c r="S1301">
        <v>0.21258757810174478</v>
      </c>
      <c r="T1301">
        <v>1.0600997883761321</v>
      </c>
      <c r="U1301">
        <v>3.694522887943158E-2</v>
      </c>
      <c r="V1301">
        <v>0.24453010721498303</v>
      </c>
      <c r="W1301">
        <v>0.11973403222562397</v>
      </c>
      <c r="X1301">
        <v>1.9794795262486658E-2</v>
      </c>
      <c r="Y1301">
        <v>5.6286342689614239E-3</v>
      </c>
    </row>
    <row r="1302" spans="1:25" x14ac:dyDescent="0.25">
      <c r="A1302" s="881"/>
      <c r="B1302" s="1131">
        <v>1052</v>
      </c>
      <c r="C1302" s="885">
        <v>1.0168135764952175</v>
      </c>
      <c r="D1302" s="885">
        <v>0.99182618521788635</v>
      </c>
      <c r="E1302" s="885">
        <v>1.0123328647016461</v>
      </c>
      <c r="F1302" s="885">
        <v>1.0072014331195085</v>
      </c>
      <c r="G1302" s="885">
        <v>0.99059205334949085</v>
      </c>
      <c r="H1302" s="885">
        <v>0.99757682551703264</v>
      </c>
      <c r="I1302" s="885">
        <v>0.98231304556642085</v>
      </c>
      <c r="K1302">
        <v>1.9275134199475132</v>
      </c>
      <c r="L1302">
        <v>0</v>
      </c>
      <c r="M1302">
        <v>1.8747044898323518E-3</v>
      </c>
      <c r="N1302">
        <v>0.19626429285738869</v>
      </c>
      <c r="O1302">
        <v>2.4833764492328467E-2</v>
      </c>
      <c r="P1302">
        <v>2.1193310646778433E-2</v>
      </c>
      <c r="Q1302">
        <v>2.9519964325931051E-3</v>
      </c>
      <c r="R1302">
        <v>1.8634930265823749E-3</v>
      </c>
      <c r="S1302">
        <v>0.19936523303240544</v>
      </c>
      <c r="T1302">
        <v>1.0572424281960855</v>
      </c>
      <c r="U1302">
        <v>3.6703198564237892E-2</v>
      </c>
      <c r="V1302">
        <v>0.24648285651637114</v>
      </c>
      <c r="W1302">
        <v>0.11633439779420016</v>
      </c>
      <c r="X1302">
        <v>2.1081339160328522E-2</v>
      </c>
      <c r="Y1302">
        <v>5.0718137180461075E-3</v>
      </c>
    </row>
    <row r="1303" spans="1:25" x14ac:dyDescent="0.25">
      <c r="A1303" s="881"/>
      <c r="B1303" s="1131">
        <v>1053</v>
      </c>
      <c r="C1303" s="885">
        <v>1.0002211473566045</v>
      </c>
      <c r="D1303" s="885">
        <v>0.9828857433833541</v>
      </c>
      <c r="E1303" s="885">
        <v>1.0135568239007258</v>
      </c>
      <c r="F1303" s="885">
        <v>0.9850666084587576</v>
      </c>
      <c r="G1303" s="885">
        <v>0.99227159340029747</v>
      </c>
      <c r="H1303" s="885">
        <v>0.99712756499854172</v>
      </c>
      <c r="I1303" s="885">
        <v>0.97342119956618345</v>
      </c>
      <c r="K1303">
        <v>1.9416638793204399</v>
      </c>
      <c r="L1303">
        <v>0</v>
      </c>
      <c r="M1303">
        <v>1.9085748846584284E-3</v>
      </c>
      <c r="N1303">
        <v>0.20057199978612048</v>
      </c>
      <c r="O1303">
        <v>2.5359335345673632E-2</v>
      </c>
      <c r="P1303">
        <v>2.1298209199160843E-2</v>
      </c>
      <c r="Q1303">
        <v>3.0162404847900851E-3</v>
      </c>
      <c r="R1303">
        <v>1.897162923621847E-3</v>
      </c>
      <c r="S1303">
        <v>0.20163133906362671</v>
      </c>
      <c r="T1303">
        <v>1.0571306165049561</v>
      </c>
      <c r="U1303">
        <v>3.7312059137669128E-2</v>
      </c>
      <c r="V1303">
        <v>0.24994017363007026</v>
      </c>
      <c r="W1303">
        <v>0.11878913213017925</v>
      </c>
      <c r="X1303">
        <v>2.1462733920721337E-2</v>
      </c>
      <c r="Y1303">
        <v>5.163452078508976E-3</v>
      </c>
    </row>
    <row r="1304" spans="1:25" x14ac:dyDescent="0.25">
      <c r="A1304" s="881"/>
      <c r="B1304" s="1131">
        <v>1054</v>
      </c>
      <c r="C1304" s="885">
        <v>0.96724740823552846</v>
      </c>
      <c r="D1304" s="885">
        <v>0.98807428212218518</v>
      </c>
      <c r="E1304" s="885">
        <v>1.0049560934166955</v>
      </c>
      <c r="F1304" s="885">
        <v>0.98375989681501397</v>
      </c>
      <c r="G1304" s="885">
        <v>1.0367787329180529</v>
      </c>
      <c r="H1304" s="885">
        <v>0.97473397698694364</v>
      </c>
      <c r="I1304" s="885">
        <v>1.0354139538754965</v>
      </c>
      <c r="K1304">
        <v>1.9666924763356197</v>
      </c>
      <c r="L1304">
        <v>0</v>
      </c>
      <c r="M1304">
        <v>1.9595089721823823E-3</v>
      </c>
      <c r="N1304">
        <v>0.20046314436586415</v>
      </c>
      <c r="O1304">
        <v>2.6155450393960371E-2</v>
      </c>
      <c r="P1304">
        <v>2.1483979187259881E-2</v>
      </c>
      <c r="Q1304">
        <v>3.0854270767096061E-3</v>
      </c>
      <c r="R1304">
        <v>1.9475188829064087E-3</v>
      </c>
      <c r="S1304">
        <v>0.21880686054988721</v>
      </c>
      <c r="T1304">
        <v>1.0579175526042135</v>
      </c>
      <c r="U1304">
        <v>3.8584037840946384E-2</v>
      </c>
      <c r="V1304">
        <v>0.25413372570260062</v>
      </c>
      <c r="W1304">
        <v>0.11942089301033257</v>
      </c>
      <c r="X1304">
        <v>2.1352891293275156E-2</v>
      </c>
      <c r="Y1304">
        <v>5.3005043998440348E-3</v>
      </c>
    </row>
    <row r="1305" spans="1:25" x14ac:dyDescent="0.25">
      <c r="A1305" s="881"/>
      <c r="B1305" s="1131">
        <v>1055</v>
      </c>
      <c r="C1305" s="885">
        <v>0.96840413159373229</v>
      </c>
      <c r="D1305" s="885">
        <v>0.97289293861481818</v>
      </c>
      <c r="E1305" s="885">
        <v>0.99006367500539816</v>
      </c>
      <c r="F1305" s="885">
        <v>0.99471007090180497</v>
      </c>
      <c r="G1305" s="885">
        <v>1.0082776879548134</v>
      </c>
      <c r="H1305" s="885">
        <v>1.0052255496007076</v>
      </c>
      <c r="I1305" s="885">
        <v>0.97657777168111704</v>
      </c>
      <c r="K1305">
        <v>1.9700577873170571</v>
      </c>
      <c r="L1305">
        <v>0</v>
      </c>
      <c r="M1305">
        <v>2.0987259684880433E-3</v>
      </c>
      <c r="N1305">
        <v>0.20502248157527761</v>
      </c>
      <c r="O1305">
        <v>2.6325755573892978E-2</v>
      </c>
      <c r="P1305">
        <v>2.1179789711598177E-2</v>
      </c>
      <c r="Q1305">
        <v>3.0559826994613183E-3</v>
      </c>
      <c r="R1305">
        <v>2.0862870261650671E-3</v>
      </c>
      <c r="S1305">
        <v>0.21075461040403287</v>
      </c>
      <c r="T1305">
        <v>1.0592869738902284</v>
      </c>
      <c r="U1305">
        <v>3.853795061726726E-2</v>
      </c>
      <c r="V1305">
        <v>0.25597576577279857</v>
      </c>
      <c r="W1305">
        <v>0.12339013970856046</v>
      </c>
      <c r="X1305">
        <v>2.0862590765374767E-2</v>
      </c>
      <c r="Y1305">
        <v>5.6781855408879712E-3</v>
      </c>
    </row>
    <row r="1306" spans="1:25" x14ac:dyDescent="0.25">
      <c r="A1306" s="881"/>
      <c r="B1306" s="1131">
        <v>1056</v>
      </c>
      <c r="C1306" s="885">
        <v>0.9883551933477589</v>
      </c>
      <c r="D1306" s="885">
        <v>1.0144820274531481</v>
      </c>
      <c r="E1306" s="885">
        <v>1.0179855386465446</v>
      </c>
      <c r="F1306" s="885">
        <v>0.9930155217731329</v>
      </c>
      <c r="G1306" s="885">
        <v>1.0030782351820295</v>
      </c>
      <c r="H1306" s="885">
        <v>1.0117615798021424</v>
      </c>
      <c r="I1306" s="885">
        <v>0.99349929930032754</v>
      </c>
      <c r="K1306">
        <v>1.9494812411103077</v>
      </c>
      <c r="L1306">
        <v>0</v>
      </c>
      <c r="M1306">
        <v>1.9114454166297853E-3</v>
      </c>
      <c r="N1306">
        <v>0.2036722938669237</v>
      </c>
      <c r="O1306">
        <v>2.5264903409711287E-2</v>
      </c>
      <c r="P1306">
        <v>2.1407562298804753E-2</v>
      </c>
      <c r="Q1306">
        <v>3.0249683337935365E-3</v>
      </c>
      <c r="R1306">
        <v>1.9001568623961997E-3</v>
      </c>
      <c r="S1306">
        <v>0.20673554832237573</v>
      </c>
      <c r="T1306">
        <v>1.0567265314100749</v>
      </c>
      <c r="U1306">
        <v>3.7760018718073871E-2</v>
      </c>
      <c r="V1306">
        <v>0.24767181923960316</v>
      </c>
      <c r="W1306">
        <v>0.12026429074581005</v>
      </c>
      <c r="X1306">
        <v>2.1792992726468619E-2</v>
      </c>
      <c r="Y1306">
        <v>5.1716005929011129E-3</v>
      </c>
    </row>
    <row r="1307" spans="1:25" x14ac:dyDescent="0.25">
      <c r="A1307" s="881"/>
      <c r="B1307" s="1131">
        <v>1057</v>
      </c>
      <c r="C1307" s="885">
        <v>1.0001712147573765</v>
      </c>
      <c r="D1307" s="885">
        <v>1.0253861894277008</v>
      </c>
      <c r="E1307" s="885">
        <v>1.0433233065354803</v>
      </c>
      <c r="F1307" s="885">
        <v>1.0212823253482881</v>
      </c>
      <c r="G1307" s="885">
        <v>1.0097054158434384</v>
      </c>
      <c r="H1307" s="885">
        <v>1.0350206070793846</v>
      </c>
      <c r="I1307" s="885">
        <v>1.0272300947594328</v>
      </c>
      <c r="K1307">
        <v>1.9587538330963208</v>
      </c>
      <c r="L1307">
        <v>0</v>
      </c>
      <c r="M1307">
        <v>1.821796533041295E-3</v>
      </c>
      <c r="N1307">
        <v>0.21003096521167122</v>
      </c>
      <c r="O1307">
        <v>2.4835007147103884E-2</v>
      </c>
      <c r="P1307">
        <v>2.1807064593621646E-2</v>
      </c>
      <c r="Q1307">
        <v>3.0511547116718152E-3</v>
      </c>
      <c r="R1307">
        <v>1.8112714764262467E-3</v>
      </c>
      <c r="S1307">
        <v>0.21258532917929523</v>
      </c>
      <c r="T1307">
        <v>1.0544294146374706</v>
      </c>
      <c r="U1307">
        <v>3.731392190683086E-2</v>
      </c>
      <c r="V1307">
        <v>0.24469953450574014</v>
      </c>
      <c r="W1307">
        <v>0.12193188473357067</v>
      </c>
      <c r="X1307">
        <v>2.3150397652608842E-2</v>
      </c>
      <c r="Y1307">
        <v>4.9296838733505115E-3</v>
      </c>
    </row>
    <row r="1308" spans="1:25" x14ac:dyDescent="0.25">
      <c r="A1308" s="881"/>
      <c r="B1308" s="1131">
        <v>1058</v>
      </c>
      <c r="C1308" s="885">
        <v>1.0168890839790614</v>
      </c>
      <c r="D1308" s="885">
        <v>0.99652470912739632</v>
      </c>
      <c r="E1308" s="885">
        <v>0.98858694445329842</v>
      </c>
      <c r="F1308" s="885">
        <v>1.0216302472737693</v>
      </c>
      <c r="G1308" s="885">
        <v>1.01025309287688</v>
      </c>
      <c r="H1308" s="885">
        <v>1.0127922728088299</v>
      </c>
      <c r="I1308" s="885">
        <v>0.96856816417015157</v>
      </c>
      <c r="K1308">
        <v>1.9244484737443779</v>
      </c>
      <c r="L1308">
        <v>0</v>
      </c>
      <c r="M1308">
        <v>1.9960802331254052E-3</v>
      </c>
      <c r="N1308">
        <v>0.1941073299403103</v>
      </c>
      <c r="O1308">
        <v>2.4773850712601797E-2</v>
      </c>
      <c r="P1308">
        <v>2.081872816927512E-2</v>
      </c>
      <c r="Q1308">
        <v>2.8763824391676821E-3</v>
      </c>
      <c r="R1308">
        <v>1.9843183722591737E-3</v>
      </c>
      <c r="S1308">
        <v>0.19760387897341322</v>
      </c>
      <c r="T1308">
        <v>1.0594232358394204</v>
      </c>
      <c r="U1308">
        <v>3.6700473226522846E-2</v>
      </c>
      <c r="V1308">
        <v>0.24588586465375414</v>
      </c>
      <c r="W1308">
        <v>0.11693998183463201</v>
      </c>
      <c r="X1308">
        <v>1.9929849337232797E-2</v>
      </c>
      <c r="Y1308">
        <v>5.4006604789138563E-3</v>
      </c>
    </row>
    <row r="1309" spans="1:25" x14ac:dyDescent="0.25">
      <c r="A1309" s="881"/>
      <c r="B1309" s="1131">
        <v>1059</v>
      </c>
      <c r="C1309" s="885">
        <v>0.99527017349348146</v>
      </c>
      <c r="D1309" s="885">
        <v>1.0091571223503006</v>
      </c>
      <c r="E1309" s="885">
        <v>1.0324765047031026</v>
      </c>
      <c r="F1309" s="885">
        <v>1.0314428533224078</v>
      </c>
      <c r="G1309" s="885">
        <v>1.0339663013759395</v>
      </c>
      <c r="H1309" s="885">
        <v>0.9824415718405709</v>
      </c>
      <c r="I1309" s="885">
        <v>0.96300039657663439</v>
      </c>
      <c r="K1309">
        <v>1.930072727728217</v>
      </c>
      <c r="L1309">
        <v>0</v>
      </c>
      <c r="M1309">
        <v>1.7922014673552194E-3</v>
      </c>
      <c r="N1309">
        <v>0.19972094728903889</v>
      </c>
      <c r="O1309">
        <v>2.5154703633364816E-2</v>
      </c>
      <c r="P1309">
        <v>2.1467052665759625E-2</v>
      </c>
      <c r="Q1309">
        <v>3.0542348586728193E-3</v>
      </c>
      <c r="R1309">
        <v>1.7813052152470818E-3</v>
      </c>
      <c r="S1309">
        <v>0.19661948635256912</v>
      </c>
      <c r="T1309">
        <v>1.055409705935539</v>
      </c>
      <c r="U1309">
        <v>3.749766806526466E-2</v>
      </c>
      <c r="V1309">
        <v>0.24734080925999385</v>
      </c>
      <c r="W1309">
        <v>0.11678769961391004</v>
      </c>
      <c r="X1309">
        <v>2.2183190717414168E-2</v>
      </c>
      <c r="Y1309">
        <v>4.8481255887961672E-3</v>
      </c>
    </row>
    <row r="1310" spans="1:25" x14ac:dyDescent="0.25">
      <c r="A1310" s="881"/>
      <c r="B1310" s="1131">
        <v>1060</v>
      </c>
      <c r="C1310" s="885">
        <v>0.97142674591475986</v>
      </c>
      <c r="D1310" s="885">
        <v>1.0154452363616617</v>
      </c>
      <c r="E1310" s="885">
        <v>0.98062987056669493</v>
      </c>
      <c r="F1310" s="885">
        <v>1.0205891681708918</v>
      </c>
      <c r="G1310" s="885">
        <v>0.99573828483339533</v>
      </c>
      <c r="H1310" s="885">
        <v>0.95760058195801334</v>
      </c>
      <c r="I1310" s="885">
        <v>0.99969283782946972</v>
      </c>
      <c r="K1310">
        <v>1.9322008219066102</v>
      </c>
      <c r="L1310">
        <v>0</v>
      </c>
      <c r="M1310">
        <v>1.9903475514213213E-3</v>
      </c>
      <c r="N1310">
        <v>0.18874590818395229</v>
      </c>
      <c r="O1310">
        <v>2.5693131630980501E-2</v>
      </c>
      <c r="P1310">
        <v>2.0894666594458055E-2</v>
      </c>
      <c r="Q1310">
        <v>2.9630208595171066E-3</v>
      </c>
      <c r="R1310">
        <v>1.9779273826351536E-3</v>
      </c>
      <c r="S1310">
        <v>0.2059594289243511</v>
      </c>
      <c r="T1310">
        <v>1.0601589145303127</v>
      </c>
      <c r="U1310">
        <v>3.8418038990447628E-2</v>
      </c>
      <c r="V1310">
        <v>0.25001506043723015</v>
      </c>
      <c r="W1310">
        <v>0.11433752331544028</v>
      </c>
      <c r="X1310">
        <v>1.9644282296758096E-2</v>
      </c>
      <c r="Y1310">
        <v>5.3832663119464377E-3</v>
      </c>
    </row>
    <row r="1311" spans="1:25" x14ac:dyDescent="0.25">
      <c r="A1311" s="881"/>
      <c r="B1311" s="1131">
        <v>1061</v>
      </c>
      <c r="C1311" s="885">
        <v>0.98436252532128687</v>
      </c>
      <c r="D1311" s="885">
        <v>0.99586008165254214</v>
      </c>
      <c r="E1311" s="885">
        <v>1.0191501120412134</v>
      </c>
      <c r="F1311" s="885">
        <v>0.97822444900226035</v>
      </c>
      <c r="G1311" s="885">
        <v>0.98697937296630411</v>
      </c>
      <c r="H1311" s="885">
        <v>1.0055966417666689</v>
      </c>
      <c r="I1311" s="885">
        <v>1.0156010717812032</v>
      </c>
      <c r="K1311">
        <v>1.9624240564198521</v>
      </c>
      <c r="L1311">
        <v>0</v>
      </c>
      <c r="M1311">
        <v>1.9203214782863255E-3</v>
      </c>
      <c r="N1311">
        <v>0.20535384420838892</v>
      </c>
      <c r="O1311">
        <v>2.560091737696191E-2</v>
      </c>
      <c r="P1311">
        <v>2.1558331192058286E-2</v>
      </c>
      <c r="Q1311">
        <v>3.064801023005043E-3</v>
      </c>
      <c r="R1311">
        <v>1.9089255833552895E-3</v>
      </c>
      <c r="S1311">
        <v>0.21335870144488017</v>
      </c>
      <c r="T1311">
        <v>1.0566204005880078</v>
      </c>
      <c r="U1311">
        <v>3.7913176945389947E-2</v>
      </c>
      <c r="V1311">
        <v>0.25057084763256532</v>
      </c>
      <c r="W1311">
        <v>0.12116186683859495</v>
      </c>
      <c r="X1311">
        <v>2.2037098904187192E-2</v>
      </c>
      <c r="Y1311">
        <v>5.1954661607436685E-3</v>
      </c>
    </row>
    <row r="1312" spans="1:25" x14ac:dyDescent="0.25">
      <c r="A1312" s="881"/>
      <c r="B1312" s="1131">
        <v>1062</v>
      </c>
      <c r="C1312" s="885">
        <v>1.0038483377663001</v>
      </c>
      <c r="D1312" s="885">
        <v>1.0184178596854641</v>
      </c>
      <c r="E1312" s="885">
        <v>1.0081306816951872</v>
      </c>
      <c r="F1312" s="885">
        <v>1.0271384816332261</v>
      </c>
      <c r="G1312" s="885">
        <v>1.0077637535198039</v>
      </c>
      <c r="H1312" s="885">
        <v>0.98953050176656654</v>
      </c>
      <c r="I1312" s="885">
        <v>1.0160954939250109</v>
      </c>
      <c r="K1312">
        <v>1.9292441025896836</v>
      </c>
      <c r="L1312">
        <v>0</v>
      </c>
      <c r="M1312">
        <v>1.8756822254969642E-3</v>
      </c>
      <c r="N1312">
        <v>0.19380645423349677</v>
      </c>
      <c r="O1312">
        <v>2.4827446634397666E-2</v>
      </c>
      <c r="P1312">
        <v>2.1204163884474946E-2</v>
      </c>
      <c r="Q1312">
        <v>2.9442892880465013E-3</v>
      </c>
      <c r="R1312">
        <v>1.8643529958764003E-3</v>
      </c>
      <c r="S1312">
        <v>0.20554848842988377</v>
      </c>
      <c r="T1312">
        <v>1.0576267530418135</v>
      </c>
      <c r="U1312">
        <v>3.7177240024085415E-2</v>
      </c>
      <c r="V1312">
        <v>0.24502090684433658</v>
      </c>
      <c r="W1312">
        <v>0.11520595841733915</v>
      </c>
      <c r="X1312">
        <v>2.0819576750453064E-2</v>
      </c>
      <c r="Y1312">
        <v>5.0741542709756456E-3</v>
      </c>
    </row>
    <row r="1313" spans="1:25" x14ac:dyDescent="0.25">
      <c r="A1313" s="881"/>
      <c r="B1313" s="1131">
        <v>1063</v>
      </c>
      <c r="C1313" s="885">
        <v>1.015479824053179</v>
      </c>
      <c r="D1313" s="885">
        <v>1.0031565877007678</v>
      </c>
      <c r="E1313" s="885">
        <v>1.022701327593091</v>
      </c>
      <c r="F1313" s="885">
        <v>1.0025785999228247</v>
      </c>
      <c r="G1313" s="885">
        <v>1.0185387220657929</v>
      </c>
      <c r="H1313" s="885">
        <v>0.99232655810375914</v>
      </c>
      <c r="I1313" s="885">
        <v>0.99970477714863604</v>
      </c>
      <c r="K1313">
        <v>1.92738782521894</v>
      </c>
      <c r="L1313">
        <v>0</v>
      </c>
      <c r="M1313">
        <v>1.8166116810966078E-3</v>
      </c>
      <c r="N1313">
        <v>0.19640193222873109</v>
      </c>
      <c r="O1313">
        <v>2.472691111619266E-2</v>
      </c>
      <c r="P1313">
        <v>2.1356877487647846E-2</v>
      </c>
      <c r="Q1313">
        <v>2.9721460374795864E-3</v>
      </c>
      <c r="R1313">
        <v>1.8056815457557442E-3</v>
      </c>
      <c r="S1313">
        <v>0.20158225528784066</v>
      </c>
      <c r="T1313">
        <v>1.0562970957614053</v>
      </c>
      <c r="U1313">
        <v>3.6751405312965182E-2</v>
      </c>
      <c r="V1313">
        <v>0.24527054436129744</v>
      </c>
      <c r="W1313">
        <v>0.11560293251828892</v>
      </c>
      <c r="X1313">
        <v>2.1522185317643622E-2</v>
      </c>
      <c r="Y1313">
        <v>4.9144699247855523E-3</v>
      </c>
    </row>
    <row r="1314" spans="1:25" x14ac:dyDescent="0.25">
      <c r="A1314" s="881"/>
      <c r="B1314" s="1131">
        <v>1064</v>
      </c>
      <c r="C1314" s="885">
        <v>0.98810791733710412</v>
      </c>
      <c r="D1314" s="885">
        <v>0.95493309478985056</v>
      </c>
      <c r="E1314" s="885">
        <v>1.0002926314336051</v>
      </c>
      <c r="F1314" s="885">
        <v>1.0175300564732424</v>
      </c>
      <c r="G1314" s="885">
        <v>0.97710688072986562</v>
      </c>
      <c r="H1314" s="885">
        <v>0.95754372124064202</v>
      </c>
      <c r="I1314" s="885">
        <v>1.0068665753476573</v>
      </c>
      <c r="K1314">
        <v>1.9495330284496042</v>
      </c>
      <c r="L1314">
        <v>0</v>
      </c>
      <c r="M1314">
        <v>1.935429395934108E-3</v>
      </c>
      <c r="N1314">
        <v>0.19512969393232735</v>
      </c>
      <c r="O1314">
        <v>2.6041086361987393E-2</v>
      </c>
      <c r="P1314">
        <v>2.1298590947272152E-2</v>
      </c>
      <c r="Q1314">
        <v>3.0502344145921533E-3</v>
      </c>
      <c r="R1314">
        <v>1.9234028724125923E-3</v>
      </c>
      <c r="S1314">
        <v>0.20976717254222241</v>
      </c>
      <c r="T1314">
        <v>1.058345448976054</v>
      </c>
      <c r="U1314">
        <v>3.7769468239352962E-2</v>
      </c>
      <c r="V1314">
        <v>0.25543448834830007</v>
      </c>
      <c r="W1314">
        <v>0.11661446072122723</v>
      </c>
      <c r="X1314">
        <v>2.0859541920665876E-2</v>
      </c>
      <c r="Y1314">
        <v>5.2348685691205894E-3</v>
      </c>
    </row>
    <row r="1315" spans="1:25" x14ac:dyDescent="0.25">
      <c r="A1315" s="881"/>
      <c r="B1315" s="1131">
        <v>1065</v>
      </c>
      <c r="C1315" s="885">
        <v>0.97609744189224412</v>
      </c>
      <c r="D1315" s="885">
        <v>1.0133965920536054</v>
      </c>
      <c r="E1315" s="885">
        <v>1.0441267601084008</v>
      </c>
      <c r="F1315" s="885">
        <v>1.0195309901045588</v>
      </c>
      <c r="G1315" s="885">
        <v>0.99997526214624066</v>
      </c>
      <c r="H1315" s="885">
        <v>0.99582043813611532</v>
      </c>
      <c r="I1315" s="885">
        <v>0.9898238500283858</v>
      </c>
      <c r="K1315">
        <v>1.9572037234364901</v>
      </c>
      <c r="L1315">
        <v>0</v>
      </c>
      <c r="M1315">
        <v>1.8034040959906995E-3</v>
      </c>
      <c r="N1315">
        <v>0.20838254948137389</v>
      </c>
      <c r="O1315">
        <v>2.5595711554187398E-2</v>
      </c>
      <c r="P1315">
        <v>2.1822151921548599E-2</v>
      </c>
      <c r="Q1315">
        <v>3.1445352211169489E-3</v>
      </c>
      <c r="R1315">
        <v>1.7925839130809127E-3</v>
      </c>
      <c r="S1315">
        <v>0.20703444950468056</v>
      </c>
      <c r="T1315">
        <v>1.0543569851426333</v>
      </c>
      <c r="U1315">
        <v>3.8234205929859225E-2</v>
      </c>
      <c r="V1315">
        <v>0.24958014646959045</v>
      </c>
      <c r="W1315">
        <v>0.12091040779570923</v>
      </c>
      <c r="X1315">
        <v>2.3274578112422235E-2</v>
      </c>
      <c r="Y1315">
        <v>4.8788224862781103E-3</v>
      </c>
    </row>
    <row r="1316" spans="1:25" x14ac:dyDescent="0.25">
      <c r="A1316" s="881"/>
      <c r="B1316" s="1131">
        <v>1066</v>
      </c>
      <c r="C1316" s="885">
        <v>0.96453658768885564</v>
      </c>
      <c r="D1316" s="885">
        <v>1.0494376754624195</v>
      </c>
      <c r="E1316" s="885">
        <v>1.0330749215719233</v>
      </c>
      <c r="F1316" s="885">
        <v>0.9814966254672054</v>
      </c>
      <c r="G1316" s="885">
        <v>1.0121791776460118</v>
      </c>
      <c r="H1316" s="885">
        <v>1.0163457587285731</v>
      </c>
      <c r="I1316" s="885">
        <v>0.99197944149385553</v>
      </c>
      <c r="K1316">
        <v>1.9593866159960174</v>
      </c>
      <c r="L1316">
        <v>0</v>
      </c>
      <c r="M1316">
        <v>1.8742186101632263E-3</v>
      </c>
      <c r="N1316">
        <v>0.20928849115002526</v>
      </c>
      <c r="O1316">
        <v>2.5460146715945424E-2</v>
      </c>
      <c r="P1316">
        <v>2.1655829489808404E-2</v>
      </c>
      <c r="Q1316">
        <v>3.1014926037636402E-3</v>
      </c>
      <c r="R1316">
        <v>1.8631742928060557E-3</v>
      </c>
      <c r="S1316">
        <v>0.2087319843040786</v>
      </c>
      <c r="T1316">
        <v>1.0553555032134636</v>
      </c>
      <c r="U1316">
        <v>3.8692477897951813E-2</v>
      </c>
      <c r="V1316">
        <v>0.24692164711391257</v>
      </c>
      <c r="W1316">
        <v>0.12233339045871536</v>
      </c>
      <c r="X1316">
        <v>2.2785751135930375E-2</v>
      </c>
      <c r="Y1316">
        <v>5.0709462297775301E-3</v>
      </c>
    </row>
    <row r="1317" spans="1:25" x14ac:dyDescent="0.25">
      <c r="A1317" s="881"/>
      <c r="B1317" s="1131">
        <v>1067</v>
      </c>
      <c r="C1317" s="885">
        <v>0.96513658283858472</v>
      </c>
      <c r="D1317" s="885">
        <v>0.97086540268092913</v>
      </c>
      <c r="E1317" s="885">
        <v>1.0250076631096614</v>
      </c>
      <c r="F1317" s="885">
        <v>0.96261085629821364</v>
      </c>
      <c r="G1317" s="885">
        <v>1.0330439234861148</v>
      </c>
      <c r="H1317" s="885">
        <v>1.0013963301957365</v>
      </c>
      <c r="I1317" s="885">
        <v>0.99215272782703334</v>
      </c>
      <c r="K1317">
        <v>1.9829374381157958</v>
      </c>
      <c r="L1317">
        <v>0</v>
      </c>
      <c r="M1317">
        <v>1.9508307691931935E-3</v>
      </c>
      <c r="N1317">
        <v>0.2124436112843909</v>
      </c>
      <c r="O1317">
        <v>2.6442283127596219E-2</v>
      </c>
      <c r="P1317">
        <v>2.1757882911205763E-2</v>
      </c>
      <c r="Q1317">
        <v>3.1783121778232938E-3</v>
      </c>
      <c r="R1317">
        <v>1.9392258728726352E-3</v>
      </c>
      <c r="S1317">
        <v>0.21464325534625137</v>
      </c>
      <c r="T1317">
        <v>1.0560873897406513</v>
      </c>
      <c r="U1317">
        <v>3.8668423997724091E-2</v>
      </c>
      <c r="V1317">
        <v>0.25675698572697214</v>
      </c>
      <c r="W1317">
        <v>0.12485119352623615</v>
      </c>
      <c r="X1317">
        <v>2.2841771612940702E-2</v>
      </c>
      <c r="Y1317">
        <v>5.2779335603221266E-3</v>
      </c>
    </row>
    <row r="1318" spans="1:25" x14ac:dyDescent="0.25">
      <c r="A1318" s="881"/>
      <c r="B1318" s="1131">
        <v>1068</v>
      </c>
      <c r="C1318" s="885">
        <v>1.0136155375853622</v>
      </c>
      <c r="D1318" s="885">
        <v>1.0165565268613037</v>
      </c>
      <c r="E1318" s="885">
        <v>0.97987365496769474</v>
      </c>
      <c r="F1318" s="885">
        <v>0.99519942169552633</v>
      </c>
      <c r="G1318" s="885">
        <v>0.98800103455452459</v>
      </c>
      <c r="H1318" s="885">
        <v>0.99230451816187348</v>
      </c>
      <c r="I1318" s="885">
        <v>0.96560363819837192</v>
      </c>
      <c r="K1318">
        <v>1.908204597019461</v>
      </c>
      <c r="L1318">
        <v>0</v>
      </c>
      <c r="M1318">
        <v>1.9787063645220829E-3</v>
      </c>
      <c r="N1318">
        <v>0.18724140662166389</v>
      </c>
      <c r="O1318">
        <v>2.4610431019682619E-2</v>
      </c>
      <c r="P1318">
        <v>2.0617648754532418E-2</v>
      </c>
      <c r="Q1318">
        <v>2.8361945099452616E-3</v>
      </c>
      <c r="R1318">
        <v>1.9667897730858445E-3</v>
      </c>
      <c r="S1318">
        <v>0.19387944598528706</v>
      </c>
      <c r="T1318">
        <v>1.0602289590125626</v>
      </c>
      <c r="U1318">
        <v>3.6819000120915074E-2</v>
      </c>
      <c r="V1318">
        <v>0.24390986614887922</v>
      </c>
      <c r="W1318">
        <v>0.11348565737742768</v>
      </c>
      <c r="X1318">
        <v>1.9234950649738094E-2</v>
      </c>
      <c r="Y1318">
        <v>5.3529534102652173E-3</v>
      </c>
    </row>
    <row r="1319" spans="1:25" x14ac:dyDescent="0.25">
      <c r="A1319" s="881"/>
      <c r="B1319" s="1131">
        <v>1069</v>
      </c>
      <c r="C1319" s="885">
        <v>0.99355241179664266</v>
      </c>
      <c r="D1319" s="885">
        <v>0.98624620979177124</v>
      </c>
      <c r="E1319" s="885">
        <v>1.0159715343311633</v>
      </c>
      <c r="F1319" s="885">
        <v>0.98856113006813018</v>
      </c>
      <c r="G1319" s="885">
        <v>0.99648397834758384</v>
      </c>
      <c r="H1319" s="885">
        <v>1.0087975234393403</v>
      </c>
      <c r="I1319" s="885">
        <v>0.99694434257262998</v>
      </c>
      <c r="K1319">
        <v>1.9560048258958773</v>
      </c>
      <c r="L1319">
        <v>0</v>
      </c>
      <c r="M1319">
        <v>1.9307212183506256E-3</v>
      </c>
      <c r="N1319">
        <v>0.20444162205047259</v>
      </c>
      <c r="O1319">
        <v>2.5486359474826789E-2</v>
      </c>
      <c r="P1319">
        <v>2.1442213716142029E-2</v>
      </c>
      <c r="Q1319">
        <v>3.0393835488531601E-3</v>
      </c>
      <c r="R1319">
        <v>1.9193076674481784E-3</v>
      </c>
      <c r="S1319">
        <v>0.20875689133048347</v>
      </c>
      <c r="T1319">
        <v>1.0569101983310363</v>
      </c>
      <c r="U1319">
        <v>3.7562498120688466E-2</v>
      </c>
      <c r="V1319">
        <v>0.25046672186127145</v>
      </c>
      <c r="W1319">
        <v>0.12088307715439328</v>
      </c>
      <c r="X1319">
        <v>2.1803551087421044E-2</v>
      </c>
      <c r="Y1319">
        <v>5.2237227711914094E-3</v>
      </c>
    </row>
    <row r="1320" spans="1:25" x14ac:dyDescent="0.25">
      <c r="A1320" s="881"/>
      <c r="B1320" s="1131">
        <v>1070</v>
      </c>
      <c r="C1320" s="885">
        <v>1.0017133193926633</v>
      </c>
      <c r="D1320" s="885">
        <v>0.99700455396755139</v>
      </c>
      <c r="E1320" s="885">
        <v>0.99010983808461339</v>
      </c>
      <c r="F1320" s="885">
        <v>1.0018070128737191</v>
      </c>
      <c r="G1320" s="885">
        <v>0.96881060447001766</v>
      </c>
      <c r="H1320" s="885">
        <v>0.97927628123551624</v>
      </c>
      <c r="I1320" s="885">
        <v>1.0160279553547498</v>
      </c>
      <c r="K1320">
        <v>1.9312798593313745</v>
      </c>
      <c r="L1320">
        <v>0</v>
      </c>
      <c r="M1320">
        <v>1.9525358713566982E-3</v>
      </c>
      <c r="N1320">
        <v>0.19073659524554595</v>
      </c>
      <c r="O1320">
        <v>2.5143175024809377E-2</v>
      </c>
      <c r="P1320">
        <v>2.100249605715029E-2</v>
      </c>
      <c r="Q1320">
        <v>2.9238599903137581E-3</v>
      </c>
      <c r="R1320">
        <v>1.940636426062303E-3</v>
      </c>
      <c r="S1320">
        <v>0.20693488274782443</v>
      </c>
      <c r="T1320">
        <v>1.059282715663485</v>
      </c>
      <c r="U1320">
        <v>3.7256478354050514E-2</v>
      </c>
      <c r="V1320">
        <v>0.24793983251558671</v>
      </c>
      <c r="W1320">
        <v>0.11478871196232068</v>
      </c>
      <c r="X1320">
        <v>2.0001238594466612E-2</v>
      </c>
      <c r="Y1320">
        <v>5.2817726211156664E-3</v>
      </c>
    </row>
    <row r="1321" spans="1:25" x14ac:dyDescent="0.25">
      <c r="A1321" s="881"/>
      <c r="B1321" s="1131">
        <v>1071</v>
      </c>
      <c r="C1321" s="885">
        <v>1.0196706878053388</v>
      </c>
      <c r="D1321" s="885">
        <v>1.0372714540911612</v>
      </c>
      <c r="E1321" s="885">
        <v>1.0394814787616222</v>
      </c>
      <c r="F1321" s="885">
        <v>1.000427345674308</v>
      </c>
      <c r="G1321" s="885">
        <v>0.98976983836820698</v>
      </c>
      <c r="H1321" s="885">
        <v>0.96468618674360584</v>
      </c>
      <c r="I1321" s="885">
        <v>0.99787688421644827</v>
      </c>
      <c r="K1321">
        <v>1.9024195784739431</v>
      </c>
      <c r="L1321">
        <v>0</v>
      </c>
      <c r="M1321">
        <v>1.6696372805458629E-3</v>
      </c>
      <c r="N1321">
        <v>0.19012728688242622</v>
      </c>
      <c r="O1321">
        <v>2.4222100699970051E-2</v>
      </c>
      <c r="P1321">
        <v>2.1433481464548178E-2</v>
      </c>
      <c r="Q1321">
        <v>2.9669934766793382E-3</v>
      </c>
      <c r="R1321">
        <v>1.6592798561280587E-3</v>
      </c>
      <c r="S1321">
        <v>0.19465504588211816</v>
      </c>
      <c r="T1321">
        <v>1.0547760965058464</v>
      </c>
      <c r="U1321">
        <v>3.6600356416287998E-2</v>
      </c>
      <c r="V1321">
        <v>0.24068857019726522</v>
      </c>
      <c r="W1321">
        <v>0.11065924671940877</v>
      </c>
      <c r="X1321">
        <v>2.1784744866884902E-2</v>
      </c>
      <c r="Y1321">
        <v>4.5160127869230075E-3</v>
      </c>
    </row>
    <row r="1322" spans="1:25" x14ac:dyDescent="0.25">
      <c r="A1322" s="881"/>
      <c r="B1322" s="1131">
        <v>1072</v>
      </c>
      <c r="C1322" s="885">
        <v>0.98801462879274393</v>
      </c>
      <c r="D1322" s="885">
        <v>0.9830346408644578</v>
      </c>
      <c r="E1322" s="885">
        <v>1.0021852428941345</v>
      </c>
      <c r="F1322" s="885">
        <v>1.0193123506703243</v>
      </c>
      <c r="G1322" s="885">
        <v>1.0421411895366246</v>
      </c>
      <c r="H1322" s="885">
        <v>0.96312047116348376</v>
      </c>
      <c r="I1322" s="885">
        <v>0.99678002662815124</v>
      </c>
      <c r="K1322">
        <v>1.9385238735652517</v>
      </c>
      <c r="L1322">
        <v>0</v>
      </c>
      <c r="M1322">
        <v>1.9114023614721697E-3</v>
      </c>
      <c r="N1322">
        <v>0.19384977901269274</v>
      </c>
      <c r="O1322">
        <v>2.5670710148351782E-2</v>
      </c>
      <c r="P1322">
        <v>2.1216812495315859E-2</v>
      </c>
      <c r="Q1322">
        <v>3.0187555908755092E-3</v>
      </c>
      <c r="R1322">
        <v>1.8995698238131636E-3</v>
      </c>
      <c r="S1322">
        <v>0.2055045139512357</v>
      </c>
      <c r="T1322">
        <v>1.0581716900498457</v>
      </c>
      <c r="U1322">
        <v>3.7773034440308516E-2</v>
      </c>
      <c r="V1322">
        <v>0.25168527483804148</v>
      </c>
      <c r="W1322">
        <v>0.11569975225377102</v>
      </c>
      <c r="X1322">
        <v>2.0775380455073027E-2</v>
      </c>
      <c r="Y1322">
        <v>5.1700028673953031E-3</v>
      </c>
    </row>
    <row r="1323" spans="1:25" x14ac:dyDescent="0.25">
      <c r="A1323" s="881"/>
      <c r="B1323" s="1131">
        <v>1073</v>
      </c>
      <c r="C1323" s="885">
        <v>0.96745765910095316</v>
      </c>
      <c r="D1323" s="885">
        <v>0.97810211955955106</v>
      </c>
      <c r="E1323" s="885">
        <v>1.0021852860021376</v>
      </c>
      <c r="F1323" s="885">
        <v>1.0157751662463224</v>
      </c>
      <c r="G1323" s="885">
        <v>1.0334939937821965</v>
      </c>
      <c r="H1323" s="885">
        <v>0.97607781426176532</v>
      </c>
      <c r="I1323" s="885">
        <v>0.98813846802499194</v>
      </c>
      <c r="K1323">
        <v>1.9605705108448725</v>
      </c>
      <c r="L1323">
        <v>0</v>
      </c>
      <c r="M1323">
        <v>1.9832191605005556E-3</v>
      </c>
      <c r="N1323">
        <v>0.20115035740846476</v>
      </c>
      <c r="O1323">
        <v>2.6281708973024995E-2</v>
      </c>
      <c r="P1323">
        <v>2.1338744129312855E-2</v>
      </c>
      <c r="Q1323">
        <v>3.0895133943479795E-3</v>
      </c>
      <c r="R1323">
        <v>1.9711092769461704E-3</v>
      </c>
      <c r="S1323">
        <v>0.20988747131868385</v>
      </c>
      <c r="T1323">
        <v>1.0581716860937271</v>
      </c>
      <c r="U1323">
        <v>3.8575652639515214E-2</v>
      </c>
      <c r="V1323">
        <v>0.25541922226572517</v>
      </c>
      <c r="W1323">
        <v>0.12005711820270634</v>
      </c>
      <c r="X1323">
        <v>2.1246436627069158E-2</v>
      </c>
      <c r="Y1323">
        <v>5.3647096758489615E-3</v>
      </c>
    </row>
    <row r="1324" spans="1:25" x14ac:dyDescent="0.25">
      <c r="A1324" s="881"/>
      <c r="B1324" s="1131">
        <v>1074</v>
      </c>
      <c r="C1324" s="885">
        <v>1.0285869271006713</v>
      </c>
      <c r="D1324" s="885">
        <v>0.98600561297951295</v>
      </c>
      <c r="E1324" s="885">
        <v>1.002907264238416</v>
      </c>
      <c r="F1324" s="885">
        <v>1.0103848375891051</v>
      </c>
      <c r="G1324" s="885">
        <v>0.97796566824429654</v>
      </c>
      <c r="H1324" s="885">
        <v>0.97464476588337368</v>
      </c>
      <c r="I1324" s="885">
        <v>0.97314607005095555</v>
      </c>
      <c r="K1324">
        <v>1.9079252410587719</v>
      </c>
      <c r="L1324">
        <v>0</v>
      </c>
      <c r="M1324">
        <v>1.8523798357138808E-3</v>
      </c>
      <c r="N1324">
        <v>0.18829987280847424</v>
      </c>
      <c r="O1324">
        <v>2.4621252201264144E-2</v>
      </c>
      <c r="P1324">
        <v>2.0960387594743033E-2</v>
      </c>
      <c r="Q1324">
        <v>2.8980571406082784E-3</v>
      </c>
      <c r="R1324">
        <v>1.8410458797669792E-3</v>
      </c>
      <c r="S1324">
        <v>0.19356216716465574</v>
      </c>
      <c r="T1324">
        <v>1.0581054387138751</v>
      </c>
      <c r="U1324">
        <v>3.6283088592340473E-2</v>
      </c>
      <c r="V1324">
        <v>0.24560163303420904</v>
      </c>
      <c r="W1324">
        <v>0.1123318649209466</v>
      </c>
      <c r="X1324">
        <v>2.0262092859486408E-2</v>
      </c>
      <c r="Y1324">
        <v>5.0107199841145601E-3</v>
      </c>
    </row>
    <row r="1325" spans="1:25" x14ac:dyDescent="0.25">
      <c r="A1325" s="881"/>
      <c r="B1325" s="1131">
        <v>1075</v>
      </c>
      <c r="C1325" s="885">
        <v>1.017427594128099</v>
      </c>
      <c r="D1325" s="885">
        <v>0.97600918102184842</v>
      </c>
      <c r="E1325" s="885">
        <v>1.005313661692969</v>
      </c>
      <c r="F1325" s="885">
        <v>1.0074759571783658</v>
      </c>
      <c r="G1325" s="885">
        <v>1.0185074231693771</v>
      </c>
      <c r="H1325" s="885">
        <v>1.0351889314385552</v>
      </c>
      <c r="I1325" s="885">
        <v>0.97207028434388409</v>
      </c>
      <c r="K1325">
        <v>1.9460629012453057</v>
      </c>
      <c r="L1325">
        <v>0</v>
      </c>
      <c r="M1325">
        <v>1.9889921649426426E-3</v>
      </c>
      <c r="N1325">
        <v>0.20378000745064345</v>
      </c>
      <c r="O1325">
        <v>2.5017506900078004E-2</v>
      </c>
      <c r="P1325">
        <v>2.1158520026826694E-2</v>
      </c>
      <c r="Q1325">
        <v>2.9496999275784538E-3</v>
      </c>
      <c r="R1325">
        <v>1.9775422561459709E-3</v>
      </c>
      <c r="S1325">
        <v>0.20231184739940616</v>
      </c>
      <c r="T1325">
        <v>1.0578847788881156</v>
      </c>
      <c r="U1325">
        <v>3.6681048181024752E-2</v>
      </c>
      <c r="V1325">
        <v>0.24839513880138092</v>
      </c>
      <c r="W1325">
        <v>0.12136723958310593</v>
      </c>
      <c r="X1325">
        <v>2.1146345871341204E-2</v>
      </c>
      <c r="Y1325">
        <v>5.3822181245997951E-3</v>
      </c>
    </row>
    <row r="1326" spans="1:25" x14ac:dyDescent="0.25">
      <c r="A1326" s="881"/>
      <c r="B1326" s="1131">
        <v>1076</v>
      </c>
      <c r="C1326" s="885">
        <v>1.0028972614921843</v>
      </c>
      <c r="D1326" s="885">
        <v>1.0107737445891332</v>
      </c>
      <c r="E1326" s="885">
        <v>1.0279838475819685</v>
      </c>
      <c r="F1326" s="885">
        <v>1.0004165776849472</v>
      </c>
      <c r="G1326" s="885">
        <v>0.99258421545295705</v>
      </c>
      <c r="H1326" s="885">
        <v>1.0011339346573882</v>
      </c>
      <c r="I1326" s="885">
        <v>1.0095444417080832</v>
      </c>
      <c r="K1326">
        <v>1.9406497953169681</v>
      </c>
      <c r="L1326">
        <v>0</v>
      </c>
      <c r="M1326">
        <v>1.828274017787465E-3</v>
      </c>
      <c r="N1326">
        <v>0.20094201263489811</v>
      </c>
      <c r="O1326">
        <v>2.4943656654715984E-2</v>
      </c>
      <c r="P1326">
        <v>2.151605500850174E-2</v>
      </c>
      <c r="Q1326">
        <v>3.015523792053232E-3</v>
      </c>
      <c r="R1326">
        <v>1.8173647874408475E-3</v>
      </c>
      <c r="S1326">
        <v>0.20629919133164623</v>
      </c>
      <c r="T1326">
        <v>1.0558170845539971</v>
      </c>
      <c r="U1326">
        <v>3.721249626845026E-2</v>
      </c>
      <c r="V1326">
        <v>0.24607763916039482</v>
      </c>
      <c r="W1326">
        <v>0.11785595028743195</v>
      </c>
      <c r="X1326">
        <v>2.2034826997952117E-2</v>
      </c>
      <c r="Y1326">
        <v>4.946267857272816E-3</v>
      </c>
    </row>
    <row r="1327" spans="1:25" x14ac:dyDescent="0.25">
      <c r="A1327" s="881"/>
      <c r="B1327" s="1131">
        <v>1077</v>
      </c>
      <c r="C1327" s="885">
        <v>1.0265966769416137</v>
      </c>
      <c r="D1327" s="885">
        <v>0.97306491533829165</v>
      </c>
      <c r="E1327" s="885">
        <v>0.99709071089095558</v>
      </c>
      <c r="F1327" s="885">
        <v>0.99471555010455637</v>
      </c>
      <c r="G1327" s="885">
        <v>0.99398251183612807</v>
      </c>
      <c r="H1327" s="885">
        <v>0.97688648028982183</v>
      </c>
      <c r="I1327" s="885">
        <v>1.0325175011669256</v>
      </c>
      <c r="K1327">
        <v>1.9264358365495875</v>
      </c>
      <c r="L1327">
        <v>0</v>
      </c>
      <c r="M1327">
        <v>1.8955468175817435E-3</v>
      </c>
      <c r="N1327">
        <v>0.18923615988436052</v>
      </c>
      <c r="O1327">
        <v>2.483130148688277E-2</v>
      </c>
      <c r="P1327">
        <v>2.1090158827194182E-2</v>
      </c>
      <c r="Q1327">
        <v>2.9030431467397715E-3</v>
      </c>
      <c r="R1327">
        <v>1.8839860402629035E-3</v>
      </c>
      <c r="S1327">
        <v>0.20725514118434768</v>
      </c>
      <c r="T1327">
        <v>1.0586397320821885</v>
      </c>
      <c r="U1327">
        <v>3.6353430163148147E-2</v>
      </c>
      <c r="V1327">
        <v>0.24750020374857326</v>
      </c>
      <c r="W1327">
        <v>0.11334060609957097</v>
      </c>
      <c r="X1327">
        <v>2.0170031758135375E-2</v>
      </c>
      <c r="Y1327">
        <v>5.1275889457643642E-3</v>
      </c>
    </row>
    <row r="1328" spans="1:25" x14ac:dyDescent="0.25">
      <c r="A1328" s="881"/>
      <c r="B1328" s="1131">
        <v>1078</v>
      </c>
      <c r="C1328" s="885">
        <v>1.0065093455891971</v>
      </c>
      <c r="D1328" s="885">
        <v>1.0267094805704804</v>
      </c>
      <c r="E1328" s="885">
        <v>1.0181916846497405</v>
      </c>
      <c r="F1328" s="885">
        <v>0.97463296435084157</v>
      </c>
      <c r="G1328" s="885">
        <v>0.9857675555581864</v>
      </c>
      <c r="H1328" s="885">
        <v>1.0050813670149754</v>
      </c>
      <c r="I1328" s="885">
        <v>0.9869387255113331</v>
      </c>
      <c r="K1328">
        <v>1.9267567864307455</v>
      </c>
      <c r="L1328">
        <v>0</v>
      </c>
      <c r="M1328">
        <v>1.8527846577382056E-3</v>
      </c>
      <c r="N1328">
        <v>0.19753946451141058</v>
      </c>
      <c r="O1328">
        <v>2.4662923842270888E-2</v>
      </c>
      <c r="P1328">
        <v>2.1251388744717659E-2</v>
      </c>
      <c r="Q1328">
        <v>2.9559448911147027E-3</v>
      </c>
      <c r="R1328">
        <v>1.8417607475824554E-3</v>
      </c>
      <c r="S1328">
        <v>0.19990850402738053</v>
      </c>
      <c r="T1328">
        <v>1.056707740888623</v>
      </c>
      <c r="U1328">
        <v>3.7078950895453489E-2</v>
      </c>
      <c r="V1328">
        <v>0.24367419205576427</v>
      </c>
      <c r="W1328">
        <v>0.11662673565172912</v>
      </c>
      <c r="X1328">
        <v>2.1349299213784024E-2</v>
      </c>
      <c r="Y1328">
        <v>5.0126656186521741E-3</v>
      </c>
    </row>
    <row r="1329" spans="1:25" x14ac:dyDescent="0.25">
      <c r="A1329" s="881"/>
      <c r="B1329" s="1131">
        <v>1079</v>
      </c>
      <c r="C1329" s="885">
        <v>0.99068496814574747</v>
      </c>
      <c r="D1329" s="885">
        <v>1.0370446858495002</v>
      </c>
      <c r="E1329" s="885">
        <v>0.99173050424600284</v>
      </c>
      <c r="F1329" s="885">
        <v>0.99391107907192966</v>
      </c>
      <c r="G1329" s="885">
        <v>0.9639075418451013</v>
      </c>
      <c r="H1329" s="885">
        <v>1.0300022694003326</v>
      </c>
      <c r="I1329" s="885">
        <v>1.0195858320792983</v>
      </c>
      <c r="K1329">
        <v>1.9467632499427816</v>
      </c>
      <c r="L1329">
        <v>0</v>
      </c>
      <c r="M1329">
        <v>2.0296525389602283E-3</v>
      </c>
      <c r="N1329">
        <v>0.19932977738054689</v>
      </c>
      <c r="O1329">
        <v>2.4933482036817976E-2</v>
      </c>
      <c r="P1329">
        <v>2.1047765093054199E-2</v>
      </c>
      <c r="Q1329">
        <v>2.9121504835040437E-3</v>
      </c>
      <c r="R1329">
        <v>2.0178603959000465E-3</v>
      </c>
      <c r="S1329">
        <v>0.21141117480459917</v>
      </c>
      <c r="T1329">
        <v>1.0591332728623668</v>
      </c>
      <c r="U1329">
        <v>3.7671219207826297E-2</v>
      </c>
      <c r="V1329">
        <v>0.24464634151156572</v>
      </c>
      <c r="W1329">
        <v>0.11982644392335816</v>
      </c>
      <c r="X1329">
        <v>2.0371463972063186E-2</v>
      </c>
      <c r="Y1329">
        <v>5.4919508101391908E-3</v>
      </c>
    </row>
    <row r="1330" spans="1:25" x14ac:dyDescent="0.25">
      <c r="A1330" s="881"/>
      <c r="B1330" s="1131">
        <v>1080</v>
      </c>
      <c r="C1330" s="885">
        <v>1.0169448317855181</v>
      </c>
      <c r="D1330" s="885">
        <v>1.0154140378233465</v>
      </c>
      <c r="E1330" s="885">
        <v>1.0074989132408609</v>
      </c>
      <c r="F1330" s="885">
        <v>1.0185814884814548</v>
      </c>
      <c r="G1330" s="885">
        <v>0.99432763748137287</v>
      </c>
      <c r="H1330" s="885">
        <v>0.98674869045146674</v>
      </c>
      <c r="I1330" s="885">
        <v>1.0080204084990905</v>
      </c>
      <c r="K1330">
        <v>1.9178727121406982</v>
      </c>
      <c r="L1330">
        <v>0</v>
      </c>
      <c r="M1330">
        <v>1.8514792598587999E-3</v>
      </c>
      <c r="N1330">
        <v>0.19092720254570431</v>
      </c>
      <c r="O1330">
        <v>2.4543488750862801E-2</v>
      </c>
      <c r="P1330">
        <v>2.1110361289928731E-2</v>
      </c>
      <c r="Q1330">
        <v>2.908180389780119E-3</v>
      </c>
      <c r="R1330">
        <v>1.8402669690172685E-3</v>
      </c>
      <c r="S1330">
        <v>0.2012842986245619</v>
      </c>
      <c r="T1330">
        <v>1.057684593148861</v>
      </c>
      <c r="U1330">
        <v>3.6698461346611179E-2</v>
      </c>
      <c r="V1330">
        <v>0.24359439902433586</v>
      </c>
      <c r="W1330">
        <v>0.11354322661995561</v>
      </c>
      <c r="X1330">
        <v>2.0581112645117468E-2</v>
      </c>
      <c r="Y1330">
        <v>5.0086000458217086E-3</v>
      </c>
    </row>
    <row r="1331" spans="1:25" x14ac:dyDescent="0.25">
      <c r="A1331" s="881"/>
      <c r="B1331" s="1131">
        <v>1081</v>
      </c>
      <c r="C1331" s="885">
        <v>0.99345222679393241</v>
      </c>
      <c r="D1331" s="885">
        <v>0.99800614804538035</v>
      </c>
      <c r="E1331" s="885">
        <v>1.0194414952499848</v>
      </c>
      <c r="F1331" s="885">
        <v>0.99876003920130974</v>
      </c>
      <c r="G1331" s="885">
        <v>1.0427771954443337</v>
      </c>
      <c r="H1331" s="885">
        <v>1.0254746752133119</v>
      </c>
      <c r="I1331" s="885">
        <v>0.99070583433185622</v>
      </c>
      <c r="K1331">
        <v>1.9579698653575826</v>
      </c>
      <c r="L1331">
        <v>0</v>
      </c>
      <c r="M1331">
        <v>1.9371055901446152E-3</v>
      </c>
      <c r="N1331">
        <v>0.2073601045731524</v>
      </c>
      <c r="O1331">
        <v>2.5339652307116604E-2</v>
      </c>
      <c r="P1331">
        <v>2.1462022833348519E-2</v>
      </c>
      <c r="Q1331">
        <v>3.0348590202871309E-3</v>
      </c>
      <c r="R1331">
        <v>1.9258312395247538E-3</v>
      </c>
      <c r="S1331">
        <v>0.20802862066316782</v>
      </c>
      <c r="T1331">
        <v>1.0565938543146718</v>
      </c>
      <c r="U1331">
        <v>3.7566286122642255E-2</v>
      </c>
      <c r="V1331">
        <v>0.24898547052280612</v>
      </c>
      <c r="W1331">
        <v>0.12232152585799318</v>
      </c>
      <c r="X1331">
        <v>2.2047265709125304E-2</v>
      </c>
      <c r="Y1331">
        <v>5.24147778388889E-3</v>
      </c>
    </row>
    <row r="1332" spans="1:25" x14ac:dyDescent="0.25">
      <c r="A1332" s="881"/>
      <c r="B1332" s="1131">
        <v>1082</v>
      </c>
      <c r="C1332" s="885">
        <v>0.98019091295805238</v>
      </c>
      <c r="D1332" s="885">
        <v>1.0165066163613947</v>
      </c>
      <c r="E1332" s="885">
        <v>1.0364232448407451</v>
      </c>
      <c r="F1332" s="885">
        <v>1.0314144756691452</v>
      </c>
      <c r="G1332" s="885">
        <v>0.98471497397249874</v>
      </c>
      <c r="H1332" s="885">
        <v>1.0033759058008795</v>
      </c>
      <c r="I1332" s="885">
        <v>1.0112558756542835</v>
      </c>
      <c r="K1332">
        <v>1.9590160430954222</v>
      </c>
      <c r="L1332">
        <v>0</v>
      </c>
      <c r="M1332">
        <v>1.8364948849625973E-3</v>
      </c>
      <c r="N1332">
        <v>0.20720472420017264</v>
      </c>
      <c r="O1332">
        <v>2.5450266716785266E-2</v>
      </c>
      <c r="P1332">
        <v>2.1752494076369904E-2</v>
      </c>
      <c r="Q1332">
        <v>3.103734482341333E-3</v>
      </c>
      <c r="R1332">
        <v>1.825556826107933E-3</v>
      </c>
      <c r="S1332">
        <v>0.21112098635678125</v>
      </c>
      <c r="T1332">
        <v>1.055052481441308</v>
      </c>
      <c r="U1332">
        <v>3.8074532325840869E-2</v>
      </c>
      <c r="V1332">
        <v>0.24860163290627169</v>
      </c>
      <c r="W1332">
        <v>0.12084482594975247</v>
      </c>
      <c r="X1332">
        <v>2.2852738812634436E-2</v>
      </c>
      <c r="Y1332">
        <v>4.968563886019804E-3</v>
      </c>
    </row>
    <row r="1333" spans="1:25" x14ac:dyDescent="0.25">
      <c r="A1333" s="881"/>
      <c r="B1333" s="1131">
        <v>1083</v>
      </c>
      <c r="C1333" s="885">
        <v>1.0012865004431697</v>
      </c>
      <c r="D1333" s="885">
        <v>0.99403002488313774</v>
      </c>
      <c r="E1333" s="885">
        <v>0.99057762911114833</v>
      </c>
      <c r="F1333" s="885">
        <v>0.9923982597705826</v>
      </c>
      <c r="G1333" s="885">
        <v>0.98618542279169308</v>
      </c>
      <c r="H1333" s="885">
        <v>1.0193024445752521</v>
      </c>
      <c r="I1333" s="885">
        <v>1.0203813604756182</v>
      </c>
      <c r="K1333">
        <v>1.9511108734712654</v>
      </c>
      <c r="L1333">
        <v>0</v>
      </c>
      <c r="M1333">
        <v>2.0342153277094184E-3</v>
      </c>
      <c r="N1333">
        <v>0.19905336235946283</v>
      </c>
      <c r="O1333">
        <v>2.5191146075042099E-2</v>
      </c>
      <c r="P1333">
        <v>2.1088567453259072E-2</v>
      </c>
      <c r="Q1333">
        <v>2.9302120433103828E-3</v>
      </c>
      <c r="R1333">
        <v>2.0223073862644376E-3</v>
      </c>
      <c r="S1333">
        <v>0.21233559813884151</v>
      </c>
      <c r="T1333">
        <v>1.0592395698299777</v>
      </c>
      <c r="U1333">
        <v>3.727235969365298E-2</v>
      </c>
      <c r="V1333">
        <v>0.24837168561782785</v>
      </c>
      <c r="W1333">
        <v>0.11975529454622534</v>
      </c>
      <c r="X1333">
        <v>2.0380931603149879E-2</v>
      </c>
      <c r="Y1333">
        <v>5.5040540519610843E-3</v>
      </c>
    </row>
    <row r="1334" spans="1:25" x14ac:dyDescent="0.25">
      <c r="A1334" s="881"/>
      <c r="B1334" s="1131">
        <v>1084</v>
      </c>
      <c r="C1334" s="885">
        <v>0.99995241153649783</v>
      </c>
      <c r="D1334" s="885">
        <v>0.97666528410996023</v>
      </c>
      <c r="E1334" s="885">
        <v>1.0139982056426793</v>
      </c>
      <c r="F1334" s="885">
        <v>0.99217445597951559</v>
      </c>
      <c r="G1334" s="885">
        <v>0.98589139781256419</v>
      </c>
      <c r="H1334" s="885">
        <v>0.9940321263620252</v>
      </c>
      <c r="I1334" s="885">
        <v>0.99157946254269103</v>
      </c>
      <c r="K1334">
        <v>1.9470126396659182</v>
      </c>
      <c r="L1334">
        <v>0</v>
      </c>
      <c r="M1334">
        <v>1.9073860772661096E-3</v>
      </c>
      <c r="N1334">
        <v>0.20071900525340935</v>
      </c>
      <c r="O1334">
        <v>2.5446219336779197E-2</v>
      </c>
      <c r="P1334">
        <v>2.1372901093133199E-2</v>
      </c>
      <c r="Q1334">
        <v>3.0265555105727917E-3</v>
      </c>
      <c r="R1334">
        <v>1.8959507868322662E-3</v>
      </c>
      <c r="S1334">
        <v>0.2057349024621947</v>
      </c>
      <c r="T1334">
        <v>1.0570903095467614</v>
      </c>
      <c r="U1334">
        <v>3.7322086701677706E-2</v>
      </c>
      <c r="V1334">
        <v>0.2507806101999413</v>
      </c>
      <c r="W1334">
        <v>0.11884064280168585</v>
      </c>
      <c r="X1334">
        <v>2.153068900844873E-2</v>
      </c>
      <c r="Y1334">
        <v>5.1601530417485228E-3</v>
      </c>
    </row>
    <row r="1335" spans="1:25" x14ac:dyDescent="0.25">
      <c r="A1335" s="881"/>
      <c r="B1335" s="1131">
        <v>1085</v>
      </c>
      <c r="C1335" s="885">
        <v>1.0067691165104271</v>
      </c>
      <c r="D1335" s="885">
        <v>0.97778160066582098</v>
      </c>
      <c r="E1335" s="885">
        <v>1.0117640231016485</v>
      </c>
      <c r="F1335" s="885">
        <v>1.0134143001199694</v>
      </c>
      <c r="G1335" s="885">
        <v>1.0369419784679024</v>
      </c>
      <c r="H1335" s="885">
        <v>0.96812699900199184</v>
      </c>
      <c r="I1335" s="885">
        <v>0.97905951511646883</v>
      </c>
      <c r="K1335">
        <v>1.9270240838731723</v>
      </c>
      <c r="L1335">
        <v>0</v>
      </c>
      <c r="M1335">
        <v>1.8527688068830299E-3</v>
      </c>
      <c r="N1335">
        <v>0.1935909249421002</v>
      </c>
      <c r="O1335">
        <v>2.5259593601608069E-2</v>
      </c>
      <c r="P1335">
        <v>2.1229964976553977E-2</v>
      </c>
      <c r="Q1335">
        <v>2.99790778192851E-3</v>
      </c>
      <c r="R1335">
        <v>1.8413628260557007E-3</v>
      </c>
      <c r="S1335">
        <v>0.19907774247334298</v>
      </c>
      <c r="T1335">
        <v>1.0572944131891335</v>
      </c>
      <c r="U1335">
        <v>3.7069383624194964E-2</v>
      </c>
      <c r="V1335">
        <v>0.24966096567618082</v>
      </c>
      <c r="W1335">
        <v>0.11479407460049451</v>
      </c>
      <c r="X1335">
        <v>2.1048936381031329E-2</v>
      </c>
      <c r="Y1335">
        <v>5.0115826074311432E-3</v>
      </c>
    </row>
    <row r="1336" spans="1:25" x14ac:dyDescent="0.25">
      <c r="A1336" s="881"/>
      <c r="B1336" s="1131">
        <v>1086</v>
      </c>
      <c r="C1336" s="885">
        <v>0.95643616380028051</v>
      </c>
      <c r="D1336" s="885">
        <v>1.0003357807897895</v>
      </c>
      <c r="E1336" s="885">
        <v>1.0070043465867271</v>
      </c>
      <c r="F1336" s="885">
        <v>1.0342112000878596</v>
      </c>
      <c r="G1336" s="885">
        <v>1.0121775538004212</v>
      </c>
      <c r="H1336" s="885">
        <v>1.0360120888533177</v>
      </c>
      <c r="I1336" s="885">
        <v>0.98862338211705125</v>
      </c>
      <c r="K1336">
        <v>1.9884003220879158</v>
      </c>
      <c r="L1336">
        <v>0</v>
      </c>
      <c r="M1336">
        <v>2.0844012640113046E-3</v>
      </c>
      <c r="N1336">
        <v>0.21467962210429711</v>
      </c>
      <c r="O1336">
        <v>2.6289986954323438E-2</v>
      </c>
      <c r="P1336">
        <v>2.1489092597993777E-2</v>
      </c>
      <c r="Q1336">
        <v>3.11034810335333E-3</v>
      </c>
      <c r="R1336">
        <v>2.0723910739743369E-3</v>
      </c>
      <c r="S1336">
        <v>0.21649672694840891</v>
      </c>
      <c r="T1336">
        <v>1.0577298829264061</v>
      </c>
      <c r="U1336">
        <v>3.9020179300445136E-2</v>
      </c>
      <c r="V1336">
        <v>0.25418529311369709</v>
      </c>
      <c r="W1336">
        <v>0.12771163631269214</v>
      </c>
      <c r="X1336">
        <v>2.2059198576512118E-2</v>
      </c>
      <c r="Y1336">
        <v>5.6403653398242135E-3</v>
      </c>
    </row>
    <row r="1337" spans="1:25" x14ac:dyDescent="0.25">
      <c r="A1337" s="881"/>
      <c r="B1337" s="1131">
        <v>1087</v>
      </c>
      <c r="C1337" s="885">
        <v>1.003281973055824</v>
      </c>
      <c r="D1337" s="885">
        <v>1.0178382581674643</v>
      </c>
      <c r="E1337" s="885">
        <v>1.0193594731625364</v>
      </c>
      <c r="F1337" s="885">
        <v>1.0064512976696804</v>
      </c>
      <c r="G1337" s="885">
        <v>0.99702381856667777</v>
      </c>
      <c r="H1337" s="885">
        <v>1.0151700085956521</v>
      </c>
      <c r="I1337" s="885">
        <v>0.97450896987922753</v>
      </c>
      <c r="K1337">
        <v>1.9345768049482452</v>
      </c>
      <c r="L1337">
        <v>0</v>
      </c>
      <c r="M1337">
        <v>1.8808081411812484E-3</v>
      </c>
      <c r="N1337">
        <v>0.20126879178432594</v>
      </c>
      <c r="O1337">
        <v>2.4848445733465105E-2</v>
      </c>
      <c r="P1337">
        <v>2.1288960154594149E-2</v>
      </c>
      <c r="Q1337">
        <v>2.9798564452298733E-3</v>
      </c>
      <c r="R1337">
        <v>1.8697353012463553E-3</v>
      </c>
      <c r="S1337">
        <v>0.19979690952294646</v>
      </c>
      <c r="T1337">
        <v>1.0566013265467313</v>
      </c>
      <c r="U1337">
        <v>3.7198227022105908E-2</v>
      </c>
      <c r="V1337">
        <v>0.24517055146639985</v>
      </c>
      <c r="W1337">
        <v>0.11873484045148984</v>
      </c>
      <c r="X1337">
        <v>2.1611165528975164E-2</v>
      </c>
      <c r="Y1337">
        <v>5.0888031319161735E-3</v>
      </c>
    </row>
    <row r="1338" spans="1:25" x14ac:dyDescent="0.25">
      <c r="A1338" s="881"/>
      <c r="B1338" s="1131">
        <v>1088</v>
      </c>
      <c r="C1338" s="885">
        <v>0.97740858696763655</v>
      </c>
      <c r="D1338" s="885">
        <v>1.0238004915418839</v>
      </c>
      <c r="E1338" s="885">
        <v>0.99711855990152076</v>
      </c>
      <c r="F1338" s="885">
        <v>1.0041726183201485</v>
      </c>
      <c r="G1338" s="885">
        <v>1.0000604206971462</v>
      </c>
      <c r="H1338" s="885">
        <v>0.99597808795809584</v>
      </c>
      <c r="I1338" s="885">
        <v>0.98087804592098304</v>
      </c>
      <c r="K1338">
        <v>1.9403619654753193</v>
      </c>
      <c r="L1338">
        <v>0</v>
      </c>
      <c r="M1338">
        <v>1.9793314501354914E-3</v>
      </c>
      <c r="N1338">
        <v>0.19763671394090529</v>
      </c>
      <c r="O1338">
        <v>2.5432794113453918E-2</v>
      </c>
      <c r="P1338">
        <v>2.1078802526361913E-2</v>
      </c>
      <c r="Q1338">
        <v>2.9840103083259074E-3</v>
      </c>
      <c r="R1338">
        <v>1.9674492673611519E-3</v>
      </c>
      <c r="S1338">
        <v>0.20394819348481938</v>
      </c>
      <c r="T1338">
        <v>1.0586371708056295</v>
      </c>
      <c r="U1338">
        <v>3.8182916641546417E-2</v>
      </c>
      <c r="V1338">
        <v>0.24811407352297479</v>
      </c>
      <c r="W1338">
        <v>0.11836975159730792</v>
      </c>
      <c r="X1338">
        <v>2.0634672380486531E-2</v>
      </c>
      <c r="Y1338">
        <v>5.3547483362803771E-3</v>
      </c>
    </row>
    <row r="1339" spans="1:25" x14ac:dyDescent="0.25">
      <c r="A1339" s="881"/>
      <c r="B1339" s="1131">
        <v>1089</v>
      </c>
      <c r="C1339" s="885">
        <v>0.98521255304071387</v>
      </c>
      <c r="D1339" s="885">
        <v>1.0009071493954116</v>
      </c>
      <c r="E1339" s="885">
        <v>0.99463051569707306</v>
      </c>
      <c r="F1339" s="885">
        <v>0.96905367214756843</v>
      </c>
      <c r="G1339" s="885">
        <v>1.0138053897289383</v>
      </c>
      <c r="H1339" s="885">
        <v>1.0323353756401499</v>
      </c>
      <c r="I1339" s="885">
        <v>1.0357661463836454</v>
      </c>
      <c r="K1339">
        <v>1.9706296928705191</v>
      </c>
      <c r="L1339">
        <v>0</v>
      </c>
      <c r="M1339">
        <v>2.0689937727907965E-3</v>
      </c>
      <c r="N1339">
        <v>0.20504154564437954</v>
      </c>
      <c r="O1339">
        <v>2.5514888873041389E-2</v>
      </c>
      <c r="P1339">
        <v>2.1276333306187192E-2</v>
      </c>
      <c r="Q1339">
        <v>2.9814690041588985E-3</v>
      </c>
      <c r="R1339">
        <v>2.0570294277887711E-3</v>
      </c>
      <c r="S1339">
        <v>0.21974660455314976</v>
      </c>
      <c r="T1339">
        <v>1.0588661156362604</v>
      </c>
      <c r="U1339">
        <v>3.788046598242506E-2</v>
      </c>
      <c r="V1339">
        <v>0.24980808151357517</v>
      </c>
      <c r="W1339">
        <v>0.12301454523351463</v>
      </c>
      <c r="X1339">
        <v>2.0913051465954662E-2</v>
      </c>
      <c r="Y1339">
        <v>5.5985560028724074E-3</v>
      </c>
    </row>
    <row r="1340" spans="1:25" x14ac:dyDescent="0.25">
      <c r="A1340" s="881"/>
      <c r="B1340" s="1131">
        <v>1090</v>
      </c>
      <c r="C1340" s="885">
        <v>0.99899205895311793</v>
      </c>
      <c r="D1340" s="885">
        <v>1.014269840756036</v>
      </c>
      <c r="E1340" s="885">
        <v>1.0146988457943207</v>
      </c>
      <c r="F1340" s="885">
        <v>0.96638922725206122</v>
      </c>
      <c r="G1340" s="885">
        <v>1.0318768950264254</v>
      </c>
      <c r="H1340" s="885">
        <v>1.0043006281303133</v>
      </c>
      <c r="I1340" s="885">
        <v>0.99731214505412946</v>
      </c>
      <c r="K1340">
        <v>1.9383116820828636</v>
      </c>
      <c r="L1340">
        <v>0</v>
      </c>
      <c r="M1340">
        <v>1.8904135345344569E-3</v>
      </c>
      <c r="N1340">
        <v>0.19937574985186499</v>
      </c>
      <c r="O1340">
        <v>2.4998476046458634E-2</v>
      </c>
      <c r="P1340">
        <v>2.1304553447737611E-2</v>
      </c>
      <c r="Q1340">
        <v>2.9832423517855916E-3</v>
      </c>
      <c r="R1340">
        <v>1.8791664117928421E-3</v>
      </c>
      <c r="S1340">
        <v>0.20459043999970131</v>
      </c>
      <c r="T1340">
        <v>1.0570263427493332</v>
      </c>
      <c r="U1340">
        <v>3.7357965227497673E-2</v>
      </c>
      <c r="V1340">
        <v>0.24619952948257706</v>
      </c>
      <c r="W1340">
        <v>0.1179893198827591</v>
      </c>
      <c r="X1340">
        <v>2.1382838660029973E-2</v>
      </c>
      <c r="Y1340">
        <v>5.1144715058589535E-3</v>
      </c>
    </row>
    <row r="1341" spans="1:25" x14ac:dyDescent="0.25">
      <c r="A1341" s="881"/>
      <c r="B1341" s="1131">
        <v>1091</v>
      </c>
      <c r="C1341" s="885">
        <v>1.0315267284989988</v>
      </c>
      <c r="D1341" s="885">
        <v>0.96631964028568229</v>
      </c>
      <c r="E1341" s="885">
        <v>1.0235528322444247</v>
      </c>
      <c r="F1341" s="885">
        <v>1.0059530563004662</v>
      </c>
      <c r="G1341" s="885">
        <v>0.97292424186418935</v>
      </c>
      <c r="H1341" s="885">
        <v>0.99768547892987192</v>
      </c>
      <c r="I1341" s="885">
        <v>0.97923080922222239</v>
      </c>
      <c r="K1341">
        <v>1.9288801072488946</v>
      </c>
      <c r="L1341">
        <v>0</v>
      </c>
      <c r="M1341">
        <v>1.8283677722731311E-3</v>
      </c>
      <c r="N1341">
        <v>0.19820594683698511</v>
      </c>
      <c r="O1341">
        <v>2.4798225980595143E-2</v>
      </c>
      <c r="P1341">
        <v>2.1348945442037685E-2</v>
      </c>
      <c r="Q1341">
        <v>2.9754145427047505E-3</v>
      </c>
      <c r="R1341">
        <v>1.8174545162690443E-3</v>
      </c>
      <c r="S1341">
        <v>0.19827991221296831</v>
      </c>
      <c r="T1341">
        <v>1.0562196475619818</v>
      </c>
      <c r="U1341">
        <v>3.6179683540748013E-2</v>
      </c>
      <c r="V1341">
        <v>0.24769315230459282</v>
      </c>
      <c r="W1341">
        <v>0.11659791407850699</v>
      </c>
      <c r="X1341">
        <v>2.1645665934214402E-2</v>
      </c>
      <c r="Y1341">
        <v>4.9465120695640682E-3</v>
      </c>
    </row>
    <row r="1342" spans="1:25" x14ac:dyDescent="0.25">
      <c r="A1342" s="881"/>
      <c r="B1342" s="1131">
        <v>1092</v>
      </c>
      <c r="C1342" s="885">
        <v>1.0132258714906892</v>
      </c>
      <c r="D1342" s="885">
        <v>1.0375628778686634</v>
      </c>
      <c r="E1342" s="885">
        <v>0.99607857734886418</v>
      </c>
      <c r="F1342" s="885">
        <v>1.027212504245764</v>
      </c>
      <c r="G1342" s="885">
        <v>1.014528866976194</v>
      </c>
      <c r="H1342" s="885">
        <v>0.97572976882029316</v>
      </c>
      <c r="I1342" s="885">
        <v>0.99005277372772538</v>
      </c>
      <c r="K1342">
        <v>1.9017855260741219</v>
      </c>
      <c r="L1342">
        <v>0</v>
      </c>
      <c r="M1342">
        <v>1.8623557947771373E-3</v>
      </c>
      <c r="N1342">
        <v>0.18533155090316125</v>
      </c>
      <c r="O1342">
        <v>2.4372797855240966E-2</v>
      </c>
      <c r="P1342">
        <v>2.0839212064383269E-2</v>
      </c>
      <c r="Q1342">
        <v>2.8592734578651406E-3</v>
      </c>
      <c r="R1342">
        <v>1.8509334012973121E-3</v>
      </c>
      <c r="S1342">
        <v>0.19540470150141115</v>
      </c>
      <c r="T1342">
        <v>1.0587328386035846</v>
      </c>
      <c r="U1342">
        <v>3.6833159960680907E-2</v>
      </c>
      <c r="V1342">
        <v>0.24151057131466999</v>
      </c>
      <c r="W1342">
        <v>0.11107907396577549</v>
      </c>
      <c r="X1342">
        <v>1.9796138282529775E-2</v>
      </c>
      <c r="Y1342">
        <v>5.0376305582995303E-3</v>
      </c>
    </row>
    <row r="1343" spans="1:25" x14ac:dyDescent="0.25">
      <c r="A1343" s="881"/>
      <c r="B1343" s="1131">
        <v>1093</v>
      </c>
      <c r="C1343" s="885">
        <v>1.0006632232174824</v>
      </c>
      <c r="D1343" s="885">
        <v>0.99414806362803898</v>
      </c>
      <c r="E1343" s="885">
        <v>0.97259606155510836</v>
      </c>
      <c r="F1343" s="885">
        <v>1.0223906181564184</v>
      </c>
      <c r="G1343" s="885">
        <v>0.9862226139892557</v>
      </c>
      <c r="H1343" s="885">
        <v>1.0258762101993635</v>
      </c>
      <c r="I1343" s="885">
        <v>1.0065401627852024</v>
      </c>
      <c r="K1343">
        <v>1.947734745002428</v>
      </c>
      <c r="L1343">
        <v>0</v>
      </c>
      <c r="M1343">
        <v>2.1273164011133732E-3</v>
      </c>
      <c r="N1343">
        <v>0.19683044610345732</v>
      </c>
      <c r="O1343">
        <v>2.5205354017030945E-2</v>
      </c>
      <c r="P1343">
        <v>2.0798358130594777E-2</v>
      </c>
      <c r="Q1343">
        <v>2.8788373730339561E-3</v>
      </c>
      <c r="R1343">
        <v>2.1149431579985585E-3</v>
      </c>
      <c r="S1343">
        <v>0.21024545818842655</v>
      </c>
      <c r="T1343">
        <v>1.0609041793150009</v>
      </c>
      <c r="U1343">
        <v>3.7295575309462349E-2</v>
      </c>
      <c r="V1343">
        <v>0.24844464673802474</v>
      </c>
      <c r="W1343">
        <v>0.11990306741577478</v>
      </c>
      <c r="X1343">
        <v>1.9485017569487235E-2</v>
      </c>
      <c r="Y1343">
        <v>5.7561780852474174E-3</v>
      </c>
    </row>
    <row r="1344" spans="1:25" x14ac:dyDescent="0.25">
      <c r="A1344" s="881"/>
      <c r="B1344" s="1131">
        <v>1094</v>
      </c>
      <c r="C1344" s="885">
        <v>0.98045046217176357</v>
      </c>
      <c r="D1344" s="885">
        <v>0.99703508345445324</v>
      </c>
      <c r="E1344" s="885">
        <v>0.96124508911671092</v>
      </c>
      <c r="F1344" s="885">
        <v>0.96802605860813307</v>
      </c>
      <c r="G1344" s="885">
        <v>0.99086919726991807</v>
      </c>
      <c r="H1344" s="885">
        <v>1.0035642272140786</v>
      </c>
      <c r="I1344" s="885">
        <v>1.0050414587227847</v>
      </c>
      <c r="K1344">
        <v>1.9498593498345893</v>
      </c>
      <c r="L1344">
        <v>0</v>
      </c>
      <c r="M1344">
        <v>2.17194380495079E-3</v>
      </c>
      <c r="N1344">
        <v>0.19394444703776381</v>
      </c>
      <c r="O1344">
        <v>2.5688061133906873E-2</v>
      </c>
      <c r="P1344">
        <v>2.0694314506904402E-2</v>
      </c>
      <c r="Q1344">
        <v>2.9006574491010737E-3</v>
      </c>
      <c r="R1344">
        <v>2.1590275304512194E-3</v>
      </c>
      <c r="S1344">
        <v>0.21165683440778071</v>
      </c>
      <c r="T1344">
        <v>1.0619614217665305</v>
      </c>
      <c r="U1344">
        <v>3.8064453066042565E-2</v>
      </c>
      <c r="V1344">
        <v>0.25099735319770627</v>
      </c>
      <c r="W1344">
        <v>0.11908790053261631</v>
      </c>
      <c r="X1344">
        <v>1.9000661796082636E-2</v>
      </c>
      <c r="Y1344">
        <v>5.8761612146540874E-3</v>
      </c>
    </row>
    <row r="1345" spans="1:25" x14ac:dyDescent="0.25">
      <c r="A1345" s="881"/>
      <c r="B1345" s="1131">
        <v>1095</v>
      </c>
      <c r="C1345" s="885">
        <v>0.99222002055001624</v>
      </c>
      <c r="D1345" s="885">
        <v>0.98288898615661713</v>
      </c>
      <c r="E1345" s="885">
        <v>0.96131803087384016</v>
      </c>
      <c r="F1345" s="885">
        <v>0.98632295083745758</v>
      </c>
      <c r="G1345" s="885">
        <v>1.0064313768448065</v>
      </c>
      <c r="H1345" s="885">
        <v>1.0238146900199088</v>
      </c>
      <c r="I1345" s="885">
        <v>0.9813627398516539</v>
      </c>
      <c r="K1345">
        <v>1.9502260939566904</v>
      </c>
      <c r="L1345">
        <v>0</v>
      </c>
      <c r="M1345">
        <v>2.2047012631816066E-3</v>
      </c>
      <c r="N1345">
        <v>0.19693879308693998</v>
      </c>
      <c r="O1345">
        <v>2.5563787716425288E-2</v>
      </c>
      <c r="P1345">
        <v>2.0637074839911684E-2</v>
      </c>
      <c r="Q1345">
        <v>2.8839538611721382E-3</v>
      </c>
      <c r="R1345">
        <v>2.191862289985361E-3</v>
      </c>
      <c r="S1345">
        <v>0.20760930505158942</v>
      </c>
      <c r="T1345">
        <v>1.0619546119987293</v>
      </c>
      <c r="U1345">
        <v>3.7612938489418123E-2</v>
      </c>
      <c r="V1345">
        <v>0.25109629026265007</v>
      </c>
      <c r="W1345">
        <v>0.12092032025606927</v>
      </c>
      <c r="X1345">
        <v>1.9056330760847694E-2</v>
      </c>
      <c r="Y1345">
        <v>5.9655266061304458E-3</v>
      </c>
    </row>
    <row r="1346" spans="1:25" x14ac:dyDescent="0.25">
      <c r="A1346" s="881"/>
      <c r="B1346" s="1131">
        <v>1096</v>
      </c>
      <c r="C1346" s="885">
        <v>1.0144774238556249</v>
      </c>
      <c r="D1346" s="885">
        <v>0.99109361244401706</v>
      </c>
      <c r="E1346" s="885">
        <v>0.97317235481631981</v>
      </c>
      <c r="F1346" s="885">
        <v>1.0015497448749933</v>
      </c>
      <c r="G1346" s="885">
        <v>1.0118434932452722</v>
      </c>
      <c r="H1346" s="885">
        <v>1.01048312987123</v>
      </c>
      <c r="I1346" s="885">
        <v>1.0447536120109373</v>
      </c>
      <c r="K1346">
        <v>1.9402141620758391</v>
      </c>
      <c r="L1346">
        <v>0</v>
      </c>
      <c r="M1346">
        <v>2.0675144308320184E-3</v>
      </c>
      <c r="N1346">
        <v>0.19162439741632595</v>
      </c>
      <c r="O1346">
        <v>2.4900068144417566E-2</v>
      </c>
      <c r="P1346">
        <v>2.0828798363957252E-2</v>
      </c>
      <c r="Q1346">
        <v>2.8450296497621245E-3</v>
      </c>
      <c r="R1346">
        <v>2.0553084413362155E-3</v>
      </c>
      <c r="S1346">
        <v>0.21394938103512753</v>
      </c>
      <c r="T1346">
        <v>1.0608506356180161</v>
      </c>
      <c r="U1346">
        <v>3.6787719197414248E-2</v>
      </c>
      <c r="V1346">
        <v>0.24689247762683561</v>
      </c>
      <c r="W1346">
        <v>0.11668479854801289</v>
      </c>
      <c r="X1346">
        <v>1.9269190420391741E-2</v>
      </c>
      <c r="Y1346">
        <v>5.5938720450715834E-3</v>
      </c>
    </row>
    <row r="1347" spans="1:25" x14ac:dyDescent="0.25">
      <c r="A1347" s="881"/>
      <c r="B1347" s="1131">
        <v>1097</v>
      </c>
      <c r="C1347" s="885">
        <v>0.97229213701903983</v>
      </c>
      <c r="D1347" s="885">
        <v>0.98932129566756788</v>
      </c>
      <c r="E1347" s="885">
        <v>0.99303905052840113</v>
      </c>
      <c r="F1347" s="885">
        <v>1.0233465359174574</v>
      </c>
      <c r="G1347" s="885">
        <v>1.0117964151961678</v>
      </c>
      <c r="H1347" s="885">
        <v>0.97465248166506346</v>
      </c>
      <c r="I1347" s="885">
        <v>0.99691489957944379</v>
      </c>
      <c r="K1347">
        <v>1.9514092539463153</v>
      </c>
      <c r="L1347">
        <v>0</v>
      </c>
      <c r="M1347">
        <v>1.9974594355047183E-3</v>
      </c>
      <c r="N1347">
        <v>0.19690739239062297</v>
      </c>
      <c r="O1347">
        <v>2.600347801814204E-2</v>
      </c>
      <c r="P1347">
        <v>2.1166088176300873E-2</v>
      </c>
      <c r="Q1347">
        <v>3.0312215963917556E-3</v>
      </c>
      <c r="R1347">
        <v>1.9852350345059581E-3</v>
      </c>
      <c r="S1347">
        <v>0.20944815780462903</v>
      </c>
      <c r="T1347">
        <v>1.059012685387805</v>
      </c>
      <c r="U1347">
        <v>3.8383844916546936E-2</v>
      </c>
      <c r="V1347">
        <v>0.25320711890375408</v>
      </c>
      <c r="W1347">
        <v>0.11826373330149458</v>
      </c>
      <c r="X1347">
        <v>2.0594602520255214E-2</v>
      </c>
      <c r="Y1347">
        <v>5.4031553313719756E-3</v>
      </c>
    </row>
    <row r="1348" spans="1:25" x14ac:dyDescent="0.25">
      <c r="A1348" s="881"/>
      <c r="B1348" s="1131">
        <v>1098</v>
      </c>
      <c r="C1348" s="885">
        <v>1.0031430728272059</v>
      </c>
      <c r="D1348" s="885">
        <v>1.0171041622049413</v>
      </c>
      <c r="E1348" s="885">
        <v>1.0036840369419524</v>
      </c>
      <c r="F1348" s="885">
        <v>0.98772812972454438</v>
      </c>
      <c r="G1348" s="885">
        <v>1.0458362306326645</v>
      </c>
      <c r="H1348" s="885">
        <v>0.98567910038836981</v>
      </c>
      <c r="I1348" s="885">
        <v>0.97679057841468342</v>
      </c>
      <c r="K1348">
        <v>1.9196503582084747</v>
      </c>
      <c r="L1348">
        <v>0</v>
      </c>
      <c r="M1348">
        <v>1.8885044212239408E-3</v>
      </c>
      <c r="N1348">
        <v>0.19244715601537288</v>
      </c>
      <c r="O1348">
        <v>2.4860742154622747E-2</v>
      </c>
      <c r="P1348">
        <v>2.1033256826905242E-2</v>
      </c>
      <c r="Q1348">
        <v>2.934870276487762E-3</v>
      </c>
      <c r="R1348">
        <v>1.8770541911100579E-3</v>
      </c>
      <c r="S1348">
        <v>0.19747682182045742</v>
      </c>
      <c r="T1348">
        <v>1.0580341861840838</v>
      </c>
      <c r="U1348">
        <v>3.7203377675464833E-2</v>
      </c>
      <c r="V1348">
        <v>0.24527701037604399</v>
      </c>
      <c r="W1348">
        <v>0.11474509842157456</v>
      </c>
      <c r="X1348">
        <v>2.0540565950122266E-2</v>
      </c>
      <c r="Y1348">
        <v>5.1087227374537764E-3</v>
      </c>
    </row>
    <row r="1349" spans="1:25" x14ac:dyDescent="0.25">
      <c r="A1349" s="881"/>
      <c r="B1349" s="1131">
        <v>1099</v>
      </c>
      <c r="C1349" s="885">
        <v>1.010417932521207</v>
      </c>
      <c r="D1349" s="885">
        <v>0.97151319540503844</v>
      </c>
      <c r="E1349" s="885">
        <v>1.0421995277098457</v>
      </c>
      <c r="F1349" s="885">
        <v>1.0072122094843279</v>
      </c>
      <c r="G1349" s="885">
        <v>0.98301486949397221</v>
      </c>
      <c r="H1349" s="885">
        <v>0.98611829589953781</v>
      </c>
      <c r="I1349" s="885">
        <v>1.0199132761419647</v>
      </c>
      <c r="K1349">
        <v>1.9495146825085434</v>
      </c>
      <c r="L1349">
        <v>0</v>
      </c>
      <c r="M1349">
        <v>1.7688172699544787E-3</v>
      </c>
      <c r="N1349">
        <v>0.20315970451146914</v>
      </c>
      <c r="O1349">
        <v>2.524891458570231E-2</v>
      </c>
      <c r="P1349">
        <v>2.1810745667045713E-2</v>
      </c>
      <c r="Q1349">
        <v>3.0869397372430898E-3</v>
      </c>
      <c r="R1349">
        <v>1.7581315952578066E-3</v>
      </c>
      <c r="S1349">
        <v>0.20911274925667303</v>
      </c>
      <c r="T1349">
        <v>1.0545307631875069</v>
      </c>
      <c r="U1349">
        <v>3.6935518857820378E-2</v>
      </c>
      <c r="V1349">
        <v>0.24996135605798905</v>
      </c>
      <c r="W1349">
        <v>0.11803089761657419</v>
      </c>
      <c r="X1349">
        <v>2.2862724070847357E-2</v>
      </c>
      <c r="Y1349">
        <v>4.7850546343671356E-3</v>
      </c>
    </row>
    <row r="1350" spans="1:25" x14ac:dyDescent="0.25">
      <c r="A1350" s="881"/>
      <c r="B1350" s="1131">
        <v>1100</v>
      </c>
      <c r="C1350" s="885">
        <v>1.0212149859643542</v>
      </c>
      <c r="D1350" s="885">
        <v>1.0050361787537472</v>
      </c>
      <c r="E1350" s="885">
        <v>0.99747316778474049</v>
      </c>
      <c r="F1350" s="885">
        <v>0.97303299932360232</v>
      </c>
      <c r="G1350" s="885">
        <v>0.95992386956636722</v>
      </c>
      <c r="H1350" s="885">
        <v>1.0198320992844725</v>
      </c>
      <c r="I1350" s="885">
        <v>1.0054925706275946</v>
      </c>
      <c r="K1350">
        <v>1.9303419957801344</v>
      </c>
      <c r="L1350">
        <v>0</v>
      </c>
      <c r="M1350">
        <v>1.9561296441049612E-3</v>
      </c>
      <c r="N1350">
        <v>0.19556474194943577</v>
      </c>
      <c r="O1350">
        <v>2.456528478118435E-2</v>
      </c>
      <c r="P1350">
        <v>2.1012202514804661E-2</v>
      </c>
      <c r="Q1350">
        <v>2.8795627914838169E-3</v>
      </c>
      <c r="R1350">
        <v>1.9446760116580458E-3</v>
      </c>
      <c r="S1350">
        <v>0.20417154336899176</v>
      </c>
      <c r="T1350">
        <v>1.0586045601197549</v>
      </c>
      <c r="U1350">
        <v>3.654500875315158E-2</v>
      </c>
      <c r="V1350">
        <v>0.24426160029256241</v>
      </c>
      <c r="W1350">
        <v>0.11710032377847572</v>
      </c>
      <c r="X1350">
        <v>2.0355854021277729E-2</v>
      </c>
      <c r="Y1350">
        <v>5.2927670414582486E-3</v>
      </c>
    </row>
    <row r="1351" spans="1:25" x14ac:dyDescent="0.25">
      <c r="A1351" s="881"/>
      <c r="B1351" s="1131">
        <v>1101</v>
      </c>
      <c r="C1351" s="885">
        <v>0.98246060894224274</v>
      </c>
      <c r="D1351" s="885">
        <v>0.98257734032784949</v>
      </c>
      <c r="E1351" s="885">
        <v>1.0141733131582014</v>
      </c>
      <c r="F1351" s="885">
        <v>0.99002757665721097</v>
      </c>
      <c r="G1351" s="885">
        <v>0.99789418923826756</v>
      </c>
      <c r="H1351" s="885">
        <v>0.97910357703025319</v>
      </c>
      <c r="I1351" s="885">
        <v>0.97555228572491692</v>
      </c>
      <c r="K1351">
        <v>1.9480172127766417</v>
      </c>
      <c r="L1351">
        <v>0</v>
      </c>
      <c r="M1351">
        <v>1.9057702255021122E-3</v>
      </c>
      <c r="N1351">
        <v>0.20063916424225159</v>
      </c>
      <c r="O1351">
        <v>2.5821791996016134E-2</v>
      </c>
      <c r="P1351">
        <v>2.1384325068436811E-2</v>
      </c>
      <c r="Q1351">
        <v>3.0730666096539867E-3</v>
      </c>
      <c r="R1351">
        <v>1.8941655184551973E-3</v>
      </c>
      <c r="S1351">
        <v>0.20392844445075653</v>
      </c>
      <c r="T1351">
        <v>1.0570743208454223</v>
      </c>
      <c r="U1351">
        <v>3.7986571941136131E-2</v>
      </c>
      <c r="V1351">
        <v>0.25256688278379913</v>
      </c>
      <c r="W1351">
        <v>0.11877927751386413</v>
      </c>
      <c r="X1351">
        <v>2.1619677902611122E-2</v>
      </c>
      <c r="Y1351">
        <v>5.1552941297397029E-3</v>
      </c>
    </row>
    <row r="1352" spans="1:25" x14ac:dyDescent="0.25">
      <c r="A1352" s="881"/>
      <c r="B1352" s="1131">
        <v>1102</v>
      </c>
      <c r="C1352" s="885">
        <v>0.97099804239056808</v>
      </c>
      <c r="D1352" s="885">
        <v>1.01446824886563</v>
      </c>
      <c r="E1352" s="885">
        <v>1.0023334676795046</v>
      </c>
      <c r="F1352" s="885">
        <v>0.95797228005538748</v>
      </c>
      <c r="G1352" s="885">
        <v>0.97310864065033387</v>
      </c>
      <c r="H1352" s="885">
        <v>0.99822188428542047</v>
      </c>
      <c r="I1352" s="885">
        <v>0.9810994575339419</v>
      </c>
      <c r="K1352">
        <v>1.9511603541177238</v>
      </c>
      <c r="L1352">
        <v>0</v>
      </c>
      <c r="M1352">
        <v>1.9840199589715142E-3</v>
      </c>
      <c r="N1352">
        <v>0.20134872452812297</v>
      </c>
      <c r="O1352">
        <v>2.5716700703079604E-2</v>
      </c>
      <c r="P1352">
        <v>2.1220369162558175E-2</v>
      </c>
      <c r="Q1352">
        <v>3.0312617980819715E-3</v>
      </c>
      <c r="R1352">
        <v>1.972143877984825E-3</v>
      </c>
      <c r="S1352">
        <v>0.20643129917257669</v>
      </c>
      <c r="T1352">
        <v>1.0581580875617809</v>
      </c>
      <c r="U1352">
        <v>3.8435000866773594E-2</v>
      </c>
      <c r="V1352">
        <v>0.25019894017644762</v>
      </c>
      <c r="W1352">
        <v>0.12016334912347933</v>
      </c>
      <c r="X1352">
        <v>2.1100971586986244E-2</v>
      </c>
      <c r="Y1352">
        <v>5.3675255188200379E-3</v>
      </c>
    </row>
    <row r="1353" spans="1:25" x14ac:dyDescent="0.25">
      <c r="A1353" s="881"/>
      <c r="B1353" s="1131">
        <v>1103</v>
      </c>
      <c r="C1353" s="885">
        <v>0.96980022231645979</v>
      </c>
      <c r="D1353" s="885">
        <v>0.97609838199068744</v>
      </c>
      <c r="E1353" s="885">
        <v>0.97657077401172054</v>
      </c>
      <c r="F1353" s="885">
        <v>0.98753572498359765</v>
      </c>
      <c r="G1353" s="885">
        <v>0.99396504522116313</v>
      </c>
      <c r="H1353" s="885">
        <v>0.97986524133862041</v>
      </c>
      <c r="I1353" s="885">
        <v>1.0206629985343509</v>
      </c>
      <c r="K1353">
        <v>1.9630072029920467</v>
      </c>
      <c r="L1353">
        <v>0</v>
      </c>
      <c r="M1353">
        <v>2.0981289915834199E-3</v>
      </c>
      <c r="N1353">
        <v>0.19649747108769192</v>
      </c>
      <c r="O1353">
        <v>2.6244937861520181E-2</v>
      </c>
      <c r="P1353">
        <v>2.1053942234541052E-2</v>
      </c>
      <c r="Q1353">
        <v>3.0058775817343193E-3</v>
      </c>
      <c r="R1353">
        <v>2.0853688002352515E-3</v>
      </c>
      <c r="S1353">
        <v>0.21688469106064173</v>
      </c>
      <c r="T1353">
        <v>1.0605351483248004</v>
      </c>
      <c r="U1353">
        <v>3.848247272182901E-2</v>
      </c>
      <c r="V1353">
        <v>0.25533249306418471</v>
      </c>
      <c r="W1353">
        <v>0.11936929363975395</v>
      </c>
      <c r="X1353">
        <v>1.9937949174096192E-2</v>
      </c>
      <c r="Y1353">
        <v>5.6756864326001112E-3</v>
      </c>
    </row>
    <row r="1354" spans="1:25" x14ac:dyDescent="0.25">
      <c r="A1354" s="881"/>
      <c r="B1354" s="1131">
        <v>1104</v>
      </c>
      <c r="C1354" s="885">
        <v>0.99297301998889753</v>
      </c>
      <c r="D1354" s="885">
        <v>1.0134462980759726</v>
      </c>
      <c r="E1354" s="885">
        <v>0.99130254696394815</v>
      </c>
      <c r="F1354" s="885">
        <v>1.0267142573583048</v>
      </c>
      <c r="G1354" s="885">
        <v>1.02823152628968</v>
      </c>
      <c r="H1354" s="885">
        <v>0.9547645388326107</v>
      </c>
      <c r="I1354" s="885">
        <v>0.98005182103645327</v>
      </c>
      <c r="K1354">
        <v>1.9135698489906892</v>
      </c>
      <c r="L1354">
        <v>0</v>
      </c>
      <c r="M1354">
        <v>1.9001856759386165E-3</v>
      </c>
      <c r="N1354">
        <v>0.18628256377670602</v>
      </c>
      <c r="O1354">
        <v>2.5160102668189348E-2</v>
      </c>
      <c r="P1354">
        <v>2.0884605246632406E-2</v>
      </c>
      <c r="Q1354">
        <v>2.9326909145706223E-3</v>
      </c>
      <c r="R1354">
        <v>1.8882945271557147E-3</v>
      </c>
      <c r="S1354">
        <v>0.19742836263398336</v>
      </c>
      <c r="T1354">
        <v>1.0591727251902963</v>
      </c>
      <c r="U1354">
        <v>3.7584415537628743E-2</v>
      </c>
      <c r="V1354">
        <v>0.24714304358317457</v>
      </c>
      <c r="W1354">
        <v>0.11201614560355334</v>
      </c>
      <c r="X1354">
        <v>1.9837769757944452E-2</v>
      </c>
      <c r="Y1354">
        <v>5.1393152267942728E-3</v>
      </c>
    </row>
    <row r="1355" spans="1:25" x14ac:dyDescent="0.25">
      <c r="A1355" s="881"/>
      <c r="B1355" s="1131">
        <v>1105</v>
      </c>
      <c r="C1355" s="885">
        <v>1.0121513544935834</v>
      </c>
      <c r="D1355" s="885">
        <v>1.0199850935637162</v>
      </c>
      <c r="E1355" s="885">
        <v>0.96637014628172402</v>
      </c>
      <c r="F1355" s="885">
        <v>1.0228908660015006</v>
      </c>
      <c r="G1355" s="885">
        <v>0.98931815904520337</v>
      </c>
      <c r="H1355" s="885">
        <v>0.99422063612538336</v>
      </c>
      <c r="I1355" s="885">
        <v>0.98954276537487207</v>
      </c>
      <c r="K1355">
        <v>1.9110871965605238</v>
      </c>
      <c r="L1355">
        <v>0</v>
      </c>
      <c r="M1355">
        <v>2.0390294034288406E-3</v>
      </c>
      <c r="N1355">
        <v>0.18499798057629582</v>
      </c>
      <c r="O1355">
        <v>2.4605092554675398E-2</v>
      </c>
      <c r="P1355">
        <v>2.0486629151427661E-2</v>
      </c>
      <c r="Q1355">
        <v>2.7974308584796555E-3</v>
      </c>
      <c r="R1355">
        <v>2.0267703508599737E-3</v>
      </c>
      <c r="S1355">
        <v>0.19885482167216259</v>
      </c>
      <c r="T1355">
        <v>1.0614834515138534</v>
      </c>
      <c r="U1355">
        <v>3.687226266627848E-2</v>
      </c>
      <c r="V1355">
        <v>0.24369958618040749</v>
      </c>
      <c r="W1355">
        <v>0.11318662965262043</v>
      </c>
      <c r="X1355">
        <v>1.8599370016514322E-2</v>
      </c>
      <c r="Y1355">
        <v>5.5162007703742494E-3</v>
      </c>
    </row>
    <row r="1356" spans="1:25" x14ac:dyDescent="0.25">
      <c r="A1356" s="881"/>
      <c r="B1356" s="1131">
        <v>1106</v>
      </c>
      <c r="C1356" s="885">
        <v>1.0237701414258362</v>
      </c>
      <c r="D1356" s="885">
        <v>1.0155723284342755</v>
      </c>
      <c r="E1356" s="885">
        <v>1.010894122814761</v>
      </c>
      <c r="F1356" s="885">
        <v>1.0045707804078012</v>
      </c>
      <c r="G1356" s="885">
        <v>1.0398585902193132</v>
      </c>
      <c r="H1356" s="885">
        <v>1.0253018626091688</v>
      </c>
      <c r="I1356" s="885">
        <v>0.98789669042426687</v>
      </c>
      <c r="K1356">
        <v>1.9257507930180013</v>
      </c>
      <c r="L1356">
        <v>0</v>
      </c>
      <c r="M1356">
        <v>1.8972122974369782E-3</v>
      </c>
      <c r="N1356">
        <v>0.19776463014820467</v>
      </c>
      <c r="O1356">
        <v>2.4377984269577362E-2</v>
      </c>
      <c r="P1356">
        <v>2.1120816190349272E-2</v>
      </c>
      <c r="Q1356">
        <v>2.8984256737015191E-3</v>
      </c>
      <c r="R1356">
        <v>1.886154951275012E-3</v>
      </c>
      <c r="S1356">
        <v>0.19967303609616863</v>
      </c>
      <c r="T1356">
        <v>1.0573739356037217</v>
      </c>
      <c r="U1356">
        <v>3.6453798651462643E-2</v>
      </c>
      <c r="V1356">
        <v>0.2426599625696243</v>
      </c>
      <c r="W1356">
        <v>0.11733823890443328</v>
      </c>
      <c r="X1356">
        <v>2.096753025036234E-2</v>
      </c>
      <c r="Y1356">
        <v>5.1334920065579997E-3</v>
      </c>
    </row>
    <row r="1357" spans="1:25" x14ac:dyDescent="0.25">
      <c r="A1357" s="881"/>
      <c r="B1357" s="1131">
        <v>1107</v>
      </c>
      <c r="C1357" s="885">
        <v>1.0016632502506109</v>
      </c>
      <c r="D1357" s="885">
        <v>1.0355257137340392</v>
      </c>
      <c r="E1357" s="885">
        <v>1.0069798388684361</v>
      </c>
      <c r="F1357" s="885">
        <v>0.99574176721814878</v>
      </c>
      <c r="G1357" s="885">
        <v>1.033167892783049</v>
      </c>
      <c r="H1357" s="885">
        <v>1.0051158703962817</v>
      </c>
      <c r="I1357" s="885">
        <v>0.98430238399805281</v>
      </c>
      <c r="K1357">
        <v>1.9241940095397654</v>
      </c>
      <c r="L1357">
        <v>0</v>
      </c>
      <c r="M1357">
        <v>1.8983716308806006E-3</v>
      </c>
      <c r="N1357">
        <v>0.19546728668096849</v>
      </c>
      <c r="O1357">
        <v>2.4678020713112168E-2</v>
      </c>
      <c r="P1357">
        <v>2.1082986913872951E-2</v>
      </c>
      <c r="Q1357">
        <v>2.9265565973573969E-3</v>
      </c>
      <c r="R1357">
        <v>1.8870702657678314E-3</v>
      </c>
      <c r="S1357">
        <v>0.1995609952911484</v>
      </c>
      <c r="T1357">
        <v>1.057732127460713</v>
      </c>
      <c r="U1357">
        <v>3.7258340656482682E-2</v>
      </c>
      <c r="V1357">
        <v>0.24330706116674802</v>
      </c>
      <c r="W1357">
        <v>0.11628427219229365</v>
      </c>
      <c r="X1357">
        <v>2.0771680041305238E-2</v>
      </c>
      <c r="Y1357">
        <v>5.1359831908741127E-3</v>
      </c>
    </row>
    <row r="1358" spans="1:25" x14ac:dyDescent="0.25">
      <c r="A1358" s="881"/>
      <c r="B1358" s="1131">
        <v>1108</v>
      </c>
      <c r="C1358" s="885">
        <v>0.99528945434961891</v>
      </c>
      <c r="D1358" s="885">
        <v>0.9844704349800969</v>
      </c>
      <c r="E1358" s="885">
        <v>0.98424427021851901</v>
      </c>
      <c r="F1358" s="885">
        <v>1.0228194817763101</v>
      </c>
      <c r="G1358" s="885">
        <v>1.0283631974611174</v>
      </c>
      <c r="H1358" s="885">
        <v>0.98940564872693304</v>
      </c>
      <c r="I1358" s="885">
        <v>0.98707527498967873</v>
      </c>
      <c r="K1358">
        <v>1.9383051397998485</v>
      </c>
      <c r="L1358">
        <v>0</v>
      </c>
      <c r="M1358">
        <v>2.0227258721598313E-3</v>
      </c>
      <c r="N1358">
        <v>0.19403000119667282</v>
      </c>
      <c r="O1358">
        <v>2.546463115235861E-2</v>
      </c>
      <c r="P1358">
        <v>2.0921697976316687E-2</v>
      </c>
      <c r="Q1358">
        <v>2.9411041339918636E-3</v>
      </c>
      <c r="R1358">
        <v>2.0105356035648452E-3</v>
      </c>
      <c r="S1358">
        <v>0.20453941672378811</v>
      </c>
      <c r="T1358">
        <v>1.0598244371455963</v>
      </c>
      <c r="U1358">
        <v>3.7496941656338781E-2</v>
      </c>
      <c r="V1358">
        <v>0.25044326039156772</v>
      </c>
      <c r="W1358">
        <v>0.11724457957027359</v>
      </c>
      <c r="X1358">
        <v>1.993924498151773E-2</v>
      </c>
      <c r="Y1358">
        <v>5.4720151400199177E-3</v>
      </c>
    </row>
    <row r="1359" spans="1:25" x14ac:dyDescent="0.25">
      <c r="A1359" s="881"/>
      <c r="B1359" s="1131">
        <v>1109</v>
      </c>
      <c r="C1359" s="885">
        <v>1.0178177795415795</v>
      </c>
      <c r="D1359" s="885">
        <v>1.0121322023160186</v>
      </c>
      <c r="E1359" s="885">
        <v>0.98437160437720528</v>
      </c>
      <c r="F1359" s="885">
        <v>1.0208972875336675</v>
      </c>
      <c r="G1359" s="885">
        <v>0.98588221575732626</v>
      </c>
      <c r="H1359" s="885">
        <v>0.98080319514767822</v>
      </c>
      <c r="I1359" s="885">
        <v>1.0152347701993105</v>
      </c>
      <c r="K1359">
        <v>1.9130470508765718</v>
      </c>
      <c r="L1359">
        <v>0</v>
      </c>
      <c r="M1359">
        <v>1.9335447413162529E-3</v>
      </c>
      <c r="N1359">
        <v>0.1855368261462782</v>
      </c>
      <c r="O1359">
        <v>2.4561690930113827E-2</v>
      </c>
      <c r="P1359">
        <v>2.0792831657712996E-2</v>
      </c>
      <c r="Q1359">
        <v>2.8426733036796396E-3</v>
      </c>
      <c r="R1359">
        <v>1.9217671202325177E-3</v>
      </c>
      <c r="S1359">
        <v>0.20225490755725983</v>
      </c>
      <c r="T1359">
        <v>1.0598126628586979</v>
      </c>
      <c r="U1359">
        <v>3.6666986322174328E-2</v>
      </c>
      <c r="V1359">
        <v>0.24386641212203178</v>
      </c>
      <c r="W1359">
        <v>0.11210261766038614</v>
      </c>
      <c r="X1359">
        <v>1.9390803348406472E-2</v>
      </c>
      <c r="Y1359">
        <v>5.2304165909119885E-3</v>
      </c>
    </row>
    <row r="1360" spans="1:25" x14ac:dyDescent="0.25">
      <c r="A1360" s="881"/>
      <c r="B1360" s="1131">
        <v>1110</v>
      </c>
      <c r="C1360" s="885">
        <v>1.0098273299709173</v>
      </c>
      <c r="D1360" s="885">
        <v>1.0121430338822215</v>
      </c>
      <c r="E1360" s="885">
        <v>0.98012070996849188</v>
      </c>
      <c r="F1360" s="885">
        <v>0.99947674056969449</v>
      </c>
      <c r="G1360" s="885">
        <v>1.0137515461324196</v>
      </c>
      <c r="H1360" s="885">
        <v>1.0087994890001228</v>
      </c>
      <c r="I1360" s="885">
        <v>1.0062306329635671</v>
      </c>
      <c r="K1360">
        <v>1.9279381879084438</v>
      </c>
      <c r="L1360">
        <v>0</v>
      </c>
      <c r="M1360">
        <v>2.0224363617781884E-3</v>
      </c>
      <c r="N1360">
        <v>0.19154618592884132</v>
      </c>
      <c r="O1360">
        <v>2.4755909030887615E-2</v>
      </c>
      <c r="P1360">
        <v>2.0784688979848132E-2</v>
      </c>
      <c r="Q1360">
        <v>2.8528163758137709E-3</v>
      </c>
      <c r="R1360">
        <v>2.0104591547733509E-3</v>
      </c>
      <c r="S1360">
        <v>0.20485263480935342</v>
      </c>
      <c r="T1360">
        <v>1.0602060730997143</v>
      </c>
      <c r="U1360">
        <v>3.6957120780234477E-2</v>
      </c>
      <c r="V1360">
        <v>0.24495705642218502</v>
      </c>
      <c r="W1360">
        <v>0.11607485251919152</v>
      </c>
      <c r="X1360">
        <v>1.9491020097767358E-2</v>
      </c>
      <c r="Y1360">
        <v>5.471807071610808E-3</v>
      </c>
    </row>
    <row r="1361" spans="1:25" x14ac:dyDescent="0.25">
      <c r="A1361" s="881"/>
      <c r="B1361" s="1131">
        <v>1111</v>
      </c>
      <c r="C1361" s="885">
        <v>0.95729097789999018</v>
      </c>
      <c r="D1361" s="885">
        <v>1.0163048012036535</v>
      </c>
      <c r="E1361" s="885">
        <v>0.99664452375694834</v>
      </c>
      <c r="F1361" s="885">
        <v>0.99667504711641375</v>
      </c>
      <c r="G1361" s="885">
        <v>1.0200900872346983</v>
      </c>
      <c r="H1361" s="885">
        <v>0.99675202609570046</v>
      </c>
      <c r="I1361" s="885">
        <v>0.96917343451009841</v>
      </c>
      <c r="K1361">
        <v>1.9569188859010798</v>
      </c>
      <c r="L1361">
        <v>0</v>
      </c>
      <c r="M1361">
        <v>2.0318678045726955E-3</v>
      </c>
      <c r="N1361">
        <v>0.20258499294090196</v>
      </c>
      <c r="O1361">
        <v>2.6061633480443009E-2</v>
      </c>
      <c r="P1361">
        <v>2.1171080407535691E-2</v>
      </c>
      <c r="Q1361">
        <v>3.05478074134729E-3</v>
      </c>
      <c r="R1361">
        <v>2.0196858608232597E-3</v>
      </c>
      <c r="S1361">
        <v>0.20652116558648861</v>
      </c>
      <c r="T1361">
        <v>1.0586807720789744</v>
      </c>
      <c r="U1361">
        <v>3.8985336185645973E-2</v>
      </c>
      <c r="V1361">
        <v>0.25202256633724035</v>
      </c>
      <c r="W1361">
        <v>0.12137285149744062</v>
      </c>
      <c r="X1361">
        <v>2.0978969464913639E-2</v>
      </c>
      <c r="Y1361">
        <v>5.4969191238958288E-3</v>
      </c>
    </row>
    <row r="1362" spans="1:25" x14ac:dyDescent="0.25">
      <c r="A1362" s="881"/>
      <c r="B1362" s="1131">
        <v>1112</v>
      </c>
      <c r="C1362" s="885">
        <v>0.97850780823369188</v>
      </c>
      <c r="D1362" s="885">
        <v>0.97306570183603092</v>
      </c>
      <c r="E1362" s="885">
        <v>0.97853085984867039</v>
      </c>
      <c r="F1362" s="885">
        <v>1.0194166680629746</v>
      </c>
      <c r="G1362" s="885">
        <v>1.0142801777377979</v>
      </c>
      <c r="H1362" s="885">
        <v>0.98338432767783912</v>
      </c>
      <c r="I1362" s="885">
        <v>1.0289773828482391</v>
      </c>
      <c r="K1362">
        <v>1.9611430280304847</v>
      </c>
      <c r="L1362">
        <v>0</v>
      </c>
      <c r="M1362">
        <v>2.081572303656513E-3</v>
      </c>
      <c r="N1362">
        <v>0.1961458513075289</v>
      </c>
      <c r="O1362">
        <v>2.6051627936490972E-2</v>
      </c>
      <c r="P1362">
        <v>2.1072885157947432E-2</v>
      </c>
      <c r="Q1362">
        <v>2.9890399761670718E-3</v>
      </c>
      <c r="R1362">
        <v>2.0689608582991799E-3</v>
      </c>
      <c r="S1362">
        <v>0.21739602796907209</v>
      </c>
      <c r="T1362">
        <v>1.0603533900829811</v>
      </c>
      <c r="U1362">
        <v>3.8140023295556463E-2</v>
      </c>
      <c r="V1362">
        <v>0.25441375519568721</v>
      </c>
      <c r="W1362">
        <v>0.11899345954955942</v>
      </c>
      <c r="X1362">
        <v>1.9968549581323394E-2</v>
      </c>
      <c r="Y1362">
        <v>5.6310294235267311E-3</v>
      </c>
    </row>
    <row r="1363" spans="1:25" x14ac:dyDescent="0.25">
      <c r="A1363" s="881"/>
      <c r="B1363" s="1131">
        <v>1113</v>
      </c>
      <c r="C1363" s="885">
        <v>1.0016496776977923</v>
      </c>
      <c r="D1363" s="885">
        <v>1.0360249842698812</v>
      </c>
      <c r="E1363" s="885">
        <v>1.014747696085684</v>
      </c>
      <c r="F1363" s="885">
        <v>1.045985891247823</v>
      </c>
      <c r="G1363" s="885">
        <v>1.0180471707168848</v>
      </c>
      <c r="H1363" s="885">
        <v>0.9727341506399908</v>
      </c>
      <c r="I1363" s="885">
        <v>1.0047426789377327</v>
      </c>
      <c r="K1363">
        <v>1.9159053329409899</v>
      </c>
      <c r="L1363">
        <v>0</v>
      </c>
      <c r="M1363">
        <v>1.8069486967891256E-3</v>
      </c>
      <c r="N1363">
        <v>0.19056318489425697</v>
      </c>
      <c r="O1363">
        <v>2.4672496051093201E-2</v>
      </c>
      <c r="P1363">
        <v>2.1205869664156472E-2</v>
      </c>
      <c r="Q1363">
        <v>2.9487963188192536E-3</v>
      </c>
      <c r="R1363">
        <v>1.795833126662494E-3</v>
      </c>
      <c r="S1363">
        <v>0.20043280773471067</v>
      </c>
      <c r="T1363">
        <v>1.0570218835476992</v>
      </c>
      <c r="U1363">
        <v>3.7258845514426236E-2</v>
      </c>
      <c r="V1363">
        <v>0.24325299322303354</v>
      </c>
      <c r="W1363">
        <v>0.11277036816371837</v>
      </c>
      <c r="X1363">
        <v>2.0901537624657355E-2</v>
      </c>
      <c r="Y1363">
        <v>4.8876657745442051E-3</v>
      </c>
    </row>
    <row r="1364" spans="1:25" x14ac:dyDescent="0.25">
      <c r="A1364" s="881"/>
      <c r="B1364" s="1131">
        <v>1114</v>
      </c>
      <c r="C1364" s="885">
        <v>1.0088501934914629</v>
      </c>
      <c r="D1364" s="885">
        <v>1.0374418344307823</v>
      </c>
      <c r="E1364" s="885">
        <v>1.0045225489005112</v>
      </c>
      <c r="F1364" s="885">
        <v>0.98438703853623688</v>
      </c>
      <c r="G1364" s="885">
        <v>0.98510770212297805</v>
      </c>
      <c r="H1364" s="885">
        <v>1.0131812132244014</v>
      </c>
      <c r="I1364" s="885">
        <v>0.98335969358251518</v>
      </c>
      <c r="K1364">
        <v>1.9209342946258454</v>
      </c>
      <c r="L1364">
        <v>0</v>
      </c>
      <c r="M1364">
        <v>1.9081019870423538E-3</v>
      </c>
      <c r="N1364">
        <v>0.1949827030159661</v>
      </c>
      <c r="O1364">
        <v>2.4479916308471489E-2</v>
      </c>
      <c r="P1364">
        <v>2.1014031704743415E-2</v>
      </c>
      <c r="Q1364">
        <v>2.8962918013297305E-3</v>
      </c>
      <c r="R1364">
        <v>1.8968316989334164E-3</v>
      </c>
      <c r="S1364">
        <v>0.1985637939024264</v>
      </c>
      <c r="T1364">
        <v>1.0579572967784889</v>
      </c>
      <c r="U1364">
        <v>3.6992916135305948E-2</v>
      </c>
      <c r="V1364">
        <v>0.24211549001451518</v>
      </c>
      <c r="W1364">
        <v>0.1161904063411875</v>
      </c>
      <c r="X1364">
        <v>2.0590168317423631E-2</v>
      </c>
      <c r="Y1364">
        <v>5.1625505940952575E-3</v>
      </c>
    </row>
    <row r="1365" spans="1:25" x14ac:dyDescent="0.25">
      <c r="A1365" s="881"/>
      <c r="B1365" s="1131">
        <v>1115</v>
      </c>
      <c r="C1365" s="885">
        <v>1.0015668632495369</v>
      </c>
      <c r="D1365" s="885">
        <v>0.98317333638613558</v>
      </c>
      <c r="E1365" s="885">
        <v>1.0057963040189679</v>
      </c>
      <c r="F1365" s="885">
        <v>1.0139541531718692</v>
      </c>
      <c r="G1365" s="885">
        <v>1.0327786538185892</v>
      </c>
      <c r="H1365" s="885">
        <v>1.0052480930331678</v>
      </c>
      <c r="I1365" s="885">
        <v>1.0042672056246149</v>
      </c>
      <c r="K1365">
        <v>1.9489850156824893</v>
      </c>
      <c r="L1365">
        <v>0</v>
      </c>
      <c r="M1365">
        <v>1.9529589945220423E-3</v>
      </c>
      <c r="N1365">
        <v>0.2003536452780347</v>
      </c>
      <c r="O1365">
        <v>2.5321586397799481E-2</v>
      </c>
      <c r="P1365">
        <v>2.1276877375472018E-2</v>
      </c>
      <c r="Q1365">
        <v>2.9885339504068039E-3</v>
      </c>
      <c r="R1365">
        <v>1.9413757417061851E-3</v>
      </c>
      <c r="S1365">
        <v>0.20854417966758143</v>
      </c>
      <c r="T1365">
        <v>1.0578405491383824</v>
      </c>
      <c r="U1365">
        <v>3.7261926258056223E-2</v>
      </c>
      <c r="V1365">
        <v>0.24970771034271308</v>
      </c>
      <c r="W1365">
        <v>0.11928731981558253</v>
      </c>
      <c r="X1365">
        <v>2.1130485916690329E-2</v>
      </c>
      <c r="Y1365">
        <v>5.2837847945829798E-3</v>
      </c>
    </row>
    <row r="1366" spans="1:25" x14ac:dyDescent="0.25">
      <c r="A1366" s="881"/>
      <c r="B1366" s="1131">
        <v>1116</v>
      </c>
      <c r="C1366" s="885">
        <v>0.97299687275378743</v>
      </c>
      <c r="D1366" s="885">
        <v>0.96405278359516733</v>
      </c>
      <c r="E1366" s="885">
        <v>1.039867619037794</v>
      </c>
      <c r="F1366" s="885">
        <v>0.97737470272373383</v>
      </c>
      <c r="G1366" s="885">
        <v>0.99328743909748507</v>
      </c>
      <c r="H1366" s="885">
        <v>0.98135033670259597</v>
      </c>
      <c r="I1366" s="885">
        <v>0.99489107857728687</v>
      </c>
      <c r="K1366">
        <v>1.9740975913188981</v>
      </c>
      <c r="L1366">
        <v>0</v>
      </c>
      <c r="M1366">
        <v>1.8440677275448447E-3</v>
      </c>
      <c r="N1366">
        <v>0.21027076690766053</v>
      </c>
      <c r="O1366">
        <v>2.6320675282983548E-2</v>
      </c>
      <c r="P1366">
        <v>2.1930318045140548E-2</v>
      </c>
      <c r="Q1366">
        <v>3.2088577225405919E-3</v>
      </c>
      <c r="R1366">
        <v>1.8328793930344051E-3</v>
      </c>
      <c r="S1366">
        <v>0.21207930928944208</v>
      </c>
      <c r="T1366">
        <v>1.0547412255176902</v>
      </c>
      <c r="U1366">
        <v>3.8356043730431034E-2</v>
      </c>
      <c r="V1366">
        <v>0.25647581440566414</v>
      </c>
      <c r="W1366">
        <v>0.12235184682523507</v>
      </c>
      <c r="X1366">
        <v>2.3385428427309028E-2</v>
      </c>
      <c r="Y1366">
        <v>4.988493499310122E-3</v>
      </c>
    </row>
    <row r="1367" spans="1:25" x14ac:dyDescent="0.25">
      <c r="A1367" s="881"/>
      <c r="B1367" s="1131">
        <v>1117</v>
      </c>
      <c r="C1367" s="885">
        <v>1.0115766561322674</v>
      </c>
      <c r="D1367" s="885">
        <v>0.98014357879835212</v>
      </c>
      <c r="E1367" s="885">
        <v>0.95471175097326599</v>
      </c>
      <c r="F1367" s="885">
        <v>1.0274861736981538</v>
      </c>
      <c r="G1367" s="885">
        <v>1.0014507819741674</v>
      </c>
      <c r="H1367" s="885">
        <v>0.96912677903391953</v>
      </c>
      <c r="I1367" s="885">
        <v>1.0210432691543627</v>
      </c>
      <c r="K1367">
        <v>1.9207798139630499</v>
      </c>
      <c r="L1367">
        <v>0</v>
      </c>
      <c r="M1367">
        <v>2.0783670609721919E-3</v>
      </c>
      <c r="N1367">
        <v>0.18180544061796475</v>
      </c>
      <c r="O1367">
        <v>2.5109452602659003E-2</v>
      </c>
      <c r="P1367">
        <v>2.0483876684434195E-2</v>
      </c>
      <c r="Q1367">
        <v>2.8129554638705724E-3</v>
      </c>
      <c r="R1367">
        <v>2.0655832987119603E-3</v>
      </c>
      <c r="S1367">
        <v>0.20650181797567205</v>
      </c>
      <c r="T1367">
        <v>1.0625721998031401</v>
      </c>
      <c r="U1367">
        <v>3.6893210588320562E-2</v>
      </c>
      <c r="V1367">
        <v>0.24868465351815319</v>
      </c>
      <c r="W1367">
        <v>0.11214935414296032</v>
      </c>
      <c r="X1367">
        <v>1.8157799508392629E-2</v>
      </c>
      <c r="Y1367">
        <v>5.6218368197425376E-3</v>
      </c>
    </row>
    <row r="1368" spans="1:25" x14ac:dyDescent="0.25">
      <c r="A1368" s="881"/>
      <c r="B1368" s="1131">
        <v>1118</v>
      </c>
      <c r="C1368" s="885">
        <v>1.02662333368355</v>
      </c>
      <c r="D1368" s="885">
        <v>1.0155964036227274</v>
      </c>
      <c r="E1368" s="885">
        <v>1.0058356518812801</v>
      </c>
      <c r="F1368" s="885">
        <v>1.0059389819620999</v>
      </c>
      <c r="G1368" s="885">
        <v>1.0347403063289959</v>
      </c>
      <c r="H1368" s="885">
        <v>1.0076521625771513</v>
      </c>
      <c r="I1368" s="885">
        <v>1.0002171217332179</v>
      </c>
      <c r="K1368">
        <v>1.9177836660880367</v>
      </c>
      <c r="L1368">
        <v>0</v>
      </c>
      <c r="M1368">
        <v>1.879288596013123E-3</v>
      </c>
      <c r="N1368">
        <v>0.1928195679308686</v>
      </c>
      <c r="O1368">
        <v>2.4309948309555147E-2</v>
      </c>
      <c r="P1368">
        <v>2.1044260882288866E-2</v>
      </c>
      <c r="Q1368">
        <v>2.8757495920008927E-3</v>
      </c>
      <c r="R1368">
        <v>1.8681438476551774E-3</v>
      </c>
      <c r="S1368">
        <v>0.19987224490774261</v>
      </c>
      <c r="T1368">
        <v>1.0578369436675885</v>
      </c>
      <c r="U1368">
        <v>3.6352486229794409E-2</v>
      </c>
      <c r="V1368">
        <v>0.24227698527804251</v>
      </c>
      <c r="W1368">
        <v>0.11479857372644738</v>
      </c>
      <c r="X1368">
        <v>2.0523578592202902E-2</v>
      </c>
      <c r="Y1368">
        <v>5.0844717198635222E-3</v>
      </c>
    </row>
    <row r="1369" spans="1:25" x14ac:dyDescent="0.25">
      <c r="A1369" s="881"/>
      <c r="B1369" s="1131">
        <v>1119</v>
      </c>
      <c r="C1369" s="885">
        <v>1.023551665787704</v>
      </c>
      <c r="D1369" s="885">
        <v>0.98406162494319793</v>
      </c>
      <c r="E1369" s="885">
        <v>1.0017196459237647</v>
      </c>
      <c r="F1369" s="885">
        <v>0.98284117140961924</v>
      </c>
      <c r="G1369" s="885">
        <v>1.0087074125869167</v>
      </c>
      <c r="H1369" s="885">
        <v>0.98737022037741018</v>
      </c>
      <c r="I1369" s="885">
        <v>1.0152816588429561</v>
      </c>
      <c r="K1369">
        <v>1.92604948879413</v>
      </c>
      <c r="L1369">
        <v>0</v>
      </c>
      <c r="M1369">
        <v>1.892371084591326E-3</v>
      </c>
      <c r="N1369">
        <v>0.1916711478851254</v>
      </c>
      <c r="O1369">
        <v>2.4766606659686417E-2</v>
      </c>
      <c r="P1369">
        <v>2.1106674817279354E-2</v>
      </c>
      <c r="Q1369">
        <v>2.9112894394330902E-3</v>
      </c>
      <c r="R1369">
        <v>1.8809432400744585E-3</v>
      </c>
      <c r="S1369">
        <v>0.20440830034181828</v>
      </c>
      <c r="T1369">
        <v>1.0582144231369703</v>
      </c>
      <c r="U1369">
        <v>3.6461579662611335E-2</v>
      </c>
      <c r="V1369">
        <v>0.24652906470810296</v>
      </c>
      <c r="W1369">
        <v>0.11443583209571881</v>
      </c>
      <c r="X1369">
        <v>2.0436690445189573E-2</v>
      </c>
      <c r="Y1369">
        <v>5.1193074467102287E-3</v>
      </c>
    </row>
    <row r="1370" spans="1:25" x14ac:dyDescent="0.25">
      <c r="A1370" s="881"/>
      <c r="B1370" s="1131">
        <v>1120</v>
      </c>
      <c r="C1370" s="885">
        <v>1.016232020666499</v>
      </c>
      <c r="D1370" s="885">
        <v>1.0448459341253888</v>
      </c>
      <c r="E1370" s="885">
        <v>0.9533670890898468</v>
      </c>
      <c r="F1370" s="885">
        <v>0.98301461628958908</v>
      </c>
      <c r="G1370" s="885">
        <v>0.99656384821696997</v>
      </c>
      <c r="H1370" s="885">
        <v>0.98706071194249412</v>
      </c>
      <c r="I1370" s="885">
        <v>0.99294504772260195</v>
      </c>
      <c r="K1370">
        <v>1.8944719004122508</v>
      </c>
      <c r="L1370">
        <v>0</v>
      </c>
      <c r="M1370">
        <v>2.0474062105784448E-3</v>
      </c>
      <c r="N1370">
        <v>0.17836218708804902</v>
      </c>
      <c r="O1370">
        <v>2.421717204270207E-2</v>
      </c>
      <c r="P1370">
        <v>2.0211261381833961E-2</v>
      </c>
      <c r="Q1370">
        <v>2.7212728871427155E-3</v>
      </c>
      <c r="R1370">
        <v>2.0349870868269868E-3</v>
      </c>
      <c r="S1370">
        <v>0.19587009297098493</v>
      </c>
      <c r="T1370">
        <v>1.0626981114647513</v>
      </c>
      <c r="U1370">
        <v>3.6724202585586938E-2</v>
      </c>
      <c r="V1370">
        <v>0.24028961161460899</v>
      </c>
      <c r="W1370">
        <v>0.11012993631088275</v>
      </c>
      <c r="X1370">
        <v>1.7721907172428907E-2</v>
      </c>
      <c r="Y1370">
        <v>5.538564017030176E-3</v>
      </c>
    </row>
    <row r="1371" spans="1:25" x14ac:dyDescent="0.25">
      <c r="A1371" s="881"/>
      <c r="B1371" s="1131">
        <v>1121</v>
      </c>
      <c r="C1371" s="885">
        <v>1.0060307533699033</v>
      </c>
      <c r="D1371" s="885">
        <v>1.0002012523194486</v>
      </c>
      <c r="E1371" s="885">
        <v>0.99530053356742842</v>
      </c>
      <c r="F1371" s="885">
        <v>1.0067411675215259</v>
      </c>
      <c r="G1371" s="885">
        <v>1.005625948346242</v>
      </c>
      <c r="H1371" s="885">
        <v>0.97151178556602524</v>
      </c>
      <c r="I1371" s="885">
        <v>1.0127051157179132</v>
      </c>
      <c r="K1371">
        <v>1.9238020172588164</v>
      </c>
      <c r="L1371">
        <v>0</v>
      </c>
      <c r="M1371">
        <v>1.9047778686635541E-3</v>
      </c>
      <c r="N1371">
        <v>0.18909262963517254</v>
      </c>
      <c r="O1371">
        <v>2.4995625756442538E-2</v>
      </c>
      <c r="P1371">
        <v>2.1026143335175225E-2</v>
      </c>
      <c r="Q1371">
        <v>2.922621575214457E-3</v>
      </c>
      <c r="R1371">
        <v>1.893074103731583E-3</v>
      </c>
      <c r="S1371">
        <v>0.20428064255450315</v>
      </c>
      <c r="T1371">
        <v>1.0588044382328816</v>
      </c>
      <c r="U1371">
        <v>3.7096590214469025E-2</v>
      </c>
      <c r="V1371">
        <v>0.24693739943707971</v>
      </c>
      <c r="W1371">
        <v>0.11339382217764875</v>
      </c>
      <c r="X1371">
        <v>2.0111484446515712E-2</v>
      </c>
      <c r="Y1371">
        <v>5.1523236586467919E-3</v>
      </c>
    </row>
    <row r="1372" spans="1:25" x14ac:dyDescent="0.25">
      <c r="A1372" s="881"/>
      <c r="B1372" s="1131">
        <v>1122</v>
      </c>
      <c r="C1372" s="885">
        <v>1.007613712869754</v>
      </c>
      <c r="D1372" s="885">
        <v>1.0111344489662069</v>
      </c>
      <c r="E1372" s="885">
        <v>0.95780747858650439</v>
      </c>
      <c r="F1372" s="885">
        <v>1.0306214829179952</v>
      </c>
      <c r="G1372" s="885">
        <v>0.98574072516429645</v>
      </c>
      <c r="H1372" s="885">
        <v>0.96542435557953987</v>
      </c>
      <c r="I1372" s="885">
        <v>1.0339404061089599</v>
      </c>
      <c r="K1372">
        <v>1.9131755107941337</v>
      </c>
      <c r="L1372">
        <v>0</v>
      </c>
      <c r="M1372">
        <v>2.0335862029779205E-3</v>
      </c>
      <c r="N1372">
        <v>0.17960872010270587</v>
      </c>
      <c r="O1372">
        <v>2.482252233528106E-2</v>
      </c>
      <c r="P1372">
        <v>2.0488540149786742E-2</v>
      </c>
      <c r="Q1372">
        <v>2.7957642845398037E-3</v>
      </c>
      <c r="R1372">
        <v>2.0210027442503021E-3</v>
      </c>
      <c r="S1372">
        <v>0.20657312695914262</v>
      </c>
      <c r="T1372">
        <v>1.062282586343217</v>
      </c>
      <c r="U1372">
        <v>3.7038311531733814E-2</v>
      </c>
      <c r="V1372">
        <v>0.24537986232053133</v>
      </c>
      <c r="W1372">
        <v>0.11055252900162146</v>
      </c>
      <c r="X1372">
        <v>1.8145627977825086E-2</v>
      </c>
      <c r="Y1372">
        <v>5.5005032464737324E-3</v>
      </c>
    </row>
    <row r="1373" spans="1:25" x14ac:dyDescent="0.25">
      <c r="A1373" s="881"/>
      <c r="B1373" s="1131">
        <v>1123</v>
      </c>
      <c r="C1373" s="885">
        <v>1.0098274515091534</v>
      </c>
      <c r="D1373" s="885">
        <v>0.99891558589692242</v>
      </c>
      <c r="E1373" s="885">
        <v>0.9915127721282595</v>
      </c>
      <c r="F1373" s="885">
        <v>1.0073946344004847</v>
      </c>
      <c r="G1373" s="885">
        <v>0.98109915648552792</v>
      </c>
      <c r="H1373" s="885">
        <v>0.98359721131931765</v>
      </c>
      <c r="I1373" s="885">
        <v>0.98842849486752715</v>
      </c>
      <c r="K1373">
        <v>1.9209777922312761</v>
      </c>
      <c r="L1373">
        <v>0</v>
      </c>
      <c r="M1373">
        <v>1.9378253871244985E-3</v>
      </c>
      <c r="N1373">
        <v>0.19013314900478084</v>
      </c>
      <c r="O1373">
        <v>2.4917508757475969E-2</v>
      </c>
      <c r="P1373">
        <v>2.0905479555838331E-2</v>
      </c>
      <c r="Q1373">
        <v>2.902115341267299E-3</v>
      </c>
      <c r="R1373">
        <v>1.9260659112862368E-3</v>
      </c>
      <c r="S1373">
        <v>0.19994895095573881</v>
      </c>
      <c r="T1373">
        <v>1.0591533441601539</v>
      </c>
      <c r="U1373">
        <v>3.6957116332243585E-2</v>
      </c>
      <c r="V1373">
        <v>0.24656484895735373</v>
      </c>
      <c r="W1373">
        <v>0.1143150504013369</v>
      </c>
      <c r="X1373">
        <v>1.994987175786074E-2</v>
      </c>
      <c r="Y1373">
        <v>5.2421164830641223E-3</v>
      </c>
    </row>
    <row r="1374" spans="1:25" x14ac:dyDescent="0.25">
      <c r="A1374" s="881"/>
      <c r="B1374" s="1131">
        <v>1124</v>
      </c>
      <c r="C1374" s="885">
        <v>0.98165878262074446</v>
      </c>
      <c r="D1374" s="885">
        <v>0.98756709327585546</v>
      </c>
      <c r="E1374" s="885">
        <v>1.028364739530002</v>
      </c>
      <c r="F1374" s="885">
        <v>1.0157631361724009</v>
      </c>
      <c r="G1374" s="885">
        <v>0.98267021200615057</v>
      </c>
      <c r="H1374" s="885">
        <v>0.98783875197470106</v>
      </c>
      <c r="I1374" s="885">
        <v>0.98572535284793483</v>
      </c>
      <c r="K1374">
        <v>1.9556133924952872</v>
      </c>
      <c r="L1374">
        <v>0</v>
      </c>
      <c r="M1374">
        <v>1.8628195045303816E-3</v>
      </c>
      <c r="N1374">
        <v>0.20496653796048583</v>
      </c>
      <c r="O1374">
        <v>2.577803352979946E-2</v>
      </c>
      <c r="P1374">
        <v>2.1620493755231583E-2</v>
      </c>
      <c r="Q1374">
        <v>3.1125236568373929E-3</v>
      </c>
      <c r="R1374">
        <v>1.8515726663222987E-3</v>
      </c>
      <c r="S1374">
        <v>0.20663682913299147</v>
      </c>
      <c r="T1374">
        <v>1.0557825159309189</v>
      </c>
      <c r="U1374">
        <v>3.8017599660528194E-2</v>
      </c>
      <c r="V1374">
        <v>0.2520356849504784</v>
      </c>
      <c r="W1374">
        <v>0.12018568455615891</v>
      </c>
      <c r="X1374">
        <v>2.2449365773099559E-2</v>
      </c>
      <c r="Y1374">
        <v>5.0393704269638831E-3</v>
      </c>
    </row>
    <row r="1375" spans="1:25" x14ac:dyDescent="0.25">
      <c r="A1375" s="881"/>
      <c r="B1375" s="1131">
        <v>1125</v>
      </c>
      <c r="C1375" s="885">
        <v>1.0300444718073707</v>
      </c>
      <c r="D1375" s="885">
        <v>0.99743958899433194</v>
      </c>
      <c r="E1375" s="885">
        <v>0.99548906087749411</v>
      </c>
      <c r="F1375" s="885">
        <v>1.0332615413173776</v>
      </c>
      <c r="G1375" s="885">
        <v>1.0022156361941503</v>
      </c>
      <c r="H1375" s="885">
        <v>0.96832674179254963</v>
      </c>
      <c r="I1375" s="885">
        <v>1.0203390897229851</v>
      </c>
      <c r="K1375">
        <v>1.9079075792211428</v>
      </c>
      <c r="L1375">
        <v>0</v>
      </c>
      <c r="M1375">
        <v>1.8560733996550892E-3</v>
      </c>
      <c r="N1375">
        <v>0.1843622118526333</v>
      </c>
      <c r="O1375">
        <v>2.4446335875175373E-2</v>
      </c>
      <c r="P1375">
        <v>2.0931951237999874E-2</v>
      </c>
      <c r="Q1375">
        <v>2.8583875108612795E-3</v>
      </c>
      <c r="R1375">
        <v>1.8446335768730457E-3</v>
      </c>
      <c r="S1375">
        <v>0.20095758830644858</v>
      </c>
      <c r="T1375">
        <v>1.0587870868079772</v>
      </c>
      <c r="U1375">
        <v>3.623174690257084E-2</v>
      </c>
      <c r="V1375">
        <v>0.24399937313719477</v>
      </c>
      <c r="W1375">
        <v>0.11054280971548226</v>
      </c>
      <c r="X1375">
        <v>1.9781043184626132E-2</v>
      </c>
      <c r="Y1375">
        <v>5.0204845129532411E-3</v>
      </c>
    </row>
    <row r="1376" spans="1:25" x14ac:dyDescent="0.25">
      <c r="A1376" s="881"/>
      <c r="B1376" s="1131">
        <v>1126</v>
      </c>
      <c r="C1376" s="885">
        <v>0.99686764035374698</v>
      </c>
      <c r="D1376" s="885">
        <v>1.0121314186349937</v>
      </c>
      <c r="E1376" s="885">
        <v>0.97877109906170878</v>
      </c>
      <c r="F1376" s="885">
        <v>1.0004785714285349</v>
      </c>
      <c r="G1376" s="885">
        <v>0.99787439649411658</v>
      </c>
      <c r="H1376" s="885">
        <v>0.98376976919641079</v>
      </c>
      <c r="I1376" s="885">
        <v>0.97996279640352024</v>
      </c>
      <c r="K1376">
        <v>1.921171908202207</v>
      </c>
      <c r="L1376">
        <v>0</v>
      </c>
      <c r="M1376">
        <v>2.0035765261294598E-3</v>
      </c>
      <c r="N1376">
        <v>0.18893501681981778</v>
      </c>
      <c r="O1376">
        <v>2.5077888254905849E-2</v>
      </c>
      <c r="P1376">
        <v>2.0725440946625422E-2</v>
      </c>
      <c r="Q1376">
        <v>2.8859555273375755E-3</v>
      </c>
      <c r="R1376">
        <v>1.9914091295686622E-3</v>
      </c>
      <c r="S1376">
        <v>0.19962437911000241</v>
      </c>
      <c r="T1376">
        <v>1.0603311230093311</v>
      </c>
      <c r="U1376">
        <v>3.7437578561255645E-2</v>
      </c>
      <c r="V1376">
        <v>0.24675582031318702</v>
      </c>
      <c r="W1376">
        <v>0.11459982531205667</v>
      </c>
      <c r="X1376">
        <v>1.9391088561403168E-2</v>
      </c>
      <c r="Y1376">
        <v>5.4199591828427663E-3</v>
      </c>
    </row>
    <row r="1377" spans="1:25" x14ac:dyDescent="0.25">
      <c r="A1377" s="881"/>
      <c r="B1377" s="1131">
        <v>1127</v>
      </c>
      <c r="C1377" s="885">
        <v>0.99191394235443486</v>
      </c>
      <c r="D1377" s="885">
        <v>1.024773544264189</v>
      </c>
      <c r="E1377" s="885">
        <v>1.0151826277933722</v>
      </c>
      <c r="F1377" s="885">
        <v>0.99282938267751919</v>
      </c>
      <c r="G1377" s="885">
        <v>0.98514847400312022</v>
      </c>
      <c r="H1377" s="885">
        <v>0.96413515079973322</v>
      </c>
      <c r="I1377" s="885">
        <v>0.99700441601348844</v>
      </c>
      <c r="K1377">
        <v>1.9221169348134097</v>
      </c>
      <c r="L1377">
        <v>0</v>
      </c>
      <c r="M1377">
        <v>1.8166385435319503E-3</v>
      </c>
      <c r="N1377">
        <v>0.19183451828109782</v>
      </c>
      <c r="O1377">
        <v>2.5049132314251155E-2</v>
      </c>
      <c r="P1377">
        <v>2.1261630226457755E-2</v>
      </c>
      <c r="Q1377">
        <v>2.9928601094376178E-3</v>
      </c>
      <c r="R1377">
        <v>1.8053721119740988E-3</v>
      </c>
      <c r="S1377">
        <v>0.20098089632634772</v>
      </c>
      <c r="T1377">
        <v>1.0569821857818407</v>
      </c>
      <c r="U1377">
        <v>3.7624544839376182E-2</v>
      </c>
      <c r="V1377">
        <v>0.24592672071102051</v>
      </c>
      <c r="W1377">
        <v>0.11348928164953856</v>
      </c>
      <c r="X1377">
        <v>2.1072803257563642E-2</v>
      </c>
      <c r="Y1377">
        <v>4.9136277480367318E-3</v>
      </c>
    </row>
    <row r="1378" spans="1:25" x14ac:dyDescent="0.25">
      <c r="A1378" s="881"/>
      <c r="B1378" s="1131">
        <v>1128</v>
      </c>
      <c r="C1378" s="885">
        <v>1.0353754950330791</v>
      </c>
      <c r="D1378" s="885">
        <v>0.98277555768113478</v>
      </c>
      <c r="E1378" s="885">
        <v>0.95783594960653895</v>
      </c>
      <c r="F1378" s="885">
        <v>0.99096825882175787</v>
      </c>
      <c r="G1378" s="885">
        <v>0.9767315373303197</v>
      </c>
      <c r="H1378" s="885">
        <v>0.98110558219021582</v>
      </c>
      <c r="I1378" s="885">
        <v>1.0220741332004744</v>
      </c>
      <c r="K1378">
        <v>1.908663090016254</v>
      </c>
      <c r="L1378">
        <v>0</v>
      </c>
      <c r="M1378">
        <v>2.0395921707761409E-3</v>
      </c>
      <c r="N1378">
        <v>0.18017528626020246</v>
      </c>
      <c r="O1378">
        <v>2.4499666672777198E-2</v>
      </c>
      <c r="P1378">
        <v>2.0423686403697613E-2</v>
      </c>
      <c r="Q1378">
        <v>2.7540073824366849E-3</v>
      </c>
      <c r="R1378">
        <v>2.0271977570814701E-3</v>
      </c>
      <c r="S1378">
        <v>0.20291707515796303</v>
      </c>
      <c r="T1378">
        <v>1.0622799245184538</v>
      </c>
      <c r="U1378">
        <v>3.6045194018933691E-2</v>
      </c>
      <c r="V1378">
        <v>0.2450909126894866</v>
      </c>
      <c r="W1378">
        <v>0.11089903567161281</v>
      </c>
      <c r="X1378">
        <v>1.8073331625170858E-2</v>
      </c>
      <c r="Y1378">
        <v>5.5173640292147412E-3</v>
      </c>
    </row>
    <row r="1379" spans="1:25" x14ac:dyDescent="0.25">
      <c r="A1379" s="881"/>
      <c r="B1379" s="1131">
        <v>1129</v>
      </c>
      <c r="C1379" s="885">
        <v>0.98443687272149549</v>
      </c>
      <c r="D1379" s="885">
        <v>0.99632747677734046</v>
      </c>
      <c r="E1379" s="885">
        <v>0.99900625264185927</v>
      </c>
      <c r="F1379" s="885">
        <v>0.99285859280990707</v>
      </c>
      <c r="G1379" s="885">
        <v>1.023522614440783</v>
      </c>
      <c r="H1379" s="885">
        <v>0.97507442870758532</v>
      </c>
      <c r="I1379" s="885">
        <v>1.0076629552054557</v>
      </c>
      <c r="K1379">
        <v>1.9427767802122093</v>
      </c>
      <c r="L1379">
        <v>0</v>
      </c>
      <c r="M1379">
        <v>1.9422421832941924E-3</v>
      </c>
      <c r="N1379">
        <v>0.19505279256109628</v>
      </c>
      <c r="O1379">
        <v>2.5593035673996272E-2</v>
      </c>
      <c r="P1379">
        <v>2.1196641806076805E-2</v>
      </c>
      <c r="Q1379">
        <v>3.0028460174067895E-3</v>
      </c>
      <c r="R1379">
        <v>1.9303550242932479E-3</v>
      </c>
      <c r="S1379">
        <v>0.20846196605545597</v>
      </c>
      <c r="T1379">
        <v>1.0584636298941226</v>
      </c>
      <c r="U1379">
        <v>3.7910313637220965E-2</v>
      </c>
      <c r="V1379">
        <v>0.25050425498032453</v>
      </c>
      <c r="W1379">
        <v>0.11667117560825932</v>
      </c>
      <c r="X1379">
        <v>2.067822110248756E-2</v>
      </c>
      <c r="Y1379">
        <v>5.2537900347634841E-3</v>
      </c>
    </row>
    <row r="1380" spans="1:25" x14ac:dyDescent="0.25">
      <c r="A1380" s="881"/>
      <c r="B1380" s="1131">
        <v>1130</v>
      </c>
      <c r="C1380" s="885">
        <v>0.97761071780416442</v>
      </c>
      <c r="D1380" s="885">
        <v>0.99294537180501452</v>
      </c>
      <c r="E1380" s="885">
        <v>1.0152259734775493</v>
      </c>
      <c r="F1380" s="885">
        <v>0.96120916492131736</v>
      </c>
      <c r="G1380" s="885">
        <v>1.0319572932275307</v>
      </c>
      <c r="H1380" s="885">
        <v>1.0008506779118251</v>
      </c>
      <c r="I1380" s="885">
        <v>0.96811664973279643</v>
      </c>
      <c r="K1380">
        <v>1.9558192762317428</v>
      </c>
      <c r="L1380">
        <v>0</v>
      </c>
      <c r="M1380">
        <v>1.9432873901433336E-3</v>
      </c>
      <c r="N1380">
        <v>0.20528577381207674</v>
      </c>
      <c r="O1380">
        <v>2.5815185129203336E-2</v>
      </c>
      <c r="P1380">
        <v>2.1402630372354407E-2</v>
      </c>
      <c r="Q1380">
        <v>3.0777700100740662E-3</v>
      </c>
      <c r="R1380">
        <v>1.9317028812203996E-3</v>
      </c>
      <c r="S1380">
        <v>0.20458650807188439</v>
      </c>
      <c r="T1380">
        <v>1.0569782298717965</v>
      </c>
      <c r="U1380">
        <v>3.8175021939962958E-2</v>
      </c>
      <c r="V1380">
        <v>0.2519409354483117</v>
      </c>
      <c r="W1380">
        <v>0.12144347908926546</v>
      </c>
      <c r="X1380">
        <v>2.186786853873645E-2</v>
      </c>
      <c r="Y1380">
        <v>5.2574584569982721E-3</v>
      </c>
    </row>
    <row r="1381" spans="1:25" x14ac:dyDescent="0.25">
      <c r="A1381" s="881"/>
      <c r="B1381" s="1131">
        <v>1131</v>
      </c>
      <c r="C1381" s="885">
        <v>1.0150676659230102</v>
      </c>
      <c r="D1381" s="885">
        <v>1.0187951968707021</v>
      </c>
      <c r="E1381" s="885">
        <v>0.99413299659453624</v>
      </c>
      <c r="F1381" s="885">
        <v>0.97918521407672565</v>
      </c>
      <c r="G1381" s="885">
        <v>1.0336450876861623</v>
      </c>
      <c r="H1381" s="885">
        <v>1.0092894816341977</v>
      </c>
      <c r="I1381" s="885">
        <v>1.0014475938405856</v>
      </c>
      <c r="K1381">
        <v>1.9235126395839122</v>
      </c>
      <c r="L1381">
        <v>0</v>
      </c>
      <c r="M1381">
        <v>1.9482469063251857E-3</v>
      </c>
      <c r="N1381">
        <v>0.19274953527685107</v>
      </c>
      <c r="O1381">
        <v>2.454854375902733E-2</v>
      </c>
      <c r="P1381">
        <v>2.0929912058832947E-2</v>
      </c>
      <c r="Q1381">
        <v>2.8706383462700508E-3</v>
      </c>
      <c r="R1381">
        <v>1.9367094622737609E-3</v>
      </c>
      <c r="S1381">
        <v>0.20226694155247021</v>
      </c>
      <c r="T1381">
        <v>1.0589119252481247</v>
      </c>
      <c r="U1381">
        <v>3.6766327855573266E-2</v>
      </c>
      <c r="V1381">
        <v>0.24344606093279653</v>
      </c>
      <c r="W1381">
        <v>0.1156794895192385</v>
      </c>
      <c r="X1381">
        <v>2.0083717758571179E-2</v>
      </c>
      <c r="Y1381">
        <v>5.2710847202065217E-3</v>
      </c>
    </row>
    <row r="1382" spans="1:25" x14ac:dyDescent="0.25">
      <c r="A1382" s="881"/>
      <c r="B1382" s="1131">
        <v>1132</v>
      </c>
      <c r="C1382" s="885">
        <v>1.0323058123543558</v>
      </c>
      <c r="D1382" s="885">
        <v>1.0049545858472058</v>
      </c>
      <c r="E1382" s="885">
        <v>0.99689137057626076</v>
      </c>
      <c r="F1382" s="885">
        <v>0.97106506130291459</v>
      </c>
      <c r="G1382" s="885">
        <v>0.96810206445386759</v>
      </c>
      <c r="H1382" s="885">
        <v>0.98794129674976505</v>
      </c>
      <c r="I1382" s="885">
        <v>0.96938287184140115</v>
      </c>
      <c r="K1382">
        <v>1.9016681657853043</v>
      </c>
      <c r="L1382">
        <v>0</v>
      </c>
      <c r="M1382">
        <v>1.8769737813743492E-3</v>
      </c>
      <c r="N1382">
        <v>0.18727608273030766</v>
      </c>
      <c r="O1382">
        <v>2.4302337669288073E-2</v>
      </c>
      <c r="P1382">
        <v>2.0808713011614001E-2</v>
      </c>
      <c r="Q1382">
        <v>2.8470557522112653E-3</v>
      </c>
      <c r="R1382">
        <v>1.8656289273138338E-3</v>
      </c>
      <c r="S1382">
        <v>0.19170849032253068</v>
      </c>
      <c r="T1382">
        <v>1.0586580663143759</v>
      </c>
      <c r="U1382">
        <v>3.6152378640396665E-2</v>
      </c>
      <c r="V1382">
        <v>0.24279082278348627</v>
      </c>
      <c r="W1382">
        <v>0.11218197507337495</v>
      </c>
      <c r="X1382">
        <v>1.9875961406039293E-2</v>
      </c>
      <c r="Y1382">
        <v>5.077626935737654E-3</v>
      </c>
    </row>
    <row r="1383" spans="1:25" x14ac:dyDescent="0.25">
      <c r="A1383" s="881"/>
      <c r="B1383" s="1131">
        <v>1133</v>
      </c>
      <c r="C1383" s="885">
        <v>0.99162560788844378</v>
      </c>
      <c r="D1383" s="885">
        <v>1.0025554584542584</v>
      </c>
      <c r="E1383" s="885">
        <v>0.98150103476194672</v>
      </c>
      <c r="F1383" s="885">
        <v>1.019312567042836</v>
      </c>
      <c r="G1383" s="885">
        <v>1.0095027915748398</v>
      </c>
      <c r="H1383" s="885">
        <v>0.99455957027498909</v>
      </c>
      <c r="I1383" s="885">
        <v>1.0144634531165992</v>
      </c>
      <c r="K1383">
        <v>1.9412195487154962</v>
      </c>
      <c r="L1383">
        <v>0</v>
      </c>
      <c r="M1383">
        <v>2.0341539451218097E-3</v>
      </c>
      <c r="N1383">
        <v>0.19347052252820054</v>
      </c>
      <c r="O1383">
        <v>2.5329244755393804E-2</v>
      </c>
      <c r="P1383">
        <v>2.093016917853192E-2</v>
      </c>
      <c r="Q1383">
        <v>2.9210499242012869E-3</v>
      </c>
      <c r="R1383">
        <v>2.0219428939293664E-3</v>
      </c>
      <c r="S1383">
        <v>0.20976750895934687</v>
      </c>
      <c r="T1383">
        <v>1.060078250428063</v>
      </c>
      <c r="U1383">
        <v>3.7635484908852192E-2</v>
      </c>
      <c r="V1383">
        <v>0.24868084550632827</v>
      </c>
      <c r="W1383">
        <v>0.11712880393557704</v>
      </c>
      <c r="X1383">
        <v>1.9786817618212497E-2</v>
      </c>
      <c r="Y1383">
        <v>5.5030620239798862E-3</v>
      </c>
    </row>
    <row r="1384" spans="1:25" x14ac:dyDescent="0.25">
      <c r="A1384" s="881"/>
      <c r="B1384" s="1131">
        <v>1134</v>
      </c>
      <c r="C1384" s="885">
        <v>0.98907891563054151</v>
      </c>
      <c r="D1384" s="885">
        <v>1.0046989523938323</v>
      </c>
      <c r="E1384" s="885">
        <v>1.0215158407116878</v>
      </c>
      <c r="F1384" s="885">
        <v>1.0002992573458214</v>
      </c>
      <c r="G1384" s="885">
        <v>1.0270957121198896</v>
      </c>
      <c r="H1384" s="885">
        <v>1.032051278708475</v>
      </c>
      <c r="I1384" s="885">
        <v>0.95867491371354141</v>
      </c>
      <c r="K1384">
        <v>1.9550999130798679</v>
      </c>
      <c r="L1384">
        <v>0</v>
      </c>
      <c r="M1384">
        <v>1.9431539187843364E-3</v>
      </c>
      <c r="N1384">
        <v>0.20935947758635171</v>
      </c>
      <c r="O1384">
        <v>2.5367643934651348E-2</v>
      </c>
      <c r="P1384">
        <v>2.1410887859238108E-2</v>
      </c>
      <c r="Q1384">
        <v>3.0458997189737416E-3</v>
      </c>
      <c r="R1384">
        <v>1.9319112314319592E-3</v>
      </c>
      <c r="S1384">
        <v>0.2022165230094333</v>
      </c>
      <c r="T1384">
        <v>1.0564049683779346</v>
      </c>
      <c r="U1384">
        <v>3.7732389206906747E-2</v>
      </c>
      <c r="V1384">
        <v>0.24877804400733369</v>
      </c>
      <c r="W1384">
        <v>0.12332826521146394</v>
      </c>
      <c r="X1384">
        <v>2.2209031337341381E-2</v>
      </c>
      <c r="Y1384">
        <v>5.2580255175915091E-3</v>
      </c>
    </row>
    <row r="1385" spans="1:25" x14ac:dyDescent="0.25">
      <c r="A1385" s="881"/>
      <c r="B1385" s="1131">
        <v>1135</v>
      </c>
      <c r="C1385" s="885">
        <v>1.0385968044426286</v>
      </c>
      <c r="D1385" s="885">
        <v>1.0452714755667343</v>
      </c>
      <c r="E1385" s="885">
        <v>1.0038914019535339</v>
      </c>
      <c r="F1385" s="885">
        <v>0.9804165745702631</v>
      </c>
      <c r="G1385" s="885">
        <v>1.0215103613254271</v>
      </c>
      <c r="H1385" s="885">
        <v>1.0334191282844898</v>
      </c>
      <c r="I1385" s="885">
        <v>1.0242805696009258</v>
      </c>
      <c r="K1385">
        <v>1.913377096123392</v>
      </c>
      <c r="L1385">
        <v>0</v>
      </c>
      <c r="M1385">
        <v>1.8860026318860295E-3</v>
      </c>
      <c r="N1385">
        <v>0.19236831096567555</v>
      </c>
      <c r="O1385">
        <v>2.3690941208030315E-2</v>
      </c>
      <c r="P1385">
        <v>2.0974894082317754E-2</v>
      </c>
      <c r="Q1385">
        <v>2.8026148329693169E-3</v>
      </c>
      <c r="R1385">
        <v>1.8750754387093923E-3</v>
      </c>
      <c r="S1385">
        <v>0.20219066141116346</v>
      </c>
      <c r="T1385">
        <v>1.058015168790821</v>
      </c>
      <c r="U1385">
        <v>3.5933396329815494E-2</v>
      </c>
      <c r="V1385">
        <v>0.23735118292437879</v>
      </c>
      <c r="W1385">
        <v>0.11468185755359951</v>
      </c>
      <c r="X1385">
        <v>2.0275657992083251E-2</v>
      </c>
      <c r="Y1385">
        <v>5.1033372257147172E-3</v>
      </c>
    </row>
    <row r="1386" spans="1:25" x14ac:dyDescent="0.25">
      <c r="A1386" s="881"/>
      <c r="B1386" s="1131">
        <v>1136</v>
      </c>
      <c r="C1386" s="885">
        <v>1.0119943647703031</v>
      </c>
      <c r="D1386" s="885">
        <v>0.9717931126360394</v>
      </c>
      <c r="E1386" s="885">
        <v>1.007101816207056</v>
      </c>
      <c r="F1386" s="885">
        <v>0.9647286636764103</v>
      </c>
      <c r="G1386" s="885">
        <v>1.0135040777240631</v>
      </c>
      <c r="H1386" s="885">
        <v>1.0214043106233099</v>
      </c>
      <c r="I1386" s="885">
        <v>1.0296575376124546</v>
      </c>
      <c r="K1386">
        <v>1.9585455224732018</v>
      </c>
      <c r="L1386">
        <v>0</v>
      </c>
      <c r="M1386">
        <v>1.9698484130889165E-3</v>
      </c>
      <c r="N1386">
        <v>0.20292851550796551</v>
      </c>
      <c r="O1386">
        <v>2.5205974193914949E-2</v>
      </c>
      <c r="P1386">
        <v>2.1371322569364002E-2</v>
      </c>
      <c r="Q1386">
        <v>2.9763406760352075E-3</v>
      </c>
      <c r="R1386">
        <v>1.9583591573699242E-3</v>
      </c>
      <c r="S1386">
        <v>0.21443891923398553</v>
      </c>
      <c r="T1386">
        <v>1.0577209564232926</v>
      </c>
      <c r="U1386">
        <v>3.6877982625315969E-2</v>
      </c>
      <c r="V1386">
        <v>0.24969723752264089</v>
      </c>
      <c r="W1386">
        <v>0.12071296113600009</v>
      </c>
      <c r="X1386">
        <v>2.1296793786966129E-2</v>
      </c>
      <c r="Y1386">
        <v>5.3300080534382085E-3</v>
      </c>
    </row>
    <row r="1387" spans="1:25" x14ac:dyDescent="0.25">
      <c r="A1387" s="881"/>
      <c r="B1387" s="1131">
        <v>1137</v>
      </c>
      <c r="C1387" s="885">
        <v>1.008470593374486</v>
      </c>
      <c r="D1387" s="885">
        <v>1.0066694151268099</v>
      </c>
      <c r="E1387" s="885">
        <v>0.99230464584142186</v>
      </c>
      <c r="F1387" s="885">
        <v>0.97068962037937789</v>
      </c>
      <c r="G1387" s="885">
        <v>0.96900921454013222</v>
      </c>
      <c r="H1387" s="885">
        <v>1.0218344699570543</v>
      </c>
      <c r="I1387" s="885">
        <v>1.0314724571317944</v>
      </c>
      <c r="K1387">
        <v>1.9443387541451844</v>
      </c>
      <c r="L1387">
        <v>0</v>
      </c>
      <c r="M1387">
        <v>2.0048335120977511E-3</v>
      </c>
      <c r="N1387">
        <v>0.19723770033446089</v>
      </c>
      <c r="O1387">
        <v>2.4855755452668396E-2</v>
      </c>
      <c r="P1387">
        <v>2.1072783809897345E-2</v>
      </c>
      <c r="Q1387">
        <v>2.8987987586882751E-3</v>
      </c>
      <c r="R1387">
        <v>1.9931163944869436E-3</v>
      </c>
      <c r="S1387">
        <v>0.21214233503036381</v>
      </c>
      <c r="T1387">
        <v>1.0590803553495969</v>
      </c>
      <c r="U1387">
        <v>3.7006840701262124E-2</v>
      </c>
      <c r="V1387">
        <v>0.24580664082198597</v>
      </c>
      <c r="W1387">
        <v>0.11852196736540997</v>
      </c>
      <c r="X1387">
        <v>2.0302687843310428E-2</v>
      </c>
      <c r="Y1387">
        <v>5.4246057951505989E-3</v>
      </c>
    </row>
    <row r="1388" spans="1:25" x14ac:dyDescent="0.25">
      <c r="A1388" s="881"/>
      <c r="B1388" s="1131">
        <v>1138</v>
      </c>
      <c r="C1388" s="885">
        <v>1.0278802320706741</v>
      </c>
      <c r="D1388" s="885">
        <v>0.97890934269698271</v>
      </c>
      <c r="E1388" s="885">
        <v>0.99551569313376098</v>
      </c>
      <c r="F1388" s="885">
        <v>1.0307617461153995</v>
      </c>
      <c r="G1388" s="885">
        <v>1.0273969844084492</v>
      </c>
      <c r="H1388" s="885">
        <v>1.0046592356273452</v>
      </c>
      <c r="I1388" s="885">
        <v>1.0102967041767521</v>
      </c>
      <c r="K1388">
        <v>1.9301325386810328</v>
      </c>
      <c r="L1388">
        <v>0</v>
      </c>
      <c r="M1388">
        <v>1.9476712856348116E-3</v>
      </c>
      <c r="N1388">
        <v>0.19352149044139305</v>
      </c>
      <c r="O1388">
        <v>2.47266441393547E-2</v>
      </c>
      <c r="P1388">
        <v>2.1020458671266083E-2</v>
      </c>
      <c r="Q1388">
        <v>2.8874431920472483E-3</v>
      </c>
      <c r="R1388">
        <v>1.9361161341365988E-3</v>
      </c>
      <c r="S1388">
        <v>0.20477588109032324</v>
      </c>
      <c r="T1388">
        <v>1.0587846357754278</v>
      </c>
      <c r="U1388">
        <v>3.630803418189564E-2</v>
      </c>
      <c r="V1388">
        <v>0.24658333511434008</v>
      </c>
      <c r="W1388">
        <v>0.11603255365654934</v>
      </c>
      <c r="X1388">
        <v>2.0234147693326082E-2</v>
      </c>
      <c r="Y1388">
        <v>5.269469876607734E-3</v>
      </c>
    </row>
    <row r="1389" spans="1:25" x14ac:dyDescent="0.25">
      <c r="A1389" s="881"/>
      <c r="B1389" s="1131">
        <v>1139</v>
      </c>
      <c r="C1389" s="885">
        <v>1.0247638523269236</v>
      </c>
      <c r="D1389" s="885">
        <v>0.9944881129712102</v>
      </c>
      <c r="E1389" s="885">
        <v>1.0075384431176806</v>
      </c>
      <c r="F1389" s="885">
        <v>1.0030152217016295</v>
      </c>
      <c r="G1389" s="885">
        <v>1.0193608968117698</v>
      </c>
      <c r="H1389" s="885">
        <v>1.0089969564573433</v>
      </c>
      <c r="I1389" s="885">
        <v>1.0060749029446692</v>
      </c>
      <c r="K1389">
        <v>1.929481719436865</v>
      </c>
      <c r="L1389">
        <v>0</v>
      </c>
      <c r="M1389">
        <v>1.8980570717272191E-3</v>
      </c>
      <c r="N1389">
        <v>0.19578240957799573</v>
      </c>
      <c r="O1389">
        <v>2.4608399341762982E-2</v>
      </c>
      <c r="P1389">
        <v>2.1157557674327161E-2</v>
      </c>
      <c r="Q1389">
        <v>2.9117662818719504E-3</v>
      </c>
      <c r="R1389">
        <v>1.8868323354787786E-3</v>
      </c>
      <c r="S1389">
        <v>0.20349207398553187</v>
      </c>
      <c r="T1389">
        <v>1.0576809736252901</v>
      </c>
      <c r="U1389">
        <v>3.6418449495631534E-2</v>
      </c>
      <c r="V1389">
        <v>0.24506401677938744</v>
      </c>
      <c r="W1389">
        <v>0.11642745552131481</v>
      </c>
      <c r="X1389">
        <v>2.0814506266937118E-2</v>
      </c>
      <c r="Y1389">
        <v>5.1353356230610095E-3</v>
      </c>
    </row>
    <row r="1390" spans="1:25" x14ac:dyDescent="0.25">
      <c r="A1390" s="881"/>
      <c r="B1390" s="1131">
        <v>1140</v>
      </c>
      <c r="C1390" s="885">
        <v>1.0362478300163764</v>
      </c>
      <c r="D1390" s="885">
        <v>1.007480264878388</v>
      </c>
      <c r="E1390" s="885">
        <v>0.9813176898717263</v>
      </c>
      <c r="F1390" s="885">
        <v>0.9853357175164672</v>
      </c>
      <c r="G1390" s="885">
        <v>0.9720986658760935</v>
      </c>
      <c r="H1390" s="885">
        <v>0.98939355069626111</v>
      </c>
      <c r="I1390" s="885">
        <v>1.027019542994509</v>
      </c>
      <c r="K1390">
        <v>1.9072420116275584</v>
      </c>
      <c r="L1390">
        <v>0</v>
      </c>
      <c r="M1390">
        <v>1.932509279538585E-3</v>
      </c>
      <c r="N1390">
        <v>0.18369186388900147</v>
      </c>
      <c r="O1390">
        <v>2.4179852931113719E-2</v>
      </c>
      <c r="P1390">
        <v>2.071417119544041E-2</v>
      </c>
      <c r="Q1390">
        <v>2.7889296210689756E-3</v>
      </c>
      <c r="R1390">
        <v>1.9208438779789788E-3</v>
      </c>
      <c r="S1390">
        <v>0.20224669767748868</v>
      </c>
      <c r="T1390">
        <v>1.0600952245187425</v>
      </c>
      <c r="U1390">
        <v>3.601485042465867E-2</v>
      </c>
      <c r="V1390">
        <v>0.24197153651084782</v>
      </c>
      <c r="W1390">
        <v>0.11122285058294828</v>
      </c>
      <c r="X1390">
        <v>1.9099795847961822E-2</v>
      </c>
      <c r="Y1390">
        <v>5.2279038298445818E-3</v>
      </c>
    </row>
    <row r="1391" spans="1:25" x14ac:dyDescent="0.25">
      <c r="A1391" s="881"/>
      <c r="B1391" s="1131">
        <v>1141</v>
      </c>
      <c r="C1391" s="885">
        <v>1.036548878227866</v>
      </c>
      <c r="D1391" s="885">
        <v>0.98495497555670442</v>
      </c>
      <c r="E1391" s="885">
        <v>1.0190098960845528</v>
      </c>
      <c r="F1391" s="885">
        <v>1.0031341856383613</v>
      </c>
      <c r="G1391" s="885">
        <v>1.0076075532764162</v>
      </c>
      <c r="H1391" s="885">
        <v>1.0193012374313375</v>
      </c>
      <c r="I1391" s="885">
        <v>1.0313417683449646</v>
      </c>
      <c r="K1391">
        <v>1.9367004904222642</v>
      </c>
      <c r="L1391">
        <v>0</v>
      </c>
      <c r="M1391">
        <v>1.8591514392198864E-3</v>
      </c>
      <c r="N1391">
        <v>0.19874275104523562</v>
      </c>
      <c r="O1391">
        <v>2.4445053996473839E-2</v>
      </c>
      <c r="P1391">
        <v>2.1376599301206972E-2</v>
      </c>
      <c r="Q1391">
        <v>2.9237647045984427E-3</v>
      </c>
      <c r="R1391">
        <v>1.8482752249405839E-3</v>
      </c>
      <c r="S1391">
        <v>0.20819194922530268</v>
      </c>
      <c r="T1391">
        <v>1.0566331760522361</v>
      </c>
      <c r="U1391">
        <v>3.6004390516269205E-2</v>
      </c>
      <c r="V1391">
        <v>0.24466381535644807</v>
      </c>
      <c r="W1391">
        <v>0.11727232435925747</v>
      </c>
      <c r="X1391">
        <v>2.1427146200991426E-2</v>
      </c>
      <c r="Y1391">
        <v>5.0303958785241172E-3</v>
      </c>
    </row>
    <row r="1392" spans="1:25" x14ac:dyDescent="0.25">
      <c r="A1392" s="881"/>
      <c r="B1392" s="1131">
        <v>1142</v>
      </c>
      <c r="C1392" s="885">
        <v>1.015130992472947</v>
      </c>
      <c r="D1392" s="885">
        <v>0.98556532433337551</v>
      </c>
      <c r="E1392" s="885">
        <v>0.99495330325064801</v>
      </c>
      <c r="F1392" s="885">
        <v>1.0438331086869597</v>
      </c>
      <c r="G1392" s="885">
        <v>1.0169708344889044</v>
      </c>
      <c r="H1392" s="885">
        <v>1.0039345051357098</v>
      </c>
      <c r="I1392" s="885">
        <v>0.97547992617260904</v>
      </c>
      <c r="K1392">
        <v>1.9290729096115842</v>
      </c>
      <c r="L1392">
        <v>0</v>
      </c>
      <c r="M1392">
        <v>1.9664257336133354E-3</v>
      </c>
      <c r="N1392">
        <v>0.19504187068616452</v>
      </c>
      <c r="O1392">
        <v>2.4953142966121219E-2</v>
      </c>
      <c r="P1392">
        <v>2.0959322477616088E-2</v>
      </c>
      <c r="Q1392">
        <v>2.9136282685046791E-3</v>
      </c>
      <c r="R1392">
        <v>1.9547453670558453E-3</v>
      </c>
      <c r="S1392">
        <v>0.19950753838988391</v>
      </c>
      <c r="T1392">
        <v>1.0588363997731458</v>
      </c>
      <c r="U1392">
        <v>3.6764034275026336E-2</v>
      </c>
      <c r="V1392">
        <v>0.24749901721063744</v>
      </c>
      <c r="W1392">
        <v>0.11698931072655502</v>
      </c>
      <c r="X1392">
        <v>2.0300152696995408E-2</v>
      </c>
      <c r="Y1392">
        <v>5.3201725074889421E-3</v>
      </c>
    </row>
    <row r="1393" spans="1:25" x14ac:dyDescent="0.25">
      <c r="A1393" s="881"/>
      <c r="B1393" s="1131">
        <v>1143</v>
      </c>
      <c r="C1393" s="885">
        <v>0.96038300066675564</v>
      </c>
      <c r="D1393" s="885">
        <v>1.0072146479709803</v>
      </c>
      <c r="E1393" s="885">
        <v>0.99206783274554222</v>
      </c>
      <c r="F1393" s="885">
        <v>1.02239657459625</v>
      </c>
      <c r="G1393" s="885">
        <v>0.98274683848402478</v>
      </c>
      <c r="H1393" s="885">
        <v>1.0138217463660015</v>
      </c>
      <c r="I1393" s="885">
        <v>0.99974081963520423</v>
      </c>
      <c r="K1393">
        <v>1.9714166776660331</v>
      </c>
      <c r="L1393">
        <v>0</v>
      </c>
      <c r="M1393">
        <v>2.0891916113193036E-3</v>
      </c>
      <c r="N1393">
        <v>0.20537589191579475</v>
      </c>
      <c r="O1393">
        <v>2.6093326673673589E-2</v>
      </c>
      <c r="P1393">
        <v>2.1226971093888117E-2</v>
      </c>
      <c r="Q1393">
        <v>3.04251736953295E-3</v>
      </c>
      <c r="R1393">
        <v>2.0768845053138491E-3</v>
      </c>
      <c r="S1393">
        <v>0.21501679216629424</v>
      </c>
      <c r="T1393">
        <v>1.0591021803981333</v>
      </c>
      <c r="U1393">
        <v>3.8859820066584803E-2</v>
      </c>
      <c r="V1393">
        <v>0.25269851158627865</v>
      </c>
      <c r="W1393">
        <v>0.12343239087086894</v>
      </c>
      <c r="X1393">
        <v>2.092798765231773E-2</v>
      </c>
      <c r="Y1393">
        <v>5.6525949786711237E-3</v>
      </c>
    </row>
    <row r="1394" spans="1:25" x14ac:dyDescent="0.25">
      <c r="A1394" s="881"/>
      <c r="B1394" s="1131">
        <v>1144</v>
      </c>
      <c r="C1394" s="885">
        <v>0.9741575946834341</v>
      </c>
      <c r="D1394" s="885">
        <v>0.98001182544038623</v>
      </c>
      <c r="E1394" s="885">
        <v>0.99979349271316298</v>
      </c>
      <c r="F1394" s="885">
        <v>1.0475307123653783</v>
      </c>
      <c r="G1394" s="885">
        <v>1.0065767062513462</v>
      </c>
      <c r="H1394" s="885">
        <v>0.99310485745377752</v>
      </c>
      <c r="I1394" s="885">
        <v>0.98245299730978319</v>
      </c>
      <c r="K1394">
        <v>1.9603364241181231</v>
      </c>
      <c r="L1394">
        <v>0</v>
      </c>
      <c r="M1394">
        <v>2.0121103082259562E-3</v>
      </c>
      <c r="N1394">
        <v>0.20258900168923402</v>
      </c>
      <c r="O1394">
        <v>2.607568959971384E-2</v>
      </c>
      <c r="P1394">
        <v>2.1268054053869542E-2</v>
      </c>
      <c r="Q1394">
        <v>3.0583581032086666E-3</v>
      </c>
      <c r="R1394">
        <v>2.000033014541297E-3</v>
      </c>
      <c r="S1394">
        <v>0.20881397484706479</v>
      </c>
      <c r="T1394">
        <v>1.058391297701111</v>
      </c>
      <c r="U1394">
        <v>3.8310341986344275E-2</v>
      </c>
      <c r="V1394">
        <v>0.25414443147234828</v>
      </c>
      <c r="W1394">
        <v>0.121113688269247</v>
      </c>
      <c r="X1394">
        <v>2.1140233134789077E-2</v>
      </c>
      <c r="Y1394">
        <v>5.4434305548753609E-3</v>
      </c>
    </row>
    <row r="1395" spans="1:25" x14ac:dyDescent="0.25">
      <c r="A1395" s="881"/>
      <c r="B1395" s="1131">
        <v>1145</v>
      </c>
      <c r="C1395" s="885">
        <v>1.0233652854341577</v>
      </c>
      <c r="D1395" s="885">
        <v>0.96585394608117148</v>
      </c>
      <c r="E1395" s="885">
        <v>0.99715253155486394</v>
      </c>
      <c r="F1395" s="885">
        <v>1.0172911709687844</v>
      </c>
      <c r="G1395" s="885">
        <v>0.98763895727928852</v>
      </c>
      <c r="H1395" s="885">
        <v>0.96154208671950203</v>
      </c>
      <c r="I1395" s="885">
        <v>0.99960735754461283</v>
      </c>
      <c r="K1395">
        <v>1.9183952070387476</v>
      </c>
      <c r="L1395">
        <v>0</v>
      </c>
      <c r="M1395">
        <v>1.8783473062366251E-3</v>
      </c>
      <c r="N1395">
        <v>0.18753742033038059</v>
      </c>
      <c r="O1395">
        <v>2.5001987876101254E-2</v>
      </c>
      <c r="P1395">
        <v>2.1018465962812777E-2</v>
      </c>
      <c r="Q1395">
        <v>2.9216440783790655E-3</v>
      </c>
      <c r="R1395">
        <v>1.8667146925048751E-3</v>
      </c>
      <c r="S1395">
        <v>0.20043059862596951</v>
      </c>
      <c r="T1395">
        <v>1.058634046469821</v>
      </c>
      <c r="U1395">
        <v>3.6468220226059243E-2</v>
      </c>
      <c r="V1395">
        <v>0.24887980659068704</v>
      </c>
      <c r="W1395">
        <v>0.11231840675739144</v>
      </c>
      <c r="X1395">
        <v>2.0115660704212519E-2</v>
      </c>
      <c r="Y1395">
        <v>5.0805820306652682E-3</v>
      </c>
    </row>
    <row r="1396" spans="1:25" x14ac:dyDescent="0.25">
      <c r="A1396" s="881"/>
      <c r="B1396" s="1131">
        <v>1146</v>
      </c>
      <c r="C1396" s="885">
        <v>0.9985880139864628</v>
      </c>
      <c r="D1396" s="885">
        <v>0.99721559807297455</v>
      </c>
      <c r="E1396" s="885">
        <v>0.97237093742651592</v>
      </c>
      <c r="F1396" s="885">
        <v>1.016227675530923</v>
      </c>
      <c r="G1396" s="885">
        <v>1.0068180331101408</v>
      </c>
      <c r="H1396" s="885">
        <v>1.0135703251695034</v>
      </c>
      <c r="I1396" s="885">
        <v>0.99600030271790607</v>
      </c>
      <c r="K1396">
        <v>1.9405328501814305</v>
      </c>
      <c r="L1396">
        <v>0</v>
      </c>
      <c r="M1396">
        <v>2.1039503032810481E-3</v>
      </c>
      <c r="N1396">
        <v>0.19451785471539765</v>
      </c>
      <c r="O1396">
        <v>2.5219222876106544E-2</v>
      </c>
      <c r="P1396">
        <v>2.0750678061397389E-2</v>
      </c>
      <c r="Q1396">
        <v>2.880379357775882E-3</v>
      </c>
      <c r="R1396">
        <v>2.0915617412667837E-3</v>
      </c>
      <c r="S1396">
        <v>0.20693728768715891</v>
      </c>
      <c r="T1396">
        <v>1.0609250992032135</v>
      </c>
      <c r="U1396">
        <v>3.7373080868385887E-2</v>
      </c>
      <c r="V1396">
        <v>0.24835523977698754</v>
      </c>
      <c r="W1396">
        <v>0.11851291738356745</v>
      </c>
      <c r="X1396">
        <v>1.9380937236866024E-2</v>
      </c>
      <c r="Y1396">
        <v>5.6925415765854788E-3</v>
      </c>
    </row>
    <row r="1397" spans="1:25" x14ac:dyDescent="0.25">
      <c r="A1397" s="881"/>
      <c r="B1397" s="1131">
        <v>1147</v>
      </c>
      <c r="C1397" s="885">
        <v>1.0079256026085646</v>
      </c>
      <c r="D1397" s="885">
        <v>1.0064029550983902</v>
      </c>
      <c r="E1397" s="885">
        <v>1.0337155869432728</v>
      </c>
      <c r="F1397" s="885">
        <v>1.0156726058263077</v>
      </c>
      <c r="G1397" s="885">
        <v>1.0123227616292019</v>
      </c>
      <c r="H1397" s="885">
        <v>0.98572130253879187</v>
      </c>
      <c r="I1397" s="885">
        <v>0.98547780790844897</v>
      </c>
      <c r="K1397">
        <v>1.9280839586183023</v>
      </c>
      <c r="L1397">
        <v>0</v>
      </c>
      <c r="M1397">
        <v>1.7733489097278374E-3</v>
      </c>
      <c r="N1397">
        <v>0.19838571493436294</v>
      </c>
      <c r="O1397">
        <v>2.4872451209177748E-2</v>
      </c>
      <c r="P1397">
        <v>2.1495089534733877E-2</v>
      </c>
      <c r="Q1397">
        <v>3.0230859478383018E-3</v>
      </c>
      <c r="R1397">
        <v>1.762605178610288E-3</v>
      </c>
      <c r="S1397">
        <v>0.19925489038150701</v>
      </c>
      <c r="T1397">
        <v>1.0552974893016958</v>
      </c>
      <c r="U1397">
        <v>3.702685049802288E-2</v>
      </c>
      <c r="V1397">
        <v>0.24591393904031839</v>
      </c>
      <c r="W1397">
        <v>0.1159108387813666</v>
      </c>
      <c r="X1397">
        <v>2.211712246685733E-2</v>
      </c>
      <c r="Y1397">
        <v>4.7972302535362358E-3</v>
      </c>
    </row>
    <row r="1398" spans="1:25" x14ac:dyDescent="0.25">
      <c r="A1398" s="881"/>
      <c r="B1398" s="1131">
        <v>1148</v>
      </c>
      <c r="C1398" s="885">
        <v>1.018783385560873</v>
      </c>
      <c r="D1398" s="885">
        <v>0.98416335656609111</v>
      </c>
      <c r="E1398" s="885">
        <v>0.97311184933330519</v>
      </c>
      <c r="F1398" s="885">
        <v>0.97790916009402751</v>
      </c>
      <c r="G1398" s="885">
        <v>0.99210063061157516</v>
      </c>
      <c r="H1398" s="885">
        <v>1.0235438237318635</v>
      </c>
      <c r="I1398" s="885">
        <v>1.0217504049410362</v>
      </c>
      <c r="K1398">
        <v>1.9405721508757034</v>
      </c>
      <c r="L1398">
        <v>0</v>
      </c>
      <c r="M1398">
        <v>2.0929139326308849E-3</v>
      </c>
      <c r="N1398">
        <v>0.1939571802466061</v>
      </c>
      <c r="O1398">
        <v>2.4881247458075375E-2</v>
      </c>
      <c r="P1398">
        <v>2.0781570694161807E-2</v>
      </c>
      <c r="Q1398">
        <v>2.8413059101406305E-3</v>
      </c>
      <c r="R1398">
        <v>2.080721619610783E-3</v>
      </c>
      <c r="S1398">
        <v>0.2103641868550197</v>
      </c>
      <c r="T1398">
        <v>1.06085625660881</v>
      </c>
      <c r="U1398">
        <v>3.663223324001387E-2</v>
      </c>
      <c r="V1398">
        <v>0.24716827324783983</v>
      </c>
      <c r="W1398">
        <v>0.11811026987840734</v>
      </c>
      <c r="X1398">
        <v>1.9328780710765832E-2</v>
      </c>
      <c r="Y1398">
        <v>5.6630383388829872E-3</v>
      </c>
    </row>
    <row r="1399" spans="1:25" x14ac:dyDescent="0.25">
      <c r="A1399" s="881"/>
      <c r="B1399" s="1131">
        <v>1149</v>
      </c>
      <c r="C1399" s="885">
        <v>1.0318553531318477</v>
      </c>
      <c r="D1399" s="885">
        <v>0.98095573925771962</v>
      </c>
      <c r="E1399" s="885">
        <v>0.97885964680138482</v>
      </c>
      <c r="F1399" s="885">
        <v>1.0343445216095997</v>
      </c>
      <c r="G1399" s="885">
        <v>1.0054764019761711</v>
      </c>
      <c r="H1399" s="885">
        <v>1.0090211021898687</v>
      </c>
      <c r="I1399" s="885">
        <v>0.95451606684775914</v>
      </c>
      <c r="K1399">
        <v>1.9135411683218981</v>
      </c>
      <c r="L1399">
        <v>0</v>
      </c>
      <c r="M1399">
        <v>2.0159235243339397E-3</v>
      </c>
      <c r="N1399">
        <v>0.19018331544886327</v>
      </c>
      <c r="O1399">
        <v>2.4605867570661962E-2</v>
      </c>
      <c r="P1399">
        <v>2.0607032585108587E-2</v>
      </c>
      <c r="Q1399">
        <v>2.8257112090258395E-3</v>
      </c>
      <c r="R1399">
        <v>2.0040134087932569E-3</v>
      </c>
      <c r="S1399">
        <v>0.1929514295775675</v>
      </c>
      <c r="T1399">
        <v>1.0603229163413435</v>
      </c>
      <c r="U1399">
        <v>3.6168161058275937E-2</v>
      </c>
      <c r="V1399">
        <v>0.2457874502802038</v>
      </c>
      <c r="W1399">
        <v>0.11534989588171636</v>
      </c>
      <c r="X1399">
        <v>1.9297034608779313E-2</v>
      </c>
      <c r="Y1399">
        <v>5.4542638758925841E-3</v>
      </c>
    </row>
    <row r="1400" spans="1:25" x14ac:dyDescent="0.25">
      <c r="A1400" s="881"/>
      <c r="B1400" s="1131">
        <v>1150</v>
      </c>
      <c r="C1400" s="885">
        <v>0.96133509116649496</v>
      </c>
      <c r="D1400" s="885">
        <v>1.0000540362168051</v>
      </c>
      <c r="E1400" s="885">
        <v>1.0266269628218814</v>
      </c>
      <c r="F1400" s="885">
        <v>0.98417959537552735</v>
      </c>
      <c r="G1400" s="885">
        <v>0.99242079480230705</v>
      </c>
      <c r="H1400" s="885">
        <v>0.97804015283082624</v>
      </c>
      <c r="I1400" s="885">
        <v>1.0028109640619827</v>
      </c>
      <c r="K1400">
        <v>1.965489724283515</v>
      </c>
      <c r="L1400">
        <v>0</v>
      </c>
      <c r="M1400">
        <v>1.8785467820995646E-3</v>
      </c>
      <c r="N1400">
        <v>0.20557118645772129</v>
      </c>
      <c r="O1400">
        <v>2.6159661368385458E-2</v>
      </c>
      <c r="P1400">
        <v>2.1706604685968741E-2</v>
      </c>
      <c r="Q1400">
        <v>3.1559436272084055E-3</v>
      </c>
      <c r="R1400">
        <v>1.8670813552445699E-3</v>
      </c>
      <c r="S1400">
        <v>0.21239315202541517</v>
      </c>
      <c r="T1400">
        <v>1.0559402775343065</v>
      </c>
      <c r="U1400">
        <v>3.8821333938441796E-2</v>
      </c>
      <c r="V1400">
        <v>0.25346960311660588</v>
      </c>
      <c r="W1400">
        <v>0.12068092689254527</v>
      </c>
      <c r="X1400">
        <v>2.2520920097998096E-2</v>
      </c>
      <c r="Y1400">
        <v>5.0815799657723789E-3</v>
      </c>
    </row>
    <row r="1401" spans="1:25" x14ac:dyDescent="0.25">
      <c r="A1401" s="881"/>
      <c r="B1401" s="1131">
        <v>1151</v>
      </c>
      <c r="C1401" s="885">
        <v>1.004985284680129</v>
      </c>
      <c r="D1401" s="885">
        <v>1.0267719817056358</v>
      </c>
      <c r="E1401" s="885">
        <v>0.96459240922949885</v>
      </c>
      <c r="F1401" s="885">
        <v>1.0144213572393901</v>
      </c>
      <c r="G1401" s="885">
        <v>0.96682270728057029</v>
      </c>
      <c r="H1401" s="885">
        <v>0.99139225396884489</v>
      </c>
      <c r="I1401" s="885">
        <v>0.96280736105369724</v>
      </c>
      <c r="K1401">
        <v>1.9066897672939307</v>
      </c>
      <c r="L1401">
        <v>0</v>
      </c>
      <c r="M1401">
        <v>2.0486561959535128E-3</v>
      </c>
      <c r="N1401">
        <v>0.18483991559558724</v>
      </c>
      <c r="O1401">
        <v>2.4699583635352979E-2</v>
      </c>
      <c r="P1401">
        <v>2.0402196294355017E-2</v>
      </c>
      <c r="Q1401">
        <v>2.8043462832854659E-3</v>
      </c>
      <c r="R1401">
        <v>2.0362985055116163E-3</v>
      </c>
      <c r="S1401">
        <v>0.19400091363514022</v>
      </c>
      <c r="T1401">
        <v>1.0616491309358367</v>
      </c>
      <c r="U1401">
        <v>3.7135181151229851E-2</v>
      </c>
      <c r="V1401">
        <v>0.24387978998921667</v>
      </c>
      <c r="W1401">
        <v>0.11323094394337786</v>
      </c>
      <c r="X1401">
        <v>1.8517990254608586E-2</v>
      </c>
      <c r="Y1401">
        <v>5.5421332663806843E-3</v>
      </c>
    </row>
    <row r="1402" spans="1:25" x14ac:dyDescent="0.25">
      <c r="A1402" s="881"/>
      <c r="B1402" s="1131">
        <v>1152</v>
      </c>
      <c r="C1402" s="885">
        <v>1.0191358332367428</v>
      </c>
      <c r="D1402" s="885">
        <v>0.95026709552732691</v>
      </c>
      <c r="E1402" s="885">
        <v>1.0213191423521777</v>
      </c>
      <c r="F1402" s="885">
        <v>1.0002933803652474</v>
      </c>
      <c r="G1402" s="885">
        <v>1.0024896728514938</v>
      </c>
      <c r="H1402" s="885">
        <v>0.98678592978295032</v>
      </c>
      <c r="I1402" s="885">
        <v>1.0301713619134862</v>
      </c>
      <c r="K1402">
        <v>1.9501583912864477</v>
      </c>
      <c r="L1402">
        <v>0</v>
      </c>
      <c r="M1402">
        <v>1.8544305234292771E-3</v>
      </c>
      <c r="N1402">
        <v>0.1996296219928142</v>
      </c>
      <c r="O1402">
        <v>2.5309961854384364E-2</v>
      </c>
      <c r="P1402">
        <v>2.1561365041887326E-2</v>
      </c>
      <c r="Q1402">
        <v>3.0264851881689342E-3</v>
      </c>
      <c r="R1402">
        <v>1.843252669468505E-3</v>
      </c>
      <c r="S1402">
        <v>0.21162722884139934</v>
      </c>
      <c r="T1402">
        <v>1.0564228721346456</v>
      </c>
      <c r="U1402">
        <v>3.6619564717284815E-2</v>
      </c>
      <c r="V1402">
        <v>0.25153820086139855</v>
      </c>
      <c r="W1402">
        <v>0.11761225240690423</v>
      </c>
      <c r="X1402">
        <v>2.1805289963305996E-2</v>
      </c>
      <c r="Y1402">
        <v>5.0167261382140851E-3</v>
      </c>
    </row>
    <row r="1403" spans="1:25" x14ac:dyDescent="0.25">
      <c r="A1403" s="881"/>
      <c r="B1403" s="1131">
        <v>1153</v>
      </c>
      <c r="C1403" s="885">
        <v>1.0127708892840355</v>
      </c>
      <c r="D1403" s="885">
        <v>0.97625981783459548</v>
      </c>
      <c r="E1403" s="885">
        <v>0.99577639117379702</v>
      </c>
      <c r="F1403" s="885">
        <v>1.0143505950744525</v>
      </c>
      <c r="G1403" s="885">
        <v>1.0155977374009313</v>
      </c>
      <c r="H1403" s="885">
        <v>0.99421093458908771</v>
      </c>
      <c r="I1403" s="885">
        <v>1.0231064699251173</v>
      </c>
      <c r="K1403">
        <v>1.9405300707163593</v>
      </c>
      <c r="L1403">
        <v>0</v>
      </c>
      <c r="M1403">
        <v>1.9577283054923E-3</v>
      </c>
      <c r="N1403">
        <v>0.19466665578287806</v>
      </c>
      <c r="O1403">
        <v>2.5129332260169775E-2</v>
      </c>
      <c r="P1403">
        <v>2.1130954107399642E-2</v>
      </c>
      <c r="Q1403">
        <v>2.9346777980421845E-3</v>
      </c>
      <c r="R1403">
        <v>1.9459936520298956E-3</v>
      </c>
      <c r="S1403">
        <v>0.20964803044379132</v>
      </c>
      <c r="T1403">
        <v>1.0587606445463773</v>
      </c>
      <c r="U1403">
        <v>3.6849707071754334E-2</v>
      </c>
      <c r="V1403">
        <v>0.24901339275361259</v>
      </c>
      <c r="W1403">
        <v>0.11669829548219429</v>
      </c>
      <c r="X1403">
        <v>2.0413761899411881E-2</v>
      </c>
      <c r="Y1403">
        <v>5.2963532241903904E-3</v>
      </c>
    </row>
    <row r="1404" spans="1:25" x14ac:dyDescent="0.25">
      <c r="A1404" s="881"/>
      <c r="B1404" s="1131">
        <v>1154</v>
      </c>
      <c r="C1404" s="885">
        <v>1.0349424868191213</v>
      </c>
      <c r="D1404" s="885">
        <v>0.99484063989725879</v>
      </c>
      <c r="E1404" s="885">
        <v>1.0245680961834212</v>
      </c>
      <c r="F1404" s="885">
        <v>1.0178243318586961</v>
      </c>
      <c r="G1404" s="885">
        <v>1.0267011969527589</v>
      </c>
      <c r="H1404" s="885">
        <v>1.0168018817662652</v>
      </c>
      <c r="I1404" s="885">
        <v>1.0240361772854651</v>
      </c>
      <c r="K1404">
        <v>1.932423102025286</v>
      </c>
      <c r="L1404">
        <v>0</v>
      </c>
      <c r="M1404">
        <v>1.8267271024751753E-3</v>
      </c>
      <c r="N1404">
        <v>0.19867349650583627</v>
      </c>
      <c r="O1404">
        <v>2.4362098846781668E-2</v>
      </c>
      <c r="P1404">
        <v>2.1410818333826742E-2</v>
      </c>
      <c r="Q1404">
        <v>2.9320219441080621E-3</v>
      </c>
      <c r="R1404">
        <v>1.8160068563485197E-3</v>
      </c>
      <c r="S1404">
        <v>0.20583804309647963</v>
      </c>
      <c r="T1404">
        <v>1.0561273417828585</v>
      </c>
      <c r="U1404">
        <v>3.6060274919836613E-2</v>
      </c>
      <c r="V1404">
        <v>0.24365913093283023</v>
      </c>
      <c r="W1404">
        <v>0.11679314334771791</v>
      </c>
      <c r="X1404">
        <v>2.1634880544655701E-2</v>
      </c>
      <c r="Y1404">
        <v>4.942572016481365E-3</v>
      </c>
    </row>
    <row r="1405" spans="1:25" x14ac:dyDescent="0.25">
      <c r="A1405" s="881"/>
      <c r="B1405" s="1131">
        <v>1155</v>
      </c>
      <c r="C1405" s="885">
        <v>0.97018085517457742</v>
      </c>
      <c r="D1405" s="885">
        <v>1.0007946405128132</v>
      </c>
      <c r="E1405" s="885">
        <v>1.0240870077917577</v>
      </c>
      <c r="F1405" s="885">
        <v>1.0120301712461757</v>
      </c>
      <c r="G1405" s="885">
        <v>0.98590337853340371</v>
      </c>
      <c r="H1405" s="885">
        <v>0.97364807310674428</v>
      </c>
      <c r="I1405" s="885">
        <v>0.9618779870642481</v>
      </c>
      <c r="K1405">
        <v>1.946818240971107</v>
      </c>
      <c r="L1405">
        <v>0</v>
      </c>
      <c r="M1405">
        <v>1.8623548297088276E-3</v>
      </c>
      <c r="N1405">
        <v>0.20219252334223409</v>
      </c>
      <c r="O1405">
        <v>2.5911650693061887E-2</v>
      </c>
      <c r="P1405">
        <v>2.1491568605326722E-2</v>
      </c>
      <c r="Q1405">
        <v>3.1183237709482814E-3</v>
      </c>
      <c r="R1405">
        <v>1.850936368175264E-3</v>
      </c>
      <c r="S1405">
        <v>0.20135712857897237</v>
      </c>
      <c r="T1405">
        <v>1.0561710763565235</v>
      </c>
      <c r="U1405">
        <v>3.8467374821781371E-2</v>
      </c>
      <c r="V1405">
        <v>0.25204317846266822</v>
      </c>
      <c r="W1405">
        <v>0.11890033154923135</v>
      </c>
      <c r="X1405">
        <v>2.2138864618729402E-2</v>
      </c>
      <c r="Y1405">
        <v>5.0376386331632845E-3</v>
      </c>
    </row>
    <row r="1406" spans="1:25" x14ac:dyDescent="0.25">
      <c r="A1406" s="881"/>
      <c r="B1406" s="1131">
        <v>1156</v>
      </c>
      <c r="C1406" s="885">
        <v>1.0351849360478667</v>
      </c>
      <c r="D1406" s="885">
        <v>0.99638841953946589</v>
      </c>
      <c r="E1406" s="885">
        <v>0.98424954348471416</v>
      </c>
      <c r="F1406" s="885">
        <v>0.9923475928960257</v>
      </c>
      <c r="G1406" s="885">
        <v>1.0278250172285679</v>
      </c>
      <c r="H1406" s="885">
        <v>1.0002413041211868</v>
      </c>
      <c r="I1406" s="885">
        <v>1.0129493936043261</v>
      </c>
      <c r="K1406">
        <v>1.9144717773889832</v>
      </c>
      <c r="L1406">
        <v>0</v>
      </c>
      <c r="M1406">
        <v>1.9543663881603631E-3</v>
      </c>
      <c r="N1406">
        <v>0.18748706819606767</v>
      </c>
      <c r="O1406">
        <v>2.4337646293988727E-2</v>
      </c>
      <c r="P1406">
        <v>2.0770581896750198E-2</v>
      </c>
      <c r="Q1406">
        <v>2.8133240639731131E-3</v>
      </c>
      <c r="R1406">
        <v>1.9427059330616883E-3</v>
      </c>
      <c r="S1406">
        <v>0.20177356578583963</v>
      </c>
      <c r="T1406">
        <v>1.0598239495267128</v>
      </c>
      <c r="U1406">
        <v>3.6051829292839656E-2</v>
      </c>
      <c r="V1406">
        <v>0.24344440811559456</v>
      </c>
      <c r="W1406">
        <v>0.11329053319778269</v>
      </c>
      <c r="X1406">
        <v>1.9403126337578579E-2</v>
      </c>
      <c r="Y1406">
        <v>5.2874051369551965E-3</v>
      </c>
    </row>
    <row r="1407" spans="1:25" x14ac:dyDescent="0.25">
      <c r="A1407" s="881"/>
      <c r="B1407" s="1131">
        <v>1157</v>
      </c>
      <c r="C1407" s="885">
        <v>1.0155257619963716</v>
      </c>
      <c r="D1407" s="885">
        <v>1.0197904584900996</v>
      </c>
      <c r="E1407" s="885">
        <v>0.99135978757329468</v>
      </c>
      <c r="F1407" s="885">
        <v>0.98957118034336</v>
      </c>
      <c r="G1407" s="885">
        <v>0.97420992609849155</v>
      </c>
      <c r="H1407" s="885">
        <v>0.98879171744662864</v>
      </c>
      <c r="I1407" s="885">
        <v>0.99770169782714546</v>
      </c>
      <c r="K1407">
        <v>1.912889976585598</v>
      </c>
      <c r="L1407">
        <v>0</v>
      </c>
      <c r="M1407">
        <v>1.9180567053410042E-3</v>
      </c>
      <c r="N1407">
        <v>0.1881083049038646</v>
      </c>
      <c r="O1407">
        <v>2.4525644698615404E-2</v>
      </c>
      <c r="P1407">
        <v>2.084713558489084E-2</v>
      </c>
      <c r="Q1407">
        <v>2.8601380216847693E-3</v>
      </c>
      <c r="R1407">
        <v>1.9064618023079726E-3</v>
      </c>
      <c r="S1407">
        <v>0.19931109487135562</v>
      </c>
      <c r="T1407">
        <v>1.0591674479069115</v>
      </c>
      <c r="U1407">
        <v>3.6749742840152824E-2</v>
      </c>
      <c r="V1407">
        <v>0.24327069732488055</v>
      </c>
      <c r="W1407">
        <v>0.11310955015198886</v>
      </c>
      <c r="X1407">
        <v>1.976305462336651E-2</v>
      </c>
      <c r="Y1407">
        <v>5.1887605609180747E-3</v>
      </c>
    </row>
    <row r="1408" spans="1:25" x14ac:dyDescent="0.25">
      <c r="A1408" s="881"/>
      <c r="B1408" s="1131">
        <v>1158</v>
      </c>
      <c r="C1408" s="885">
        <v>1.008850685298035</v>
      </c>
      <c r="D1408" s="885">
        <v>1.0352419824457384</v>
      </c>
      <c r="E1408" s="885">
        <v>0.95930271057455196</v>
      </c>
      <c r="F1408" s="885">
        <v>1.0212224485042769</v>
      </c>
      <c r="G1408" s="885">
        <v>1.0014482735808217</v>
      </c>
      <c r="H1408" s="885">
        <v>0.99082109709834387</v>
      </c>
      <c r="I1408" s="885">
        <v>0.98379918979652559</v>
      </c>
      <c r="K1408">
        <v>1.9038768854380592</v>
      </c>
      <c r="L1408">
        <v>0</v>
      </c>
      <c r="M1408">
        <v>2.0540129174062053E-3</v>
      </c>
      <c r="N1408">
        <v>0.18228860947566955</v>
      </c>
      <c r="O1408">
        <v>2.4505513053697973E-2</v>
      </c>
      <c r="P1408">
        <v>2.0338957068870653E-2</v>
      </c>
      <c r="Q1408">
        <v>2.7688065594570072E-3</v>
      </c>
      <c r="R1408">
        <v>2.0416088075183498E-3</v>
      </c>
      <c r="S1408">
        <v>0.19667594729262722</v>
      </c>
      <c r="T1408">
        <v>1.062142835756708</v>
      </c>
      <c r="U1408">
        <v>3.6992898101557738E-2</v>
      </c>
      <c r="V1408">
        <v>0.24236286917407754</v>
      </c>
      <c r="W1408">
        <v>0.11208392940521798</v>
      </c>
      <c r="X1408">
        <v>1.81723375021603E-2</v>
      </c>
      <c r="Y1408">
        <v>5.556586157902426E-3</v>
      </c>
    </row>
    <row r="1409" spans="1:25" x14ac:dyDescent="0.25">
      <c r="A1409" s="881"/>
      <c r="B1409" s="1131">
        <v>1159</v>
      </c>
      <c r="C1409" s="885">
        <v>0.98491659116411545</v>
      </c>
      <c r="D1409" s="885">
        <v>0.98036682156279853</v>
      </c>
      <c r="E1409" s="885">
        <v>1.022005878729302</v>
      </c>
      <c r="F1409" s="885">
        <v>0.99042771309794508</v>
      </c>
      <c r="G1409" s="885">
        <v>0.97371148159037024</v>
      </c>
      <c r="H1409" s="885">
        <v>1.0113518314368681</v>
      </c>
      <c r="I1409" s="885">
        <v>0.99625620851782326</v>
      </c>
      <c r="K1409">
        <v>1.9675546795782788</v>
      </c>
      <c r="L1409">
        <v>0</v>
      </c>
      <c r="M1409">
        <v>1.9335768550766471E-3</v>
      </c>
      <c r="N1409">
        <v>0.20862222250276802</v>
      </c>
      <c r="O1409">
        <v>2.5786208946094489E-2</v>
      </c>
      <c r="P1409">
        <v>2.1597522147212937E-2</v>
      </c>
      <c r="Q1409">
        <v>3.0923570116142083E-3</v>
      </c>
      <c r="R1409">
        <v>1.9221800501069289E-3</v>
      </c>
      <c r="S1409">
        <v>0.21128604255086961</v>
      </c>
      <c r="T1409">
        <v>1.0563603710197562</v>
      </c>
      <c r="U1409">
        <v>3.7891848848648539E-2</v>
      </c>
      <c r="V1409">
        <v>0.25249459058248952</v>
      </c>
      <c r="W1409">
        <v>0.12285338663858475</v>
      </c>
      <c r="X1409">
        <v>2.2349985685301936E-2</v>
      </c>
      <c r="Y1409">
        <v>5.23154044990784E-3</v>
      </c>
    </row>
    <row r="1410" spans="1:25" x14ac:dyDescent="0.25">
      <c r="A1410" s="881"/>
      <c r="B1410" s="1131">
        <v>1160</v>
      </c>
      <c r="C1410" s="885">
        <v>0.98581480753911821</v>
      </c>
      <c r="D1410" s="885">
        <v>1.0229881938186529</v>
      </c>
      <c r="E1410" s="885">
        <v>1.0235402347538611</v>
      </c>
      <c r="F1410" s="885">
        <v>0.99440483148340131</v>
      </c>
      <c r="G1410" s="885">
        <v>1.0037573992777598</v>
      </c>
      <c r="H1410" s="885">
        <v>0.9794782230271164</v>
      </c>
      <c r="I1410" s="885">
        <v>1.0081581650644922</v>
      </c>
      <c r="K1410">
        <v>1.9380874797285328</v>
      </c>
      <c r="L1410">
        <v>0</v>
      </c>
      <c r="M1410">
        <v>1.8260427304809983E-3</v>
      </c>
      <c r="N1410">
        <v>0.1979192564516028</v>
      </c>
      <c r="O1410">
        <v>2.5225801523996814E-2</v>
      </c>
      <c r="P1410">
        <v>2.1472725846511987E-2</v>
      </c>
      <c r="Q1410">
        <v>3.0387581794623056E-3</v>
      </c>
      <c r="R1410">
        <v>1.8148967059677399E-3</v>
      </c>
      <c r="S1410">
        <v>0.20621982564779806</v>
      </c>
      <c r="T1410">
        <v>1.0562207931540437</v>
      </c>
      <c r="U1410">
        <v>3.7857324028312461E-2</v>
      </c>
      <c r="V1410">
        <v>0.24700210206138684</v>
      </c>
      <c r="W1410">
        <v>0.11643025101498704</v>
      </c>
      <c r="X1410">
        <v>2.1772237291839427E-2</v>
      </c>
      <c r="Y1410">
        <v>4.9395505531058563E-3</v>
      </c>
    </row>
    <row r="1411" spans="1:25" x14ac:dyDescent="0.25">
      <c r="A1411" s="881"/>
      <c r="B1411" s="1131">
        <v>1161</v>
      </c>
      <c r="C1411" s="885">
        <v>1.0127078470266457</v>
      </c>
      <c r="D1411" s="885">
        <v>0.97022125211813293</v>
      </c>
      <c r="E1411" s="885">
        <v>1.0171314884730833</v>
      </c>
      <c r="F1411" s="885">
        <v>0.99232840437953473</v>
      </c>
      <c r="G1411" s="885">
        <v>0.99883575685834214</v>
      </c>
      <c r="H1411" s="885">
        <v>1.0136520662748096</v>
      </c>
      <c r="I1411" s="885">
        <v>0.98580084242039734</v>
      </c>
      <c r="K1411">
        <v>1.9481004397035886</v>
      </c>
      <c r="L1411">
        <v>0</v>
      </c>
      <c r="M1411">
        <v>1.9141542408993549E-3</v>
      </c>
      <c r="N1411">
        <v>0.20342640797756956</v>
      </c>
      <c r="O1411">
        <v>2.5208489459333561E-2</v>
      </c>
      <c r="P1411">
        <v>2.1381744083443743E-2</v>
      </c>
      <c r="Q1411">
        <v>3.0062529100744325E-3</v>
      </c>
      <c r="R1411">
        <v>1.9029057193074165E-3</v>
      </c>
      <c r="S1411">
        <v>0.20453867238989651</v>
      </c>
      <c r="T1411">
        <v>1.0568043970742451</v>
      </c>
      <c r="U1411">
        <v>3.6852001009462815E-2</v>
      </c>
      <c r="V1411">
        <v>0.24980248137712635</v>
      </c>
      <c r="W1411">
        <v>0.12018846167401319</v>
      </c>
      <c r="X1411">
        <v>2.1723698194762879E-2</v>
      </c>
      <c r="Y1411">
        <v>5.1790820752530076E-3</v>
      </c>
    </row>
    <row r="1412" spans="1:25" x14ac:dyDescent="0.25">
      <c r="A1412" s="881"/>
      <c r="B1412" s="1131">
        <v>1162</v>
      </c>
      <c r="C1412" s="885">
        <v>1.040190177612494</v>
      </c>
      <c r="D1412" s="885">
        <v>0.97856389665790966</v>
      </c>
      <c r="E1412" s="885">
        <v>1.0225319528340509</v>
      </c>
      <c r="F1412" s="885">
        <v>1.0207940747517659</v>
      </c>
      <c r="G1412" s="885">
        <v>1.0165714275815374</v>
      </c>
      <c r="H1412" s="885">
        <v>1.0167744607226967</v>
      </c>
      <c r="I1412" s="885">
        <v>0.99235239030565769</v>
      </c>
      <c r="K1412">
        <v>1.9283029184767555</v>
      </c>
      <c r="L1412">
        <v>0</v>
      </c>
      <c r="M1412">
        <v>1.8402813982446276E-3</v>
      </c>
      <c r="N1412">
        <v>0.19888730165116766</v>
      </c>
      <c r="O1412">
        <v>2.4438302977148888E-2</v>
      </c>
      <c r="P1412">
        <v>2.1315833791757607E-2</v>
      </c>
      <c r="Q1412">
        <v>2.9318637730732324E-3</v>
      </c>
      <c r="R1412">
        <v>1.8294937283617992E-3</v>
      </c>
      <c r="S1412">
        <v>0.19997303451243054</v>
      </c>
      <c r="T1412">
        <v>1.0563125045433319</v>
      </c>
      <c r="U1412">
        <v>3.5878353212848671E-2</v>
      </c>
      <c r="V1412">
        <v>0.24497031208892694</v>
      </c>
      <c r="W1412">
        <v>0.11707918650037752</v>
      </c>
      <c r="X1412">
        <v>2.1547734259420609E-2</v>
      </c>
      <c r="Y1412">
        <v>4.9792788361553465E-3</v>
      </c>
    </row>
    <row r="1413" spans="1:25" x14ac:dyDescent="0.25">
      <c r="A1413" s="881"/>
      <c r="B1413" s="1131">
        <v>1163</v>
      </c>
      <c r="C1413" s="885">
        <v>0.97833168362560285</v>
      </c>
      <c r="D1413" s="885">
        <v>0.99225436627342267</v>
      </c>
      <c r="E1413" s="885">
        <v>1.0256639040599516</v>
      </c>
      <c r="F1413" s="885">
        <v>0.97930297499895036</v>
      </c>
      <c r="G1413" s="885">
        <v>1.0099698937379264</v>
      </c>
      <c r="H1413" s="885">
        <v>1.0132029171332007</v>
      </c>
      <c r="I1413" s="885">
        <v>0.99845693955287995</v>
      </c>
      <c r="K1413">
        <v>1.9698737411501304</v>
      </c>
      <c r="L1413">
        <v>0</v>
      </c>
      <c r="M1413">
        <v>1.9236117715379685E-3</v>
      </c>
      <c r="N1413">
        <v>0.20991954980106634</v>
      </c>
      <c r="O1413">
        <v>2.5805060867473185E-2</v>
      </c>
      <c r="P1413">
        <v>2.1658913263306653E-2</v>
      </c>
      <c r="Q1413">
        <v>3.1084948900996267E-3</v>
      </c>
      <c r="R1413">
        <v>1.9122849030207903E-3</v>
      </c>
      <c r="S1413">
        <v>0.21219079810629279</v>
      </c>
      <c r="T1413">
        <v>1.0560277583606574</v>
      </c>
      <c r="U1413">
        <v>3.814688947066644E-2</v>
      </c>
      <c r="V1413">
        <v>0.25192550870081143</v>
      </c>
      <c r="W1413">
        <v>0.123313409862975</v>
      </c>
      <c r="X1413">
        <v>2.2584075573824379E-2</v>
      </c>
      <c r="Y1413">
        <v>5.2046091214737302E-3</v>
      </c>
    </row>
    <row r="1414" spans="1:25" x14ac:dyDescent="0.25">
      <c r="A1414" s="881"/>
      <c r="B1414" s="1131">
        <v>1164</v>
      </c>
      <c r="C1414" s="885">
        <v>0.97746586207755504</v>
      </c>
      <c r="D1414" s="885">
        <v>1.0114634834876393</v>
      </c>
      <c r="E1414" s="885">
        <v>1.0259272329454208</v>
      </c>
      <c r="F1414" s="885">
        <v>1.0242904445941909</v>
      </c>
      <c r="G1414" s="885">
        <v>0.98357760897362212</v>
      </c>
      <c r="H1414" s="885">
        <v>0.99058344019519029</v>
      </c>
      <c r="I1414" s="885">
        <v>0.99036368978995182</v>
      </c>
      <c r="K1414">
        <v>1.9508050134688932</v>
      </c>
      <c r="L1414">
        <v>0</v>
      </c>
      <c r="M1414">
        <v>1.8635343179410151E-3</v>
      </c>
      <c r="N1414">
        <v>0.20350061711476067</v>
      </c>
      <c r="O1414">
        <v>2.5584005883180275E-2</v>
      </c>
      <c r="P1414">
        <v>2.1552029643877389E-2</v>
      </c>
      <c r="Q1414">
        <v>3.0867906888705039E-3</v>
      </c>
      <c r="R1414">
        <v>1.8522957294946434E-3</v>
      </c>
      <c r="S1414">
        <v>0.20650444655757047</v>
      </c>
      <c r="T1414">
        <v>1.0560038348978709</v>
      </c>
      <c r="U1414">
        <v>3.8180679294102862E-2</v>
      </c>
      <c r="V1414">
        <v>0.24961955465419888</v>
      </c>
      <c r="W1414">
        <v>0.11952157069230521</v>
      </c>
      <c r="X1414">
        <v>2.2221384264041178E-2</v>
      </c>
      <c r="Y1414">
        <v>5.0413383665612954E-3</v>
      </c>
    </row>
    <row r="1415" spans="1:25" x14ac:dyDescent="0.25">
      <c r="A1415" s="881"/>
      <c r="B1415" s="1131">
        <v>1165</v>
      </c>
      <c r="C1415" s="885">
        <v>0.99147798327898606</v>
      </c>
      <c r="D1415" s="885">
        <v>0.99854412887763222</v>
      </c>
      <c r="E1415" s="885">
        <v>1.0219476676891039</v>
      </c>
      <c r="F1415" s="885">
        <v>0.95943566419534321</v>
      </c>
      <c r="G1415" s="885">
        <v>0.96431242169455433</v>
      </c>
      <c r="H1415" s="885">
        <v>0.9957892539680625</v>
      </c>
      <c r="I1415" s="885">
        <v>0.97472982611134606</v>
      </c>
      <c r="K1415">
        <v>1.9433437993166629</v>
      </c>
      <c r="L1415">
        <v>0</v>
      </c>
      <c r="M1415">
        <v>1.8743234925587546E-3</v>
      </c>
      <c r="N1415">
        <v>0.20217225823125554</v>
      </c>
      <c r="O1415">
        <v>2.5383335260659997E-2</v>
      </c>
      <c r="P1415">
        <v>2.1419820422166194E-2</v>
      </c>
      <c r="Q1415">
        <v>3.0477863056352938E-3</v>
      </c>
      <c r="R1415">
        <v>1.8630889207170587E-3</v>
      </c>
      <c r="S1415">
        <v>0.20207519757792367</v>
      </c>
      <c r="T1415">
        <v>1.0563656681960176</v>
      </c>
      <c r="U1415">
        <v>3.7641088587254644E-2</v>
      </c>
      <c r="V1415">
        <v>0.24920594244811875</v>
      </c>
      <c r="W1415">
        <v>0.1190598038826975</v>
      </c>
      <c r="X1415">
        <v>2.1913419101679266E-2</v>
      </c>
      <c r="Y1415">
        <v>5.0707138750941813E-3</v>
      </c>
    </row>
    <row r="1416" spans="1:25" x14ac:dyDescent="0.25">
      <c r="A1416" s="881"/>
      <c r="B1416" s="1131">
        <v>1166</v>
      </c>
      <c r="C1416" s="885">
        <v>1.0378219057268037</v>
      </c>
      <c r="D1416" s="885">
        <v>1.0418535724786209</v>
      </c>
      <c r="E1416" s="885">
        <v>1.0267103737326133</v>
      </c>
      <c r="F1416" s="885">
        <v>0.98718555638759031</v>
      </c>
      <c r="G1416" s="885">
        <v>1.0123396189474758</v>
      </c>
      <c r="H1416" s="885">
        <v>1.0140417950242031</v>
      </c>
      <c r="I1416" s="885">
        <v>1.0050542336646855</v>
      </c>
      <c r="K1416">
        <v>1.9077699942224862</v>
      </c>
      <c r="L1416">
        <v>0</v>
      </c>
      <c r="M1416">
        <v>1.7677719364688359E-3</v>
      </c>
      <c r="N1416">
        <v>0.19353805513389222</v>
      </c>
      <c r="O1416">
        <v>2.3746872486438603E-2</v>
      </c>
      <c r="P1416">
        <v>2.1235719618329485E-2</v>
      </c>
      <c r="Q1416">
        <v>2.8732139170398433E-3</v>
      </c>
      <c r="R1416">
        <v>1.7573363592777692E-3</v>
      </c>
      <c r="S1416">
        <v>0.1969797695471463</v>
      </c>
      <c r="T1416">
        <v>1.0559327024922678</v>
      </c>
      <c r="U1416">
        <v>3.5960226311450627E-2</v>
      </c>
      <c r="V1416">
        <v>0.23782640026282842</v>
      </c>
      <c r="W1416">
        <v>0.11361049086329493</v>
      </c>
      <c r="X1416">
        <v>2.1294088902810926E-2</v>
      </c>
      <c r="Y1416">
        <v>4.7828902641789415E-3</v>
      </c>
    </row>
    <row r="1417" spans="1:25" x14ac:dyDescent="0.25">
      <c r="A1417" s="881"/>
      <c r="B1417" s="1131">
        <v>1167</v>
      </c>
      <c r="C1417" s="885">
        <v>1.008555960677969</v>
      </c>
      <c r="D1417" s="885">
        <v>0.9798024590141462</v>
      </c>
      <c r="E1417" s="885">
        <v>0.97300737268182957</v>
      </c>
      <c r="F1417" s="885">
        <v>0.98858931832754504</v>
      </c>
      <c r="G1417" s="885">
        <v>1.0262868581243192</v>
      </c>
      <c r="H1417" s="885">
        <v>1.0145955080421529</v>
      </c>
      <c r="I1417" s="885">
        <v>1.021412293737781</v>
      </c>
      <c r="K1417">
        <v>1.9460770496191793</v>
      </c>
      <c r="L1417">
        <v>0</v>
      </c>
      <c r="M1417">
        <v>2.1007343417876107E-3</v>
      </c>
      <c r="N1417">
        <v>0.19460882679681535</v>
      </c>
      <c r="O1417">
        <v>2.5189009078477091E-2</v>
      </c>
      <c r="P1417">
        <v>2.0832508640538403E-2</v>
      </c>
      <c r="Q1417">
        <v>2.8752466477754333E-3</v>
      </c>
      <c r="R1417">
        <v>2.0883923668610039E-3</v>
      </c>
      <c r="S1417">
        <v>0.21193573769443216</v>
      </c>
      <c r="T1417">
        <v>1.0608659628776516</v>
      </c>
      <c r="U1417">
        <v>3.7003708327527522E-2</v>
      </c>
      <c r="V1417">
        <v>0.24914875415183285</v>
      </c>
      <c r="W1417">
        <v>0.1185157237277234</v>
      </c>
      <c r="X1417">
        <v>1.9429998067095552E-2</v>
      </c>
      <c r="Y1417">
        <v>5.6839155842369378E-3</v>
      </c>
    </row>
    <row r="1418" spans="1:25" x14ac:dyDescent="0.25">
      <c r="A1418" s="881"/>
      <c r="B1418" s="1131">
        <v>1168</v>
      </c>
      <c r="C1418" s="885">
        <v>1.0205799723567432</v>
      </c>
      <c r="D1418" s="885">
        <v>0.95860142936385873</v>
      </c>
      <c r="E1418" s="885">
        <v>1.0165340666069762</v>
      </c>
      <c r="F1418" s="885">
        <v>1.0055233638653676</v>
      </c>
      <c r="G1418" s="885">
        <v>0.98437173423948077</v>
      </c>
      <c r="H1418" s="885">
        <v>1.0349273749873984</v>
      </c>
      <c r="I1418" s="885">
        <v>1.002226862949104</v>
      </c>
      <c r="K1418">
        <v>1.9597798432772098</v>
      </c>
      <c r="L1418">
        <v>0</v>
      </c>
      <c r="M1418">
        <v>1.9533668748845509E-3</v>
      </c>
      <c r="N1418">
        <v>0.20723491559406987</v>
      </c>
      <c r="O1418">
        <v>2.5164432859932435E-2</v>
      </c>
      <c r="P1418">
        <v>2.1445592164890372E-2</v>
      </c>
      <c r="Q1418">
        <v>2.9966556499806422E-3</v>
      </c>
      <c r="R1418">
        <v>1.9421334297892387E-3</v>
      </c>
      <c r="S1418">
        <v>0.20965320528243916</v>
      </c>
      <c r="T1418">
        <v>1.0568588823044807</v>
      </c>
      <c r="U1418">
        <v>3.6567747370875925E-2</v>
      </c>
      <c r="V1418">
        <v>0.25021868876697456</v>
      </c>
      <c r="W1418">
        <v>0.12248808252435681</v>
      </c>
      <c r="X1418">
        <v>2.1877027232529055E-2</v>
      </c>
      <c r="Y1418">
        <v>5.2858469717732412E-3</v>
      </c>
    </row>
    <row r="1419" spans="1:25" x14ac:dyDescent="0.25">
      <c r="A1419" s="881"/>
      <c r="B1419" s="1131">
        <v>1169</v>
      </c>
      <c r="C1419" s="885">
        <v>0.98065483319134261</v>
      </c>
      <c r="D1419" s="885">
        <v>0.99642076295730153</v>
      </c>
      <c r="E1419" s="885">
        <v>0.97289830684177347</v>
      </c>
      <c r="F1419" s="885">
        <v>1.02460760908676</v>
      </c>
      <c r="G1419" s="885">
        <v>1.0346214239209384</v>
      </c>
      <c r="H1419" s="885">
        <v>0.9768080782288362</v>
      </c>
      <c r="I1419" s="885">
        <v>1.008993085981946</v>
      </c>
      <c r="K1419">
        <v>1.9415074820038678</v>
      </c>
      <c r="L1419">
        <v>0</v>
      </c>
      <c r="M1419">
        <v>2.0632511825131399E-3</v>
      </c>
      <c r="N1419">
        <v>0.19102641192154851</v>
      </c>
      <c r="O1419">
        <v>2.5690547751728323E-2</v>
      </c>
      <c r="P1419">
        <v>2.0840667559332032E-2</v>
      </c>
      <c r="Q1419">
        <v>2.935627356150917E-3</v>
      </c>
      <c r="R1419">
        <v>2.0506457387571386E-3</v>
      </c>
      <c r="S1419">
        <v>0.20971399723386844</v>
      </c>
      <c r="T1419">
        <v>1.0608760959499839</v>
      </c>
      <c r="U1419">
        <v>3.8056520334953645E-2</v>
      </c>
      <c r="V1419">
        <v>0.25104766575996251</v>
      </c>
      <c r="W1419">
        <v>0.11634290060770415</v>
      </c>
      <c r="X1419">
        <v>1.9408471266679068E-2</v>
      </c>
      <c r="Y1419">
        <v>5.5811817057108285E-3</v>
      </c>
    </row>
    <row r="1420" spans="1:25" x14ac:dyDescent="0.25">
      <c r="A1420" s="881"/>
      <c r="B1420" s="1131">
        <v>1170</v>
      </c>
      <c r="C1420" s="885">
        <v>1.0006350021261325</v>
      </c>
      <c r="D1420" s="885">
        <v>1.0164723989667797</v>
      </c>
      <c r="E1420" s="885">
        <v>1.0135142002468907</v>
      </c>
      <c r="F1420" s="885">
        <v>1.0392613319714661</v>
      </c>
      <c r="G1420" s="885">
        <v>0.98663975665700931</v>
      </c>
      <c r="H1420" s="885">
        <v>0.98623551492869965</v>
      </c>
      <c r="I1420" s="885">
        <v>1.0284530571322299</v>
      </c>
      <c r="K1420">
        <v>1.9345881281020991</v>
      </c>
      <c r="L1420">
        <v>0</v>
      </c>
      <c r="M1420">
        <v>1.8560126449463322E-3</v>
      </c>
      <c r="N1420">
        <v>0.19500667928221169</v>
      </c>
      <c r="O1420">
        <v>2.4930703850517537E-2</v>
      </c>
      <c r="P1420">
        <v>2.1334473909005024E-2</v>
      </c>
      <c r="Q1420">
        <v>2.9720878342735821E-3</v>
      </c>
      <c r="R1420">
        <v>1.844766245927018E-3</v>
      </c>
      <c r="S1420">
        <v>0.20855922187498074</v>
      </c>
      <c r="T1420">
        <v>1.0571345092976976</v>
      </c>
      <c r="U1420">
        <v>3.7296627163370594E-2</v>
      </c>
      <c r="V1420">
        <v>0.2457030874941579</v>
      </c>
      <c r="W1420">
        <v>0.11549639768726917</v>
      </c>
      <c r="X1420">
        <v>2.1144740513248717E-2</v>
      </c>
      <c r="Y1420">
        <v>5.0208455943838107E-3</v>
      </c>
    </row>
    <row r="1421" spans="1:25" x14ac:dyDescent="0.25">
      <c r="A1421" s="881"/>
      <c r="B1421" s="1131">
        <v>1171</v>
      </c>
      <c r="C1421" s="885">
        <v>1.0114927651757097</v>
      </c>
      <c r="D1421" s="885">
        <v>1.0387464054346749</v>
      </c>
      <c r="E1421" s="885">
        <v>0.99556115708823967</v>
      </c>
      <c r="F1421" s="885">
        <v>1.0055644167633031</v>
      </c>
      <c r="G1421" s="885">
        <v>1.0056541900025251</v>
      </c>
      <c r="H1421" s="885">
        <v>0.97008539686323858</v>
      </c>
      <c r="I1421" s="885">
        <v>1.0001033548996008</v>
      </c>
      <c r="K1421">
        <v>1.902144146062795</v>
      </c>
      <c r="L1421">
        <v>0</v>
      </c>
      <c r="M1421">
        <v>1.8557346184610946E-3</v>
      </c>
      <c r="N1421">
        <v>0.18436880820906051</v>
      </c>
      <c r="O1421">
        <v>2.4400856093612974E-2</v>
      </c>
      <c r="P1421">
        <v>2.0856640607351491E-2</v>
      </c>
      <c r="Q1421">
        <v>2.8612968656236905E-3</v>
      </c>
      <c r="R1421">
        <v>1.8442857209950672E-3</v>
      </c>
      <c r="S1421">
        <v>0.19706949648759714</v>
      </c>
      <c r="T1421">
        <v>1.0587804516788106</v>
      </c>
      <c r="U1421">
        <v>3.6896270429016775E-2</v>
      </c>
      <c r="V1421">
        <v>0.2416100176286303</v>
      </c>
      <c r="W1421">
        <v>0.11054129451917681</v>
      </c>
      <c r="X1421">
        <v>1.9750924677453187E-2</v>
      </c>
      <c r="Y1421">
        <v>5.0195377639240431E-3</v>
      </c>
    </row>
    <row r="1422" spans="1:25" x14ac:dyDescent="0.25">
      <c r="A1422" s="881"/>
      <c r="B1422" s="1131">
        <v>1172</v>
      </c>
      <c r="C1422" s="885">
        <v>1.0114069314805056</v>
      </c>
      <c r="D1422" s="885">
        <v>1.0066649528419895</v>
      </c>
      <c r="E1422" s="885">
        <v>1.0102036386670012</v>
      </c>
      <c r="F1422" s="885">
        <v>1.022207133001839</v>
      </c>
      <c r="G1422" s="885">
        <v>1.0087696992120112</v>
      </c>
      <c r="H1422" s="885">
        <v>0.99950339221297946</v>
      </c>
      <c r="I1422" s="885">
        <v>0.97880390192123523</v>
      </c>
      <c r="K1422">
        <v>1.9252594441760389</v>
      </c>
      <c r="L1422">
        <v>0</v>
      </c>
      <c r="M1422">
        <v>1.8829849487164315E-3</v>
      </c>
      <c r="N1422">
        <v>0.19583179003431</v>
      </c>
      <c r="O1422">
        <v>2.4783648024469081E-2</v>
      </c>
      <c r="P1422">
        <v>2.1139194578102406E-2</v>
      </c>
      <c r="Q1422">
        <v>2.942825555633992E-3</v>
      </c>
      <c r="R1422">
        <v>1.871734095261186E-3</v>
      </c>
      <c r="S1422">
        <v>0.19854610798980768</v>
      </c>
      <c r="T1422">
        <v>1.057437077621755</v>
      </c>
      <c r="U1422">
        <v>3.6899401654571513E-2</v>
      </c>
      <c r="V1422">
        <v>0.24539845181319231</v>
      </c>
      <c r="W1422">
        <v>0.11624594706998109</v>
      </c>
      <c r="X1422">
        <v>2.0952007497348903E-2</v>
      </c>
      <c r="Y1422">
        <v>5.0942431903222727E-3</v>
      </c>
    </row>
    <row r="1423" spans="1:25" x14ac:dyDescent="0.25">
      <c r="A1423" s="881"/>
      <c r="B1423" s="1131">
        <v>1173</v>
      </c>
      <c r="C1423" s="885">
        <v>0.96985465444733343</v>
      </c>
      <c r="D1423" s="885">
        <v>0.99637838476135621</v>
      </c>
      <c r="E1423" s="885">
        <v>0.98112162772235334</v>
      </c>
      <c r="F1423" s="885">
        <v>0.99474833182619538</v>
      </c>
      <c r="G1423" s="885">
        <v>1.0145273057993556</v>
      </c>
      <c r="H1423" s="885">
        <v>0.99685266158495933</v>
      </c>
      <c r="I1423" s="885">
        <v>1.0252728374824844</v>
      </c>
      <c r="K1423">
        <v>1.9639449342126902</v>
      </c>
      <c r="L1423">
        <v>0</v>
      </c>
      <c r="M1423">
        <v>2.0926598876323363E-3</v>
      </c>
      <c r="N1423">
        <v>0.1988032358711101</v>
      </c>
      <c r="O1423">
        <v>2.5977181597389057E-2</v>
      </c>
      <c r="P1423">
        <v>2.1095203145933918E-2</v>
      </c>
      <c r="Q1423">
        <v>2.9933276649804072E-3</v>
      </c>
      <c r="R1423">
        <v>2.080131889675181E-3</v>
      </c>
      <c r="S1423">
        <v>0.21762315956652611</v>
      </c>
      <c r="T1423">
        <v>1.0601133774176279</v>
      </c>
      <c r="U1423">
        <v>3.8480312931202694E-2</v>
      </c>
      <c r="V1423">
        <v>0.25265814275916315</v>
      </c>
      <c r="W1423">
        <v>0.12038893790896359</v>
      </c>
      <c r="X1423">
        <v>2.0163150059348271E-2</v>
      </c>
      <c r="Y1423">
        <v>5.6614332884027023E-3</v>
      </c>
    </row>
    <row r="1424" spans="1:25" x14ac:dyDescent="0.25">
      <c r="A1424" s="881"/>
      <c r="B1424" s="1131">
        <v>1174</v>
      </c>
      <c r="C1424" s="885">
        <v>1.035899868108352</v>
      </c>
      <c r="D1424" s="885">
        <v>0.99059640180451103</v>
      </c>
      <c r="E1424" s="885">
        <v>0.99849349213799277</v>
      </c>
      <c r="F1424" s="885">
        <v>1.0139548432798711</v>
      </c>
      <c r="G1424" s="885">
        <v>1.0062835070224276</v>
      </c>
      <c r="H1424" s="885">
        <v>1.009366121645306</v>
      </c>
      <c r="I1424" s="885">
        <v>0.98469122099528539</v>
      </c>
      <c r="K1424">
        <v>1.9170403598764323</v>
      </c>
      <c r="L1424">
        <v>0</v>
      </c>
      <c r="M1424">
        <v>1.9181984028258951E-3</v>
      </c>
      <c r="N1424">
        <v>0.19237176292846186</v>
      </c>
      <c r="O1424">
        <v>2.4391199362095547E-2</v>
      </c>
      <c r="P1424">
        <v>2.0924974712735682E-2</v>
      </c>
      <c r="Q1424">
        <v>2.8592048009694147E-3</v>
      </c>
      <c r="R1424">
        <v>1.9068617943461829E-3</v>
      </c>
      <c r="S1424">
        <v>0.19741703387639467</v>
      </c>
      <c r="T1424">
        <v>1.0585107556849667</v>
      </c>
      <c r="U1424">
        <v>3.6026947922164737E-2</v>
      </c>
      <c r="V1424">
        <v>0.24405321948403405</v>
      </c>
      <c r="W1424">
        <v>0.11510792694802868</v>
      </c>
      <c r="X1424">
        <v>2.0198821557669801E-2</v>
      </c>
      <c r="Y1424">
        <v>5.189849207388744E-3</v>
      </c>
    </row>
    <row r="1425" spans="1:25" x14ac:dyDescent="0.25">
      <c r="A1425" s="881"/>
      <c r="B1425" s="1131">
        <v>1175</v>
      </c>
      <c r="C1425" s="885">
        <v>0.97534614916157303</v>
      </c>
      <c r="D1425" s="885">
        <v>0.95484938507610639</v>
      </c>
      <c r="E1425" s="885">
        <v>0.9897858799932554</v>
      </c>
      <c r="F1425" s="885">
        <v>1.0069903171188883</v>
      </c>
      <c r="G1425" s="885">
        <v>0.97539771011041243</v>
      </c>
      <c r="H1425" s="885">
        <v>1.0229278121115877</v>
      </c>
      <c r="I1425" s="885">
        <v>0.96112651354611156</v>
      </c>
      <c r="K1425">
        <v>1.9768006373259619</v>
      </c>
      <c r="L1425">
        <v>0</v>
      </c>
      <c r="M1425">
        <v>2.1415601221010058E-3</v>
      </c>
      <c r="N1425">
        <v>0.20904922458900582</v>
      </c>
      <c r="O1425">
        <v>2.6382969150734268E-2</v>
      </c>
      <c r="P1425">
        <v>2.1174620101545746E-2</v>
      </c>
      <c r="Q1425">
        <v>3.0577064887463137E-3</v>
      </c>
      <c r="R1425">
        <v>2.129103394215022E-3</v>
      </c>
      <c r="S1425">
        <v>0.20953760118508005</v>
      </c>
      <c r="T1425">
        <v>1.0593126003197508</v>
      </c>
      <c r="U1425">
        <v>3.8263657095481594E-2</v>
      </c>
      <c r="V1425">
        <v>0.25738687626635393</v>
      </c>
      <c r="W1425">
        <v>0.12583766898439913</v>
      </c>
      <c r="X1425">
        <v>2.1015452292443469E-2</v>
      </c>
      <c r="Y1425">
        <v>5.7947175803080148E-3</v>
      </c>
    </row>
    <row r="1426" spans="1:25" x14ac:dyDescent="0.25">
      <c r="A1426" s="881"/>
      <c r="B1426" s="1131">
        <v>1176</v>
      </c>
      <c r="C1426" s="885">
        <v>0.97659576774337298</v>
      </c>
      <c r="D1426" s="885">
        <v>0.98488831953574207</v>
      </c>
      <c r="E1426" s="885">
        <v>0.97561229046734044</v>
      </c>
      <c r="F1426" s="885">
        <v>0.96717030498884782</v>
      </c>
      <c r="G1426" s="885">
        <v>1.0234580325408718</v>
      </c>
      <c r="H1426" s="885">
        <v>1.0129275593827756</v>
      </c>
      <c r="I1426" s="885">
        <v>0.97915743611520689</v>
      </c>
      <c r="K1426">
        <v>1.9593266458069827</v>
      </c>
      <c r="L1426">
        <v>0</v>
      </c>
      <c r="M1426">
        <v>2.1485930232798206E-3</v>
      </c>
      <c r="N1426">
        <v>0.20066273136226603</v>
      </c>
      <c r="O1426">
        <v>2.5946604273096367E-2</v>
      </c>
      <c r="P1426">
        <v>2.0903118432725257E-2</v>
      </c>
      <c r="Q1426">
        <v>2.9706810371770286E-3</v>
      </c>
      <c r="R1426">
        <v>2.1359445163486078E-3</v>
      </c>
      <c r="S1426">
        <v>0.20914687813882177</v>
      </c>
      <c r="T1426">
        <v>1.0606240824540041</v>
      </c>
      <c r="U1426">
        <v>3.8214696227030803E-2</v>
      </c>
      <c r="V1426">
        <v>0.25314131432939352</v>
      </c>
      <c r="W1426">
        <v>0.12198095067668527</v>
      </c>
      <c r="X1426">
        <v>1.9934900523131325E-2</v>
      </c>
      <c r="Y1426">
        <v>5.8133368595803319E-3</v>
      </c>
    </row>
    <row r="1427" spans="1:25" x14ac:dyDescent="0.25">
      <c r="A1427" s="881"/>
      <c r="B1427" s="1131">
        <v>1177</v>
      </c>
      <c r="C1427" s="885">
        <v>0.99537000566335776</v>
      </c>
      <c r="D1427" s="885">
        <v>1.0002546733056006</v>
      </c>
      <c r="E1427" s="885">
        <v>0.9981054543768948</v>
      </c>
      <c r="F1427" s="885">
        <v>1.0219632564104781</v>
      </c>
      <c r="G1427" s="885">
        <v>1.0327273864166542</v>
      </c>
      <c r="H1427" s="885">
        <v>0.98741819613313087</v>
      </c>
      <c r="I1427" s="885">
        <v>0.99598396243286835</v>
      </c>
      <c r="K1427">
        <v>1.9356482904776167</v>
      </c>
      <c r="L1427">
        <v>0</v>
      </c>
      <c r="M1427">
        <v>1.9451297277204333E-3</v>
      </c>
      <c r="N1427">
        <v>0.19481071445062326</v>
      </c>
      <c r="O1427">
        <v>2.5262669464322023E-2</v>
      </c>
      <c r="P1427">
        <v>2.1097844511418929E-2</v>
      </c>
      <c r="Q1427">
        <v>2.9622120025648278E-3</v>
      </c>
      <c r="R1427">
        <v>1.9333705113951708E-3</v>
      </c>
      <c r="S1427">
        <v>0.20466501649476629</v>
      </c>
      <c r="T1427">
        <v>1.0585464255077703</v>
      </c>
      <c r="U1427">
        <v>3.7493907178813457E-2</v>
      </c>
      <c r="V1427">
        <v>0.24843217268748738</v>
      </c>
      <c r="W1427">
        <v>0.11659829336934148</v>
      </c>
      <c r="X1427">
        <v>2.0528796830231091E-2</v>
      </c>
      <c r="Y1427">
        <v>5.2619971965998623E-3</v>
      </c>
    </row>
    <row r="1428" spans="1:25" x14ac:dyDescent="0.25">
      <c r="A1428" s="881"/>
      <c r="B1428" s="1131">
        <v>1178</v>
      </c>
      <c r="C1428" s="885">
        <v>1.0001362383296604</v>
      </c>
      <c r="D1428" s="885">
        <v>1.0392068005829069</v>
      </c>
      <c r="E1428" s="885">
        <v>1.0089495291619759</v>
      </c>
      <c r="F1428" s="885">
        <v>0.95770106059369875</v>
      </c>
      <c r="G1428" s="885">
        <v>1.0011375845427659</v>
      </c>
      <c r="H1428" s="885">
        <v>1.0016589612247793</v>
      </c>
      <c r="I1428" s="885">
        <v>1.0020606857362553</v>
      </c>
      <c r="K1428">
        <v>1.9265155158997453</v>
      </c>
      <c r="L1428">
        <v>0</v>
      </c>
      <c r="M1428">
        <v>1.8835863713990034E-3</v>
      </c>
      <c r="N1428">
        <v>0.19513201796422375</v>
      </c>
      <c r="O1428">
        <v>2.4672543455850651E-2</v>
      </c>
      <c r="P1428">
        <v>2.1153559044898556E-2</v>
      </c>
      <c r="Q1428">
        <v>2.9323939243185459E-3</v>
      </c>
      <c r="R1428">
        <v>1.8723316037266183E-3</v>
      </c>
      <c r="S1428">
        <v>0.20279816311855986</v>
      </c>
      <c r="T1428">
        <v>1.0575518085185127</v>
      </c>
      <c r="U1428">
        <v>3.7315226836741738E-2</v>
      </c>
      <c r="V1428">
        <v>0.24308855971596516</v>
      </c>
      <c r="W1428">
        <v>0.11592933793235988</v>
      </c>
      <c r="X1428">
        <v>2.0857290744589401E-2</v>
      </c>
      <c r="Y1428">
        <v>5.0958694113965673E-3</v>
      </c>
    </row>
    <row r="1429" spans="1:25" x14ac:dyDescent="0.25">
      <c r="A1429" s="881"/>
      <c r="B1429" s="1131">
        <v>1179</v>
      </c>
      <c r="C1429" s="885">
        <v>0.99566509097542955</v>
      </c>
      <c r="D1429" s="885">
        <v>0.988255111703639</v>
      </c>
      <c r="E1429" s="885">
        <v>1.0110543221205632</v>
      </c>
      <c r="F1429" s="885">
        <v>0.99327145262168748</v>
      </c>
      <c r="G1429" s="885">
        <v>1.0164289712937105</v>
      </c>
      <c r="H1429" s="885">
        <v>0.99971365957739011</v>
      </c>
      <c r="I1429" s="885">
        <v>1.0118370233177341</v>
      </c>
      <c r="K1429">
        <v>1.9516592598641656</v>
      </c>
      <c r="L1429">
        <v>0</v>
      </c>
      <c r="M1429">
        <v>1.9272471974192272E-3</v>
      </c>
      <c r="N1429">
        <v>0.20096764509296314</v>
      </c>
      <c r="O1429">
        <v>2.5406631773757567E-2</v>
      </c>
      <c r="P1429">
        <v>2.13830686174423E-2</v>
      </c>
      <c r="Q1429">
        <v>3.0154778006159923E-3</v>
      </c>
      <c r="R1429">
        <v>1.9157490307939705E-3</v>
      </c>
      <c r="S1429">
        <v>0.21028825576798832</v>
      </c>
      <c r="T1429">
        <v>1.0573592886766645</v>
      </c>
      <c r="U1429">
        <v>3.7482795107695421E-2</v>
      </c>
      <c r="V1429">
        <v>0.24990739336595122</v>
      </c>
      <c r="W1429">
        <v>0.11922569028123585</v>
      </c>
      <c r="X1429">
        <v>2.1420474211151366E-2</v>
      </c>
      <c r="Y1429">
        <v>5.2140373353229113E-3</v>
      </c>
    </row>
    <row r="1430" spans="1:25" x14ac:dyDescent="0.25">
      <c r="A1430" s="881"/>
      <c r="B1430" s="1131">
        <v>1180</v>
      </c>
      <c r="C1430" s="885">
        <v>1.0405450104364797</v>
      </c>
      <c r="D1430" s="885">
        <v>0.99773990480403563</v>
      </c>
      <c r="E1430" s="885">
        <v>0.98552608527028407</v>
      </c>
      <c r="F1430" s="885">
        <v>0.98241554532747444</v>
      </c>
      <c r="G1430" s="885">
        <v>1.0015244341691352</v>
      </c>
      <c r="H1430" s="885">
        <v>1.0018625738882698</v>
      </c>
      <c r="I1430" s="885">
        <v>1.0290388978670344</v>
      </c>
      <c r="K1430">
        <v>1.9143577496639805</v>
      </c>
      <c r="L1430">
        <v>0</v>
      </c>
      <c r="M1430">
        <v>1.9409323768075841E-3</v>
      </c>
      <c r="N1430">
        <v>0.18694180371058003</v>
      </c>
      <c r="O1430">
        <v>2.4196031531564383E-2</v>
      </c>
      <c r="P1430">
        <v>2.0804257636588996E-2</v>
      </c>
      <c r="Q1430">
        <v>2.8008404762248592E-3</v>
      </c>
      <c r="R1430">
        <v>1.9293697263656874E-3</v>
      </c>
      <c r="S1430">
        <v>0.20395814216347732</v>
      </c>
      <c r="T1430">
        <v>1.0597059394833896</v>
      </c>
      <c r="U1430">
        <v>3.586611845388802E-2</v>
      </c>
      <c r="V1430">
        <v>0.24257134755993859</v>
      </c>
      <c r="W1430">
        <v>0.11286138077463372</v>
      </c>
      <c r="X1430">
        <v>1.9412342145526583E-2</v>
      </c>
      <c r="Y1430">
        <v>5.2511083786080364E-3</v>
      </c>
    </row>
    <row r="1431" spans="1:25" x14ac:dyDescent="0.25">
      <c r="A1431" s="881"/>
      <c r="B1431" s="1131">
        <v>1181</v>
      </c>
      <c r="C1431" s="885">
        <v>0.99340192592366039</v>
      </c>
      <c r="D1431" s="885">
        <v>1.0013601546910178</v>
      </c>
      <c r="E1431" s="885">
        <v>1.0228566679164073</v>
      </c>
      <c r="F1431" s="885">
        <v>0.97744692404308331</v>
      </c>
      <c r="G1431" s="885">
        <v>0.95693258743010501</v>
      </c>
      <c r="H1431" s="885">
        <v>1.0148312194160956</v>
      </c>
      <c r="I1431" s="885">
        <v>0.9969928819560453</v>
      </c>
      <c r="K1431">
        <v>1.9540107106679618</v>
      </c>
      <c r="L1431">
        <v>0</v>
      </c>
      <c r="M1431">
        <v>1.9001588588397182E-3</v>
      </c>
      <c r="N1431">
        <v>0.20556146742834042</v>
      </c>
      <c r="O1431">
        <v>2.529888391170006E-2</v>
      </c>
      <c r="P1431">
        <v>2.1504762461547054E-2</v>
      </c>
      <c r="Q1431">
        <v>3.0409858157671508E-3</v>
      </c>
      <c r="R1431">
        <v>1.8889809579011887E-3</v>
      </c>
      <c r="S1431">
        <v>0.20795656154537132</v>
      </c>
      <c r="T1431">
        <v>1.0562829647414864</v>
      </c>
      <c r="U1431">
        <v>3.7568188290169301E-2</v>
      </c>
      <c r="V1431">
        <v>0.24857336388926143</v>
      </c>
      <c r="W1431">
        <v>0.12098161260808227</v>
      </c>
      <c r="X1431">
        <v>2.2111914412172275E-2</v>
      </c>
      <c r="Y1431">
        <v>5.1411834650016202E-3</v>
      </c>
    </row>
    <row r="1432" spans="1:25" x14ac:dyDescent="0.25">
      <c r="A1432" s="881"/>
      <c r="B1432" s="1131">
        <v>1182</v>
      </c>
      <c r="C1432" s="885">
        <v>1.0093204554608108</v>
      </c>
      <c r="D1432" s="885">
        <v>0.98054840974516944</v>
      </c>
      <c r="E1432" s="885">
        <v>0.98568572478204297</v>
      </c>
      <c r="F1432" s="885">
        <v>0.99274384757411238</v>
      </c>
      <c r="G1432" s="885">
        <v>1.0013382593069973</v>
      </c>
      <c r="H1432" s="885">
        <v>0.99827514785271221</v>
      </c>
      <c r="I1432" s="885">
        <v>0.95796415803371882</v>
      </c>
      <c r="K1432">
        <v>1.927439777764731</v>
      </c>
      <c r="L1432">
        <v>0</v>
      </c>
      <c r="M1432">
        <v>2.0103769236011772E-3</v>
      </c>
      <c r="N1432">
        <v>0.19372391886570023</v>
      </c>
      <c r="O1432">
        <v>2.5160423818417047E-2</v>
      </c>
      <c r="P1432">
        <v>2.0813247799083268E-2</v>
      </c>
      <c r="Q1432">
        <v>2.9094017707391273E-3</v>
      </c>
      <c r="R1432">
        <v>1.9983720719981132E-3</v>
      </c>
      <c r="S1432">
        <v>0.19696762501913462</v>
      </c>
      <c r="T1432">
        <v>1.0596911860427656</v>
      </c>
      <c r="U1432">
        <v>3.6975680418443582E-2</v>
      </c>
      <c r="V1432">
        <v>0.24894689856645771</v>
      </c>
      <c r="W1432">
        <v>0.11694300717112492</v>
      </c>
      <c r="X1432">
        <v>1.9881483127665633E-2</v>
      </c>
      <c r="Y1432">
        <v>5.4389100168023771E-3</v>
      </c>
    </row>
    <row r="1433" spans="1:25" x14ac:dyDescent="0.25">
      <c r="A1433" s="881"/>
      <c r="B1433" s="1131">
        <v>1183</v>
      </c>
      <c r="C1433" s="885">
        <v>1.0176042749933394</v>
      </c>
      <c r="D1433" s="885">
        <v>0.99185470720132829</v>
      </c>
      <c r="E1433" s="885">
        <v>0.98343199383141477</v>
      </c>
      <c r="F1433" s="885">
        <v>0.98944014587471807</v>
      </c>
      <c r="G1433" s="885">
        <v>1.0291291843731996</v>
      </c>
      <c r="H1433" s="885">
        <v>0.99875248303613029</v>
      </c>
      <c r="I1433" s="885">
        <v>1.011098239739159</v>
      </c>
      <c r="K1433">
        <v>1.9276549823469937</v>
      </c>
      <c r="L1433">
        <v>0</v>
      </c>
      <c r="M1433">
        <v>1.9930779815986828E-3</v>
      </c>
      <c r="N1433">
        <v>0.19071314105429724</v>
      </c>
      <c r="O1433">
        <v>2.4814114555450743E-2</v>
      </c>
      <c r="P1433">
        <v>2.0852207213535201E-2</v>
      </c>
      <c r="Q1433">
        <v>2.8651108620717665E-3</v>
      </c>
      <c r="R1433">
        <v>1.981172605554987E-3</v>
      </c>
      <c r="S1433">
        <v>0.20516386362973754</v>
      </c>
      <c r="T1433">
        <v>1.0598995612258379</v>
      </c>
      <c r="U1433">
        <v>3.6674679458437998E-2</v>
      </c>
      <c r="V1433">
        <v>0.24636502612394418</v>
      </c>
      <c r="W1433">
        <v>0.11530512996313101</v>
      </c>
      <c r="X1433">
        <v>1.9621954897645257E-2</v>
      </c>
      <c r="Y1433">
        <v>5.3920987389467767E-3</v>
      </c>
    </row>
    <row r="1434" spans="1:25" x14ac:dyDescent="0.25">
      <c r="A1434" s="881"/>
      <c r="B1434" s="1131">
        <v>1184</v>
      </c>
      <c r="C1434" s="885">
        <v>0.99744230150551527</v>
      </c>
      <c r="D1434" s="885">
        <v>1.0074656153298078</v>
      </c>
      <c r="E1434" s="885">
        <v>0.96584840788142867</v>
      </c>
      <c r="F1434" s="885">
        <v>1.0026601561731912</v>
      </c>
      <c r="G1434" s="885">
        <v>0.97785670497941113</v>
      </c>
      <c r="H1434" s="885">
        <v>0.97358894699945486</v>
      </c>
      <c r="I1434" s="885">
        <v>1.0140311848492751</v>
      </c>
      <c r="K1434">
        <v>1.9228261464518761</v>
      </c>
      <c r="L1434">
        <v>0</v>
      </c>
      <c r="M1434">
        <v>2.0407808791390041E-3</v>
      </c>
      <c r="N1434">
        <v>0.18483311034615002</v>
      </c>
      <c r="O1434">
        <v>2.5120751599622418E-2</v>
      </c>
      <c r="P1434">
        <v>2.0626284101914895E-2</v>
      </c>
      <c r="Q1434">
        <v>2.8520899930842528E-3</v>
      </c>
      <c r="R1434">
        <v>2.0282619412169728E-3</v>
      </c>
      <c r="S1434">
        <v>0.20583919040770771</v>
      </c>
      <c r="T1434">
        <v>1.0615320632087204</v>
      </c>
      <c r="U1434">
        <v>3.7416009472013109E-2</v>
      </c>
      <c r="V1434">
        <v>0.24724188920938941</v>
      </c>
      <c r="W1434">
        <v>0.11312710761309007</v>
      </c>
      <c r="X1434">
        <v>1.8729909050480366E-2</v>
      </c>
      <c r="Y1434">
        <v>5.5202603876233726E-3</v>
      </c>
    </row>
    <row r="1435" spans="1:25" x14ac:dyDescent="0.25">
      <c r="A1435" s="881"/>
      <c r="B1435" s="1131">
        <v>1185</v>
      </c>
      <c r="C1435" s="885">
        <v>0.99278514708032894</v>
      </c>
      <c r="D1435" s="885">
        <v>1.0131697008243972</v>
      </c>
      <c r="E1435" s="885">
        <v>1.0251755847609429</v>
      </c>
      <c r="F1435" s="885">
        <v>1.0212859978300752</v>
      </c>
      <c r="G1435" s="885">
        <v>1.0374665526882809</v>
      </c>
      <c r="H1435" s="885">
        <v>1.0433129842360191</v>
      </c>
      <c r="I1435" s="885">
        <v>1.0218812719365034</v>
      </c>
      <c r="K1435">
        <v>1.9680521404829447</v>
      </c>
      <c r="L1435">
        <v>0</v>
      </c>
      <c r="M1435">
        <v>1.9339087848824516E-3</v>
      </c>
      <c r="N1435">
        <v>0.21075773591208594</v>
      </c>
      <c r="O1435">
        <v>2.5168258105194428E-2</v>
      </c>
      <c r="P1435">
        <v>2.1618693001927813E-2</v>
      </c>
      <c r="Q1435">
        <v>3.0347226914587367E-3</v>
      </c>
      <c r="R1435">
        <v>1.9228339499879077E-3</v>
      </c>
      <c r="S1435">
        <v>0.2150836901608896</v>
      </c>
      <c r="T1435">
        <v>1.0560721294120823</v>
      </c>
      <c r="U1435">
        <v>3.7591527946073566E-2</v>
      </c>
      <c r="V1435">
        <v>0.24720570865939032</v>
      </c>
      <c r="W1435">
        <v>0.12384643545797824</v>
      </c>
      <c r="X1435">
        <v>2.2450993820930489E-2</v>
      </c>
      <c r="Y1435">
        <v>5.2333201498258259E-3</v>
      </c>
    </row>
    <row r="1436" spans="1:25" x14ac:dyDescent="0.25">
      <c r="A1436" s="881"/>
      <c r="B1436" s="1131">
        <v>1186</v>
      </c>
      <c r="C1436" s="885">
        <v>0.97096320273048276</v>
      </c>
      <c r="D1436" s="885">
        <v>0.9998235821487319</v>
      </c>
      <c r="E1436" s="885">
        <v>1.0103823497489963</v>
      </c>
      <c r="F1436" s="885">
        <v>0.97251565394955897</v>
      </c>
      <c r="G1436" s="885">
        <v>0.99470980133957665</v>
      </c>
      <c r="H1436" s="885">
        <v>0.9877995147566222</v>
      </c>
      <c r="I1436" s="885">
        <v>0.99425051736365366</v>
      </c>
      <c r="K1436">
        <v>1.9570028760027482</v>
      </c>
      <c r="L1436">
        <v>0</v>
      </c>
      <c r="M1436">
        <v>1.944262504601718E-3</v>
      </c>
      <c r="N1436">
        <v>0.20230324078686593</v>
      </c>
      <c r="O1436">
        <v>2.5903215968371241E-2</v>
      </c>
      <c r="P1436">
        <v>2.1405345672861717E-2</v>
      </c>
      <c r="Q1436">
        <v>3.074853187126636E-3</v>
      </c>
      <c r="R1436">
        <v>1.9325134193698614E-3</v>
      </c>
      <c r="S1436">
        <v>0.20952540804816641</v>
      </c>
      <c r="T1436">
        <v>1.0574207334220111</v>
      </c>
      <c r="U1436">
        <v>3.8436379973995911E-2</v>
      </c>
      <c r="V1436">
        <v>0.25204703889866409</v>
      </c>
      <c r="W1436">
        <v>0.12007282816498091</v>
      </c>
      <c r="X1436">
        <v>2.1565916490290146E-2</v>
      </c>
      <c r="Y1436">
        <v>5.2596644746472796E-3</v>
      </c>
    </row>
    <row r="1437" spans="1:25" x14ac:dyDescent="0.25">
      <c r="A1437" s="881"/>
      <c r="B1437" s="1131">
        <v>1187</v>
      </c>
      <c r="C1437" s="885">
        <v>0.98352483859591544</v>
      </c>
      <c r="D1437" s="885">
        <v>0.97507789638652131</v>
      </c>
      <c r="E1437" s="885">
        <v>0.99184435328936427</v>
      </c>
      <c r="F1437" s="885">
        <v>0.97413750971529134</v>
      </c>
      <c r="G1437" s="885">
        <v>0.99232407799660616</v>
      </c>
      <c r="H1437" s="885">
        <v>0.997248165796911</v>
      </c>
      <c r="I1437" s="885">
        <v>0.97673297519634383</v>
      </c>
      <c r="K1437">
        <v>1.9539947989483393</v>
      </c>
      <c r="L1437">
        <v>0</v>
      </c>
      <c r="M1437">
        <v>2.0401253632397467E-3</v>
      </c>
      <c r="N1437">
        <v>0.20039599437728037</v>
      </c>
      <c r="O1437">
        <v>2.5892151048927052E-2</v>
      </c>
      <c r="P1437">
        <v>2.1105521178978126E-2</v>
      </c>
      <c r="Q1437">
        <v>3.0115365211255659E-3</v>
      </c>
      <c r="R1437">
        <v>2.0279350983988188E-3</v>
      </c>
      <c r="S1437">
        <v>0.20652112696412586</v>
      </c>
      <c r="T1437">
        <v>1.0591227785987709</v>
      </c>
      <c r="U1437">
        <v>3.7945468315976186E-2</v>
      </c>
      <c r="V1437">
        <v>0.2533975642983855</v>
      </c>
      <c r="W1437">
        <v>0.12045795869199678</v>
      </c>
      <c r="X1437">
        <v>2.0637518388396094E-2</v>
      </c>
      <c r="Y1437">
        <v>5.5193708292160639E-3</v>
      </c>
    </row>
    <row r="1438" spans="1:25" x14ac:dyDescent="0.25">
      <c r="A1438" s="881"/>
      <c r="B1438" s="1131">
        <v>1188</v>
      </c>
      <c r="C1438" s="885">
        <v>0.97248273387660533</v>
      </c>
      <c r="D1438" s="885">
        <v>0.97194743838239528</v>
      </c>
      <c r="E1438" s="885">
        <v>1.0294503250037013</v>
      </c>
      <c r="F1438" s="885">
        <v>0.98230140779581032</v>
      </c>
      <c r="G1438" s="885">
        <v>1.0019570725775799</v>
      </c>
      <c r="H1438" s="885">
        <v>0.99516988494279779</v>
      </c>
      <c r="I1438" s="885">
        <v>0.99156514346593183</v>
      </c>
      <c r="K1438">
        <v>1.9744272119606718</v>
      </c>
      <c r="L1438">
        <v>0</v>
      </c>
      <c r="M1438">
        <v>1.9050107802954578E-3</v>
      </c>
      <c r="N1438">
        <v>0.21032728653300475</v>
      </c>
      <c r="O1438">
        <v>2.6228014255328745E-2</v>
      </c>
      <c r="P1438">
        <v>2.1765877315186141E-2</v>
      </c>
      <c r="Q1438">
        <v>3.1667055407512148E-3</v>
      </c>
      <c r="R1438">
        <v>1.8936066590365956E-3</v>
      </c>
      <c r="S1438">
        <v>0.2121347697846247</v>
      </c>
      <c r="T1438">
        <v>1.0556840225737238</v>
      </c>
      <c r="U1438">
        <v>3.8376322068101966E-2</v>
      </c>
      <c r="V1438">
        <v>0.25547712330241923</v>
      </c>
      <c r="W1438">
        <v>0.12323929931842471</v>
      </c>
      <c r="X1438">
        <v>2.2885422291733529E-2</v>
      </c>
      <c r="Y1438">
        <v>5.1537730986302268E-3</v>
      </c>
    </row>
    <row r="1439" spans="1:25" x14ac:dyDescent="0.25">
      <c r="A1439" s="881"/>
      <c r="B1439" s="1131">
        <v>1189</v>
      </c>
      <c r="C1439" s="885">
        <v>0.99541227757487694</v>
      </c>
      <c r="D1439" s="885">
        <v>0.97417690629852549</v>
      </c>
      <c r="E1439" s="885">
        <v>0.9965290248524693</v>
      </c>
      <c r="F1439" s="885">
        <v>1.0024495326865894</v>
      </c>
      <c r="G1439" s="885">
        <v>1.0256829076371266</v>
      </c>
      <c r="H1439" s="885">
        <v>0.98668205877251169</v>
      </c>
      <c r="I1439" s="885">
        <v>0.99793962731536512</v>
      </c>
      <c r="K1439">
        <v>1.9460483327095455</v>
      </c>
      <c r="L1439">
        <v>0</v>
      </c>
      <c r="M1439">
        <v>1.9757488764888215E-3</v>
      </c>
      <c r="N1439">
        <v>0.19691033227067123</v>
      </c>
      <c r="O1439">
        <v>2.5594692113129213E-2</v>
      </c>
      <c r="P1439">
        <v>2.1158731988786067E-2</v>
      </c>
      <c r="Q1439">
        <v>2.9908406056590128E-3</v>
      </c>
      <c r="R1439">
        <v>1.9638176275091801E-3</v>
      </c>
      <c r="S1439">
        <v>0.2074880418767929</v>
      </c>
      <c r="T1439">
        <v>1.0586913968543825</v>
      </c>
      <c r="U1439">
        <v>3.7492314934913583E-2</v>
      </c>
      <c r="V1439">
        <v>0.25176542157911791</v>
      </c>
      <c r="W1439">
        <v>0.11798239106912269</v>
      </c>
      <c r="X1439">
        <v>2.0641236456175334E-2</v>
      </c>
      <c r="Y1439">
        <v>5.344864209773063E-3</v>
      </c>
    </row>
    <row r="1440" spans="1:25" x14ac:dyDescent="0.25">
      <c r="A1440" s="881"/>
      <c r="B1440" s="1131">
        <v>1190</v>
      </c>
      <c r="C1440" s="885">
        <v>1.0458660661445038</v>
      </c>
      <c r="D1440" s="885">
        <v>1.0060335543154246</v>
      </c>
      <c r="E1440" s="885">
        <v>1.0201920792235857</v>
      </c>
      <c r="F1440" s="885">
        <v>0.99726590628879741</v>
      </c>
      <c r="G1440" s="885">
        <v>1.0106924475464627</v>
      </c>
      <c r="H1440" s="885">
        <v>1.0067168474303958</v>
      </c>
      <c r="I1440" s="885">
        <v>1.0079332048803777</v>
      </c>
      <c r="K1440">
        <v>1.9118791617859294</v>
      </c>
      <c r="L1440">
        <v>0</v>
      </c>
      <c r="M1440">
        <v>1.7963781893988351E-3</v>
      </c>
      <c r="N1440">
        <v>0.19272299038557261</v>
      </c>
      <c r="O1440">
        <v>2.3974515812167526E-2</v>
      </c>
      <c r="P1440">
        <v>2.1202377908603767E-2</v>
      </c>
      <c r="Q1440">
        <v>2.8751078503172025E-3</v>
      </c>
      <c r="R1440">
        <v>1.7857221823398758E-3</v>
      </c>
      <c r="S1440">
        <v>0.19847682922759163</v>
      </c>
      <c r="T1440">
        <v>1.0565254881479362</v>
      </c>
      <c r="U1440">
        <v>3.5683642302780746E-2</v>
      </c>
      <c r="V1440">
        <v>0.24089239501297602</v>
      </c>
      <c r="W1440">
        <v>0.11362953357970149</v>
      </c>
      <c r="X1440">
        <v>2.1046790448169487E-2</v>
      </c>
      <c r="Y1440">
        <v>4.8601471171699426E-3</v>
      </c>
    </row>
    <row r="1441" spans="1:25" x14ac:dyDescent="0.25">
      <c r="A1441" s="881"/>
      <c r="B1441" s="1131">
        <v>1191</v>
      </c>
      <c r="C1441" s="885">
        <v>1.0160380550223922</v>
      </c>
      <c r="D1441" s="885">
        <v>1.0027762146052885</v>
      </c>
      <c r="E1441" s="885">
        <v>1.0130687887864804</v>
      </c>
      <c r="F1441" s="885">
        <v>1.0054322866658092</v>
      </c>
      <c r="G1441" s="885">
        <v>1.0245066207674027</v>
      </c>
      <c r="H1441" s="885">
        <v>1.0037093811219002</v>
      </c>
      <c r="I1441" s="885">
        <v>1.0032150115728593</v>
      </c>
      <c r="K1441">
        <v>1.9308135679281042</v>
      </c>
      <c r="L1441">
        <v>0</v>
      </c>
      <c r="M1441">
        <v>1.8745290790966064E-3</v>
      </c>
      <c r="N1441">
        <v>0.19670166776925252</v>
      </c>
      <c r="O1441">
        <v>2.4717963511146256E-2</v>
      </c>
      <c r="P1441">
        <v>2.1242009722937293E-2</v>
      </c>
      <c r="Q1441">
        <v>2.9426443995882868E-3</v>
      </c>
      <c r="R1441">
        <v>1.8633786686990863E-3</v>
      </c>
      <c r="S1441">
        <v>0.20334994101988257</v>
      </c>
      <c r="T1441">
        <v>1.0571751927037292</v>
      </c>
      <c r="U1441">
        <v>3.6731213379694101E-2</v>
      </c>
      <c r="V1441">
        <v>0.24523586954227805</v>
      </c>
      <c r="W1441">
        <v>0.11653547027458643</v>
      </c>
      <c r="X1441">
        <v>2.1121243541821082E-2</v>
      </c>
      <c r="Y1441">
        <v>5.0715024735858644E-3</v>
      </c>
    </row>
    <row r="1442" spans="1:25" x14ac:dyDescent="0.25">
      <c r="A1442" s="881"/>
      <c r="B1442" s="1131">
        <v>1192</v>
      </c>
      <c r="C1442" s="885">
        <v>0.95442090888887932</v>
      </c>
      <c r="D1442" s="885">
        <v>1.0273888798707427</v>
      </c>
      <c r="E1442" s="885">
        <v>1.0211781105545545</v>
      </c>
      <c r="F1442" s="885">
        <v>1.0174407186289107</v>
      </c>
      <c r="G1442" s="885">
        <v>1.0013135336092176</v>
      </c>
      <c r="H1442" s="885">
        <v>0.98235643671774642</v>
      </c>
      <c r="I1442" s="885">
        <v>1.0104247854026371</v>
      </c>
      <c r="K1442">
        <v>1.9624031754272611</v>
      </c>
      <c r="L1442">
        <v>0</v>
      </c>
      <c r="M1442">
        <v>1.8970970076998342E-3</v>
      </c>
      <c r="N1442">
        <v>0.20412086789392739</v>
      </c>
      <c r="O1442">
        <v>2.6000442897869184E-2</v>
      </c>
      <c r="P1442">
        <v>2.1611474647122316E-2</v>
      </c>
      <c r="Q1442">
        <v>3.1256613831462578E-3</v>
      </c>
      <c r="R1442">
        <v>1.8855478035124838E-3</v>
      </c>
      <c r="S1442">
        <v>0.21336779896478356</v>
      </c>
      <c r="T1442">
        <v>1.0564357099751605</v>
      </c>
      <c r="U1442">
        <v>3.910257021125467E-2</v>
      </c>
      <c r="V1442">
        <v>0.2510770645561004</v>
      </c>
      <c r="W1442">
        <v>0.12026971532031364</v>
      </c>
      <c r="X1442">
        <v>2.2171579231275561E-2</v>
      </c>
      <c r="Y1442">
        <v>5.1318395504946048E-3</v>
      </c>
    </row>
    <row r="1443" spans="1:25" x14ac:dyDescent="0.25">
      <c r="A1443" s="881"/>
      <c r="B1443" s="1131">
        <v>1193</v>
      </c>
      <c r="C1443" s="885">
        <v>0.96938822835236438</v>
      </c>
      <c r="D1443" s="885">
        <v>1.0271548688661249</v>
      </c>
      <c r="E1443" s="885">
        <v>1.0336646830931249</v>
      </c>
      <c r="F1443" s="885">
        <v>1.0287647935272937</v>
      </c>
      <c r="G1443" s="885">
        <v>1.0241222329816748</v>
      </c>
      <c r="H1443" s="885">
        <v>0.99877041176148806</v>
      </c>
      <c r="I1443" s="885">
        <v>0.99625294640932782</v>
      </c>
      <c r="K1443">
        <v>1.9574581870713488</v>
      </c>
      <c r="L1443">
        <v>0</v>
      </c>
      <c r="M1443">
        <v>1.849734208501395E-3</v>
      </c>
      <c r="N1443">
        <v>0.20691302985353893</v>
      </c>
      <c r="O1443">
        <v>2.5601872958150036E-2</v>
      </c>
      <c r="P1443">
        <v>2.1690329012710188E-2</v>
      </c>
      <c r="Q1443">
        <v>3.1159842825090583E-3</v>
      </c>
      <c r="R1443">
        <v>1.8386585769075796E-3</v>
      </c>
      <c r="S1443">
        <v>0.20883324921064783</v>
      </c>
      <c r="T1443">
        <v>1.055302098189425</v>
      </c>
      <c r="U1443">
        <v>3.8498827930218409E-2</v>
      </c>
      <c r="V1443">
        <v>0.24887193296464505</v>
      </c>
      <c r="W1443">
        <v>0.12089720719815711</v>
      </c>
      <c r="X1443">
        <v>2.274050857023184E-2</v>
      </c>
      <c r="Y1443">
        <v>5.0042225327054518E-3</v>
      </c>
    </row>
    <row r="1444" spans="1:25" x14ac:dyDescent="0.25">
      <c r="A1444" s="881"/>
      <c r="B1444" s="1131">
        <v>1194</v>
      </c>
      <c r="C1444" s="885">
        <v>0.99420989201157239</v>
      </c>
      <c r="D1444" s="885">
        <v>0.99984433192439703</v>
      </c>
      <c r="E1444" s="885">
        <v>0.99911397692483817</v>
      </c>
      <c r="F1444" s="885">
        <v>1.0280904688281713</v>
      </c>
      <c r="G1444" s="885">
        <v>0.97813594468680898</v>
      </c>
      <c r="H1444" s="885">
        <v>0.99822661790878608</v>
      </c>
      <c r="I1444" s="885">
        <v>1.0063275653963599</v>
      </c>
      <c r="K1444">
        <v>1.9437635370972077</v>
      </c>
      <c r="L1444">
        <v>0</v>
      </c>
      <c r="M1444">
        <v>1.9649386868119336E-3</v>
      </c>
      <c r="N1444">
        <v>0.19742617859589442</v>
      </c>
      <c r="O1444">
        <v>2.5297285177285144E-2</v>
      </c>
      <c r="P1444">
        <v>2.1163934673903841E-2</v>
      </c>
      <c r="Q1444">
        <v>2.9691968771209036E-3</v>
      </c>
      <c r="R1444">
        <v>1.9531886711976038E-3</v>
      </c>
      <c r="S1444">
        <v>0.20817803115898156</v>
      </c>
      <c r="T1444">
        <v>1.058453730682732</v>
      </c>
      <c r="U1444">
        <v>3.7537657692589592E-2</v>
      </c>
      <c r="V1444">
        <v>0.24864761137372651</v>
      </c>
      <c r="W1444">
        <v>0.11808211090283846</v>
      </c>
      <c r="X1444">
        <v>2.0703614283223013E-2</v>
      </c>
      <c r="Y1444">
        <v>5.3159356945274615E-3</v>
      </c>
    </row>
    <row r="1445" spans="1:25" x14ac:dyDescent="0.25">
      <c r="A1445" s="881"/>
      <c r="B1445" s="1131">
        <v>1195</v>
      </c>
      <c r="C1445" s="885">
        <v>1.01292641085587</v>
      </c>
      <c r="D1445" s="885">
        <v>1.0419900733399763</v>
      </c>
      <c r="E1445" s="885">
        <v>0.99091684397474011</v>
      </c>
      <c r="F1445" s="885">
        <v>0.99951410801134677</v>
      </c>
      <c r="G1445" s="885">
        <v>0.97758553467553577</v>
      </c>
      <c r="H1445" s="885">
        <v>1.0018046153745932</v>
      </c>
      <c r="I1445" s="885">
        <v>1.026566998997622</v>
      </c>
      <c r="K1445">
        <v>1.9176742833881659</v>
      </c>
      <c r="L1445">
        <v>0</v>
      </c>
      <c r="M1445">
        <v>1.9295275147483161E-3</v>
      </c>
      <c r="N1445">
        <v>0.18898576764124006</v>
      </c>
      <c r="O1445">
        <v>2.4328949352026959E-2</v>
      </c>
      <c r="P1445">
        <v>2.0887612802370205E-2</v>
      </c>
      <c r="Q1445">
        <v>2.840134541560391E-3</v>
      </c>
      <c r="R1445">
        <v>1.9179978172070113E-3</v>
      </c>
      <c r="S1445">
        <v>0.20489879297238497</v>
      </c>
      <c r="T1445">
        <v>1.0592082883005298</v>
      </c>
      <c r="U1445">
        <v>3.6844049282299972E-2</v>
      </c>
      <c r="V1445">
        <v>0.2410462850593878</v>
      </c>
      <c r="W1445">
        <v>0.11367182911010802</v>
      </c>
      <c r="X1445">
        <v>1.9753946233170963E-2</v>
      </c>
      <c r="Y1445">
        <v>5.220157790626968E-3</v>
      </c>
    </row>
    <row r="1446" spans="1:25" x14ac:dyDescent="0.25">
      <c r="A1446" s="881"/>
      <c r="B1446" s="1131">
        <v>1196</v>
      </c>
      <c r="C1446" s="885">
        <v>1.0009236049414112</v>
      </c>
      <c r="D1446" s="885">
        <v>0.99473077217517702</v>
      </c>
      <c r="E1446" s="885">
        <v>1.0044366635115083</v>
      </c>
      <c r="F1446" s="885">
        <v>1.040108188744475</v>
      </c>
      <c r="G1446" s="885">
        <v>1.0011927380906482</v>
      </c>
      <c r="H1446" s="885">
        <v>0.99826188159077356</v>
      </c>
      <c r="I1446" s="885">
        <v>0.9794509284734183</v>
      </c>
      <c r="K1446">
        <v>1.9361995238798919</v>
      </c>
      <c r="L1446">
        <v>0</v>
      </c>
      <c r="M1446">
        <v>1.9349681062303891E-3</v>
      </c>
      <c r="N1446">
        <v>0.19766114606277208</v>
      </c>
      <c r="O1446">
        <v>2.5191483602173912E-2</v>
      </c>
      <c r="P1446">
        <v>2.1145389163133004E-2</v>
      </c>
      <c r="Q1446">
        <v>2.9715614055631679E-3</v>
      </c>
      <c r="R1446">
        <v>1.923401833807951E-3</v>
      </c>
      <c r="S1446">
        <v>0.20173697940266394</v>
      </c>
      <c r="T1446">
        <v>1.0579651709893152</v>
      </c>
      <c r="U1446">
        <v>3.7285873184199111E-2</v>
      </c>
      <c r="V1446">
        <v>0.24833247659442806</v>
      </c>
      <c r="W1446">
        <v>0.11779339396198593</v>
      </c>
      <c r="X1446">
        <v>2.0892750043698782E-2</v>
      </c>
      <c r="Y1446">
        <v>5.2348657423811323E-3</v>
      </c>
    </row>
    <row r="1447" spans="1:25" x14ac:dyDescent="0.25">
      <c r="A1447" s="881"/>
      <c r="B1447" s="1131">
        <v>1197</v>
      </c>
      <c r="C1447" s="885">
        <v>1.0325248116670429</v>
      </c>
      <c r="D1447" s="885">
        <v>1.0457106018764348</v>
      </c>
      <c r="E1447" s="885">
        <v>1.0041573113106264</v>
      </c>
      <c r="F1447" s="885">
        <v>1.0103890109160432</v>
      </c>
      <c r="G1447" s="885">
        <v>0.99143675844023704</v>
      </c>
      <c r="H1447" s="885">
        <v>1.0257137911956751</v>
      </c>
      <c r="I1447" s="885">
        <v>1.0125925114919851</v>
      </c>
      <c r="K1447">
        <v>1.9120091067606337</v>
      </c>
      <c r="L1447">
        <v>0</v>
      </c>
      <c r="M1447">
        <v>1.8815053721747915E-3</v>
      </c>
      <c r="N1447">
        <v>0.19205993944286109</v>
      </c>
      <c r="O1447">
        <v>2.3825337421777087E-2</v>
      </c>
      <c r="P1447">
        <v>2.0965255680411573E-2</v>
      </c>
      <c r="Q1447">
        <v>2.8193464919003767E-3</v>
      </c>
      <c r="R1447">
        <v>1.8705220307435749E-3</v>
      </c>
      <c r="S1447">
        <v>0.20027230890789557</v>
      </c>
      <c r="T1447">
        <v>1.0579907847633714</v>
      </c>
      <c r="U1447">
        <v>3.6144710692871444E-2</v>
      </c>
      <c r="V1447">
        <v>0.23807557469214671</v>
      </c>
      <c r="W1447">
        <v>0.11447724732802429</v>
      </c>
      <c r="X1447">
        <v>2.0298640330543852E-2</v>
      </c>
      <c r="Y1447">
        <v>5.0909443502622949E-3</v>
      </c>
    </row>
    <row r="1448" spans="1:25" x14ac:dyDescent="0.25">
      <c r="A1448" s="881"/>
      <c r="B1448" s="1131">
        <v>1198</v>
      </c>
      <c r="C1448" s="885">
        <v>1.0089758674420455</v>
      </c>
      <c r="D1448" s="885">
        <v>1.0335988937307097</v>
      </c>
      <c r="E1448" s="885">
        <v>1.0007795509459469</v>
      </c>
      <c r="F1448" s="885">
        <v>0.98745026958206206</v>
      </c>
      <c r="G1448" s="885">
        <v>1.0276378877091783</v>
      </c>
      <c r="H1448" s="885">
        <v>0.97701267898055821</v>
      </c>
      <c r="I1448" s="885">
        <v>1.0064373068054966</v>
      </c>
      <c r="K1448">
        <v>1.9110007861378009</v>
      </c>
      <c r="L1448">
        <v>0</v>
      </c>
      <c r="M1448">
        <v>1.8577128296828312E-3</v>
      </c>
      <c r="N1448">
        <v>0.18759528091719632</v>
      </c>
      <c r="O1448">
        <v>2.4521655606850296E-2</v>
      </c>
      <c r="P1448">
        <v>2.0984877336554401E-2</v>
      </c>
      <c r="Q1448">
        <v>2.8896147656175498E-3</v>
      </c>
      <c r="R1448">
        <v>1.8463368458394075E-3</v>
      </c>
      <c r="S1448">
        <v>0.19995130576922632</v>
      </c>
      <c r="T1448">
        <v>1.0583007320068629</v>
      </c>
      <c r="U1448">
        <v>3.6988308447387624E-2</v>
      </c>
      <c r="V1448">
        <v>0.24253676930944945</v>
      </c>
      <c r="W1448">
        <v>0.11207437206357916</v>
      </c>
      <c r="X1448">
        <v>2.0144125649324041E-2</v>
      </c>
      <c r="Y1448">
        <v>5.0251202495972137E-3</v>
      </c>
    </row>
    <row r="1449" spans="1:25" x14ac:dyDescent="0.25">
      <c r="A1449" s="881"/>
      <c r="B1449" s="1131">
        <v>1199</v>
      </c>
      <c r="C1449" s="885">
        <v>0.98143847890177804</v>
      </c>
      <c r="D1449" s="885">
        <v>0.97463565741931446</v>
      </c>
      <c r="E1449" s="885">
        <v>0.98667158544883959</v>
      </c>
      <c r="F1449" s="885">
        <v>1.0300935576224985</v>
      </c>
      <c r="G1449" s="885">
        <v>1.018378057516532</v>
      </c>
      <c r="H1449" s="885">
        <v>0.96430533269397989</v>
      </c>
      <c r="I1449" s="885">
        <v>1.0213873458826592</v>
      </c>
      <c r="K1449">
        <v>1.9497087028054547</v>
      </c>
      <c r="L1449">
        <v>0</v>
      </c>
      <c r="M1449">
        <v>1.9989930145287555E-3</v>
      </c>
      <c r="N1449">
        <v>0.19317888667787469</v>
      </c>
      <c r="O1449">
        <v>2.5953040744941678E-2</v>
      </c>
      <c r="P1449">
        <v>2.1122868034628164E-2</v>
      </c>
      <c r="Q1449">
        <v>3.0027746231705192E-3</v>
      </c>
      <c r="R1449">
        <v>1.986640868005111E-3</v>
      </c>
      <c r="S1449">
        <v>0.21295327020781482</v>
      </c>
      <c r="T1449">
        <v>1.0596000974655431</v>
      </c>
      <c r="U1449">
        <v>3.8026133479785736E-2</v>
      </c>
      <c r="V1449">
        <v>0.25376796986000705</v>
      </c>
      <c r="W1449">
        <v>0.11653459295786205</v>
      </c>
      <c r="X1449">
        <v>2.0174439353626096E-2</v>
      </c>
      <c r="Y1449">
        <v>5.4069815467237808E-3</v>
      </c>
    </row>
    <row r="1450" spans="1:25" x14ac:dyDescent="0.25">
      <c r="A1450" s="881"/>
      <c r="B1450" s="1131">
        <v>1200</v>
      </c>
      <c r="C1450" s="885">
        <v>0.99904455201403053</v>
      </c>
      <c r="D1450" s="885">
        <v>0.98741741023566931</v>
      </c>
      <c r="E1450" s="885">
        <v>0.97025258437868489</v>
      </c>
      <c r="F1450" s="885">
        <v>1.0006489875426254</v>
      </c>
      <c r="G1450" s="885">
        <v>1.0307358610921797</v>
      </c>
      <c r="H1450" s="885">
        <v>1.0142061283250328</v>
      </c>
      <c r="I1450" s="885">
        <v>1.0081654326227334</v>
      </c>
      <c r="K1450">
        <v>1.9465904186038336</v>
      </c>
      <c r="L1450">
        <v>0</v>
      </c>
      <c r="M1450">
        <v>2.1240323647667455E-3</v>
      </c>
      <c r="N1450">
        <v>0.19508335572113153</v>
      </c>
      <c r="O1450">
        <v>2.5331337829349994E-2</v>
      </c>
      <c r="P1450">
        <v>2.078109637736034E-2</v>
      </c>
      <c r="Q1450">
        <v>2.8849384381687466E-3</v>
      </c>
      <c r="R1450">
        <v>2.1115419735067468E-3</v>
      </c>
      <c r="S1450">
        <v>0.21038721734158047</v>
      </c>
      <c r="T1450">
        <v>1.0611220453736931</v>
      </c>
      <c r="U1450">
        <v>3.7356002318095584E-2</v>
      </c>
      <c r="V1450">
        <v>0.24952599712074364</v>
      </c>
      <c r="W1450">
        <v>0.11903336679931148</v>
      </c>
      <c r="X1450">
        <v>1.9350630493397077E-2</v>
      </c>
      <c r="Y1450">
        <v>5.7469211822608708E-3</v>
      </c>
    </row>
    <row r="1451" spans="1:25" x14ac:dyDescent="0.25">
      <c r="A1451" s="881"/>
      <c r="B1451" s="1131">
        <v>1201</v>
      </c>
      <c r="C1451" s="885">
        <v>1.0053203365877028</v>
      </c>
      <c r="D1451" s="885">
        <v>0.99902857754189001</v>
      </c>
      <c r="E1451" s="885">
        <v>1.0069461263896526</v>
      </c>
      <c r="F1451" s="885">
        <v>1.0435254094986046</v>
      </c>
      <c r="G1451" s="885">
        <v>0.992367787195372</v>
      </c>
      <c r="H1451" s="885">
        <v>1.030867309595227</v>
      </c>
      <c r="I1451" s="885">
        <v>1.0029512089157606</v>
      </c>
      <c r="K1451">
        <v>1.9507201236420348</v>
      </c>
      <c r="L1451">
        <v>0</v>
      </c>
      <c r="M1451">
        <v>1.9747175060677523E-3</v>
      </c>
      <c r="N1451">
        <v>0.20334032604430327</v>
      </c>
      <c r="O1451">
        <v>2.5027819005695433E-2</v>
      </c>
      <c r="P1451">
        <v>2.1257247585390038E-2</v>
      </c>
      <c r="Q1451">
        <v>2.9605794513736503E-3</v>
      </c>
      <c r="R1451">
        <v>1.9632835577284269E-3</v>
      </c>
      <c r="S1451">
        <v>0.20856050059214412</v>
      </c>
      <c r="T1451">
        <v>1.0577352150493824</v>
      </c>
      <c r="U1451">
        <v>3.7122804784384351E-2</v>
      </c>
      <c r="V1451">
        <v>0.24718103074493153</v>
      </c>
      <c r="W1451">
        <v>0.12097075179593</v>
      </c>
      <c r="X1451">
        <v>2.1231871888953216E-2</v>
      </c>
      <c r="Y1451">
        <v>5.3434106478859097E-3</v>
      </c>
    </row>
    <row r="1452" spans="1:25" x14ac:dyDescent="0.25">
      <c r="A1452" s="881"/>
      <c r="B1452" s="1131">
        <v>1202</v>
      </c>
      <c r="C1452" s="885">
        <v>0.98980785370834301</v>
      </c>
      <c r="D1452" s="885">
        <v>0.986145094071463</v>
      </c>
      <c r="E1452" s="885">
        <v>0.98840187257810463</v>
      </c>
      <c r="F1452" s="885">
        <v>1.0289966825261938</v>
      </c>
      <c r="G1452" s="885">
        <v>1.0111813113962762</v>
      </c>
      <c r="H1452" s="885">
        <v>0.97327544244231345</v>
      </c>
      <c r="I1452" s="885">
        <v>0.95880242437898044</v>
      </c>
      <c r="K1452">
        <v>1.929640200068953</v>
      </c>
      <c r="L1452">
        <v>0</v>
      </c>
      <c r="M1452">
        <v>1.9816944923557417E-3</v>
      </c>
      <c r="N1452">
        <v>0.19255189286169491</v>
      </c>
      <c r="O1452">
        <v>2.558407824402081E-2</v>
      </c>
      <c r="P1452">
        <v>2.090495076671622E-2</v>
      </c>
      <c r="Q1452">
        <v>2.967723053261317E-3</v>
      </c>
      <c r="R1452">
        <v>1.9695521338768153E-3</v>
      </c>
      <c r="S1452">
        <v>0.19803279578320857</v>
      </c>
      <c r="T1452">
        <v>1.0594403189016934</v>
      </c>
      <c r="U1452">
        <v>3.7704601414401115E-2</v>
      </c>
      <c r="V1452">
        <v>0.2510232319441339</v>
      </c>
      <c r="W1452">
        <v>0.11601771810924842</v>
      </c>
      <c r="X1452">
        <v>2.0064559703324852E-2</v>
      </c>
      <c r="Y1452">
        <v>5.3604716457262514E-3</v>
      </c>
    </row>
    <row r="1453" spans="1:25" x14ac:dyDescent="0.25">
      <c r="A1453" s="881"/>
      <c r="B1453" s="1131">
        <v>1203</v>
      </c>
      <c r="C1453" s="885">
        <v>1.0065544148562846</v>
      </c>
      <c r="D1453" s="885">
        <v>1.0284174448032932</v>
      </c>
      <c r="E1453" s="885">
        <v>1.0113937667799131</v>
      </c>
      <c r="F1453" s="885">
        <v>0.9980571785242156</v>
      </c>
      <c r="G1453" s="885">
        <v>0.9875923335691581</v>
      </c>
      <c r="H1453" s="885">
        <v>0.99220768436668583</v>
      </c>
      <c r="I1453" s="885">
        <v>1.03125764969797</v>
      </c>
      <c r="K1453">
        <v>1.9283027363855092</v>
      </c>
      <c r="L1453">
        <v>0</v>
      </c>
      <c r="M1453">
        <v>1.8538842517288182E-3</v>
      </c>
      <c r="N1453">
        <v>0.19350965483482849</v>
      </c>
      <c r="O1453">
        <v>2.4641613283400834E-2</v>
      </c>
      <c r="P1453">
        <v>2.125405881432044E-2</v>
      </c>
      <c r="Q1453">
        <v>2.9337776026034015E-3</v>
      </c>
      <c r="R1453">
        <v>1.8427094096286865E-3</v>
      </c>
      <c r="S1453">
        <v>0.20740096345141162</v>
      </c>
      <c r="T1453">
        <v>1.0573282567640743</v>
      </c>
      <c r="U1453">
        <v>3.7077290656209072E-2</v>
      </c>
      <c r="V1453">
        <v>0.2434683159299415</v>
      </c>
      <c r="W1453">
        <v>0.11477472382691503</v>
      </c>
      <c r="X1453">
        <v>2.0910008499887205E-2</v>
      </c>
      <c r="Y1453">
        <v>5.0152475640156575E-3</v>
      </c>
    </row>
    <row r="1454" spans="1:25" x14ac:dyDescent="0.25">
      <c r="A1454" s="881"/>
      <c r="B1454" s="1131">
        <v>1204</v>
      </c>
      <c r="C1454" s="885">
        <v>1.0225209796853736</v>
      </c>
      <c r="D1454" s="885">
        <v>0.95547865245702324</v>
      </c>
      <c r="E1454" s="885">
        <v>1.0059879856283236</v>
      </c>
      <c r="F1454" s="885">
        <v>0.99331705742789589</v>
      </c>
      <c r="G1454" s="885">
        <v>1.0001324442867325</v>
      </c>
      <c r="H1454" s="885">
        <v>0.97813259096055605</v>
      </c>
      <c r="I1454" s="885">
        <v>0.98789900032868327</v>
      </c>
      <c r="K1454">
        <v>1.929751111199997</v>
      </c>
      <c r="L1454">
        <v>0</v>
      </c>
      <c r="M1454">
        <v>1.887181539543427E-3</v>
      </c>
      <c r="N1454">
        <v>0.19369132971962993</v>
      </c>
      <c r="O1454">
        <v>2.5157511948574286E-2</v>
      </c>
      <c r="P1454">
        <v>2.1173299543615597E-2</v>
      </c>
      <c r="Q1454">
        <v>2.963748895025045E-3</v>
      </c>
      <c r="R1454">
        <v>1.8757011963476443E-3</v>
      </c>
      <c r="S1454">
        <v>0.20089541932194416</v>
      </c>
      <c r="T1454">
        <v>1.0578229857944152</v>
      </c>
      <c r="U1454">
        <v>3.6498332398421977E-2</v>
      </c>
      <c r="V1454">
        <v>0.25036116267197833</v>
      </c>
      <c r="W1454">
        <v>0.11530562287671323</v>
      </c>
      <c r="X1454">
        <v>2.078813804114988E-2</v>
      </c>
      <c r="Y1454">
        <v>5.1050403317250883E-3</v>
      </c>
    </row>
    <row r="1455" spans="1:25" x14ac:dyDescent="0.25">
      <c r="A1455" s="881"/>
      <c r="B1455" s="1131">
        <v>1205</v>
      </c>
      <c r="C1455" s="885">
        <v>1.0005899725674758</v>
      </c>
      <c r="D1455" s="885">
        <v>0.983345898743061</v>
      </c>
      <c r="E1455" s="885">
        <v>1.0095704487586288</v>
      </c>
      <c r="F1455" s="885">
        <v>1.0315768274606523</v>
      </c>
      <c r="G1455" s="885">
        <v>0.9608693885878945</v>
      </c>
      <c r="H1455" s="885">
        <v>0.99101711064996567</v>
      </c>
      <c r="I1455" s="885">
        <v>0.99761292318645889</v>
      </c>
      <c r="K1455">
        <v>1.9427963836740498</v>
      </c>
      <c r="L1455">
        <v>0</v>
      </c>
      <c r="M1455">
        <v>1.9117501873426128E-3</v>
      </c>
      <c r="N1455">
        <v>0.19842414277112627</v>
      </c>
      <c r="O1455">
        <v>2.5344101316613604E-2</v>
      </c>
      <c r="P1455">
        <v>2.1297541882754577E-2</v>
      </c>
      <c r="Q1455">
        <v>3.0025491664572991E-3</v>
      </c>
      <c r="R1455">
        <v>1.9002483829380279E-3</v>
      </c>
      <c r="S1455">
        <v>0.20589999429359662</v>
      </c>
      <c r="T1455">
        <v>1.0574949966667662</v>
      </c>
      <c r="U1455">
        <v>3.7298305623785541E-2</v>
      </c>
      <c r="V1455">
        <v>0.24982817700450566</v>
      </c>
      <c r="W1455">
        <v>0.11783546133365909</v>
      </c>
      <c r="X1455">
        <v>2.121076573754185E-2</v>
      </c>
      <c r="Y1455">
        <v>5.1718496816462291E-3</v>
      </c>
    </row>
    <row r="1456" spans="1:25" x14ac:dyDescent="0.25">
      <c r="A1456" s="881"/>
      <c r="B1456" s="1131">
        <v>1206</v>
      </c>
      <c r="C1456" s="885">
        <v>1.0221033978867287</v>
      </c>
      <c r="D1456" s="885">
        <v>1.0319126945975188</v>
      </c>
      <c r="E1456" s="885">
        <v>0.98257920201865068</v>
      </c>
      <c r="F1456" s="885">
        <v>1.0147656368364169</v>
      </c>
      <c r="G1456" s="885">
        <v>0.98324558717976795</v>
      </c>
      <c r="H1456" s="885">
        <v>1.017038738261181</v>
      </c>
      <c r="I1456" s="885">
        <v>0.98720190535349361</v>
      </c>
      <c r="K1456">
        <v>1.9115647546518291</v>
      </c>
      <c r="L1456">
        <v>0</v>
      </c>
      <c r="M1456">
        <v>1.9850676352637076E-3</v>
      </c>
      <c r="N1456">
        <v>0.18946014312594658</v>
      </c>
      <c r="O1456">
        <v>2.4226192713558865E-2</v>
      </c>
      <c r="P1456">
        <v>2.0663346536904902E-2</v>
      </c>
      <c r="Q1456">
        <v>2.8024932735613317E-3</v>
      </c>
      <c r="R1456">
        <v>1.9733914774179052E-3</v>
      </c>
      <c r="S1456">
        <v>0.19760722173571241</v>
      </c>
      <c r="T1456">
        <v>1.0599784599672775</v>
      </c>
      <c r="U1456">
        <v>3.6513243844095732E-2</v>
      </c>
      <c r="V1456">
        <v>0.24098406052021268</v>
      </c>
      <c r="W1456">
        <v>0.11461522762162821</v>
      </c>
      <c r="X1456">
        <v>1.9355120397568051E-2</v>
      </c>
      <c r="Y1456">
        <v>5.3709210732058423E-3</v>
      </c>
    </row>
    <row r="1457" spans="1:25" x14ac:dyDescent="0.25">
      <c r="A1457" s="881"/>
      <c r="B1457" s="1131">
        <v>1207</v>
      </c>
      <c r="C1457" s="885">
        <v>0.98605330729354668</v>
      </c>
      <c r="D1457" s="885">
        <v>1.0301444389225174</v>
      </c>
      <c r="E1457" s="885">
        <v>0.99716654867406962</v>
      </c>
      <c r="F1457" s="885">
        <v>1.0056043046263599</v>
      </c>
      <c r="G1457" s="885">
        <v>0.99115322520560167</v>
      </c>
      <c r="H1457" s="885">
        <v>0.99547837850031917</v>
      </c>
      <c r="I1457" s="885">
        <v>0.98912471124954393</v>
      </c>
      <c r="K1457">
        <v>1.9328275974973681</v>
      </c>
      <c r="L1457">
        <v>0</v>
      </c>
      <c r="M1457">
        <v>1.9548366509671883E-3</v>
      </c>
      <c r="N1457">
        <v>0.1952189614886333</v>
      </c>
      <c r="O1457">
        <v>2.5133139437596142E-2</v>
      </c>
      <c r="P1457">
        <v>2.1037995373275175E-2</v>
      </c>
      <c r="Q1457">
        <v>2.9502499177981702E-3</v>
      </c>
      <c r="R1457">
        <v>1.9430906545737706E-3</v>
      </c>
      <c r="S1457">
        <v>0.20323487673150262</v>
      </c>
      <c r="T1457">
        <v>1.0586327573437913</v>
      </c>
      <c r="U1457">
        <v>3.7848167360597561E-2</v>
      </c>
      <c r="V1457">
        <v>0.24611465736450366</v>
      </c>
      <c r="W1457">
        <v>0.11691785014009311</v>
      </c>
      <c r="X1457">
        <v>2.0462236113882738E-2</v>
      </c>
      <c r="Y1457">
        <v>5.2884522220876711E-3</v>
      </c>
    </row>
    <row r="1458" spans="1:25" x14ac:dyDescent="0.25">
      <c r="A1458" s="881"/>
      <c r="B1458" s="1131">
        <v>1208</v>
      </c>
      <c r="C1458" s="885">
        <v>0.98240417011421788</v>
      </c>
      <c r="D1458" s="885">
        <v>0.96701948773673774</v>
      </c>
      <c r="E1458" s="885">
        <v>0.98988286755160415</v>
      </c>
      <c r="F1458" s="885">
        <v>1.0222516584082679</v>
      </c>
      <c r="G1458" s="885">
        <v>0.99724946359497901</v>
      </c>
      <c r="H1458" s="885">
        <v>1.0154699248852588</v>
      </c>
      <c r="I1458" s="885">
        <v>1.0176347075294485</v>
      </c>
      <c r="K1458">
        <v>1.9748761710684333</v>
      </c>
      <c r="L1458">
        <v>0</v>
      </c>
      <c r="M1458">
        <v>2.0969929641647543E-3</v>
      </c>
      <c r="N1458">
        <v>0.20475072901809324</v>
      </c>
      <c r="O1458">
        <v>2.602882323949993E-2</v>
      </c>
      <c r="P1458">
        <v>2.1252213315728023E-2</v>
      </c>
      <c r="Q1458">
        <v>3.0196695377276909E-3</v>
      </c>
      <c r="R1458">
        <v>2.0846949083961059E-3</v>
      </c>
      <c r="S1458">
        <v>0.21818276512860044</v>
      </c>
      <c r="T1458">
        <v>1.0593036529326456</v>
      </c>
      <c r="U1458">
        <v>3.7988754258420833E-2</v>
      </c>
      <c r="V1458">
        <v>0.25463993343817443</v>
      </c>
      <c r="W1458">
        <v>0.12324194223048773</v>
      </c>
      <c r="X1458">
        <v>2.0806133703661845E-2</v>
      </c>
      <c r="Y1458">
        <v>5.6738523211623416E-3</v>
      </c>
    </row>
    <row r="1459" spans="1:25" x14ac:dyDescent="0.25">
      <c r="A1459" s="881"/>
      <c r="B1459" s="1131">
        <v>1209</v>
      </c>
      <c r="C1459" s="885">
        <v>1.0323335029000686</v>
      </c>
      <c r="D1459" s="885">
        <v>1.0027516304032156</v>
      </c>
      <c r="E1459" s="885">
        <v>0.96281766885458242</v>
      </c>
      <c r="F1459" s="885">
        <v>1.0013952820578123</v>
      </c>
      <c r="G1459" s="885">
        <v>1.0016303542139635</v>
      </c>
      <c r="H1459" s="885">
        <v>1.0079091858661062</v>
      </c>
      <c r="I1459" s="885">
        <v>0.97369381070152927</v>
      </c>
      <c r="K1459">
        <v>1.9051297288126812</v>
      </c>
      <c r="L1459">
        <v>0</v>
      </c>
      <c r="M1459">
        <v>2.0590780944005397E-3</v>
      </c>
      <c r="N1459">
        <v>0.18477470773392293</v>
      </c>
      <c r="O1459">
        <v>2.4328084053439964E-2</v>
      </c>
      <c r="P1459">
        <v>2.0361045836847221E-2</v>
      </c>
      <c r="Q1459">
        <v>2.7526264283985204E-3</v>
      </c>
      <c r="R1459">
        <v>2.0468809734150808E-3</v>
      </c>
      <c r="S1459">
        <v>0.19465312720068151</v>
      </c>
      <c r="T1459">
        <v>1.0618146528420302</v>
      </c>
      <c r="U1459">
        <v>3.6151408915893329E-2</v>
      </c>
      <c r="V1459">
        <v>0.24304809542295847</v>
      </c>
      <c r="W1459">
        <v>0.11333208556285031</v>
      </c>
      <c r="X1459">
        <v>1.8355156681137914E-2</v>
      </c>
      <c r="Y1459">
        <v>5.5709352555043086E-3</v>
      </c>
    </row>
    <row r="1460" spans="1:25" x14ac:dyDescent="0.25">
      <c r="A1460" s="881"/>
      <c r="B1460" s="1131">
        <v>1210</v>
      </c>
      <c r="C1460" s="885">
        <v>0.99565163135745682</v>
      </c>
      <c r="D1460" s="885">
        <v>0.99919963644449428</v>
      </c>
      <c r="E1460" s="885">
        <v>1.0003873150437825</v>
      </c>
      <c r="F1460" s="885">
        <v>0.99272014553713372</v>
      </c>
      <c r="G1460" s="885">
        <v>1.0452752125499487</v>
      </c>
      <c r="H1460" s="885">
        <v>1.012962882765454</v>
      </c>
      <c r="I1460" s="885">
        <v>1.0052263203854268</v>
      </c>
      <c r="K1460">
        <v>1.9493726537787592</v>
      </c>
      <c r="L1460">
        <v>0</v>
      </c>
      <c r="M1460">
        <v>1.9863604832416702E-3</v>
      </c>
      <c r="N1460">
        <v>0.20038832343422583</v>
      </c>
      <c r="O1460">
        <v>2.5268720630126969E-2</v>
      </c>
      <c r="P1460">
        <v>2.1194228777000192E-2</v>
      </c>
      <c r="Q1460">
        <v>2.969509680289464E-3</v>
      </c>
      <c r="R1460">
        <v>1.9746556910872574E-3</v>
      </c>
      <c r="S1460">
        <v>0.20921683451063247</v>
      </c>
      <c r="T1460">
        <v>1.058336752844099</v>
      </c>
      <c r="U1460">
        <v>3.7483301815148889E-2</v>
      </c>
      <c r="V1460">
        <v>0.24852492962235487</v>
      </c>
      <c r="W1460">
        <v>0.11974939472040026</v>
      </c>
      <c r="X1460">
        <v>2.0878000690568426E-2</v>
      </c>
      <c r="Y1460">
        <v>5.3743618460658929E-3</v>
      </c>
    </row>
    <row r="1461" spans="1:25" x14ac:dyDescent="0.25">
      <c r="A1461" s="881"/>
      <c r="B1461" s="1131">
        <v>1211</v>
      </c>
      <c r="C1461" s="885">
        <v>1.0134029254220052</v>
      </c>
      <c r="D1461" s="885">
        <v>1.0288429752396366</v>
      </c>
      <c r="E1461" s="885">
        <v>1.0396290842335492</v>
      </c>
      <c r="F1461" s="885">
        <v>0.99911193151285183</v>
      </c>
      <c r="G1461" s="885">
        <v>0.99859178533252679</v>
      </c>
      <c r="H1461" s="885">
        <v>1.008981374225514</v>
      </c>
      <c r="I1461" s="885">
        <v>1.0095563846659046</v>
      </c>
      <c r="K1461">
        <v>1.9315406003796429</v>
      </c>
      <c r="L1461">
        <v>0</v>
      </c>
      <c r="M1461">
        <v>1.7636232390672111E-3</v>
      </c>
      <c r="N1461">
        <v>0.200977491972964</v>
      </c>
      <c r="O1461">
        <v>2.4470095069156018E-2</v>
      </c>
      <c r="P1461">
        <v>2.1585449697041157E-2</v>
      </c>
      <c r="Q1461">
        <v>2.9961254727519705E-3</v>
      </c>
      <c r="R1461">
        <v>1.7531689061640984E-3</v>
      </c>
      <c r="S1461">
        <v>0.20329376770049895</v>
      </c>
      <c r="T1461">
        <v>1.0547627660778398</v>
      </c>
      <c r="U1461">
        <v>3.6826724755482453E-2</v>
      </c>
      <c r="V1461">
        <v>0.24249101991446984</v>
      </c>
      <c r="W1461">
        <v>0.11696286738429347</v>
      </c>
      <c r="X1461">
        <v>2.2413198837443235E-2</v>
      </c>
      <c r="Y1461">
        <v>4.7715478306040813E-3</v>
      </c>
    </row>
    <row r="1462" spans="1:25" x14ac:dyDescent="0.25">
      <c r="A1462" s="881"/>
      <c r="B1462" s="1131">
        <v>1212</v>
      </c>
      <c r="C1462" s="885">
        <v>0.98470426683941625</v>
      </c>
      <c r="D1462" s="885">
        <v>1.0351758247310634</v>
      </c>
      <c r="E1462" s="885">
        <v>0.99334634842322944</v>
      </c>
      <c r="F1462" s="885">
        <v>0.99606998763487964</v>
      </c>
      <c r="G1462" s="885">
        <v>0.99071065748196074</v>
      </c>
      <c r="H1462" s="885">
        <v>1.0014051256498659</v>
      </c>
      <c r="I1462" s="885">
        <v>1.0257326453896791</v>
      </c>
      <c r="K1462">
        <v>1.9413750243791064</v>
      </c>
      <c r="L1462">
        <v>0</v>
      </c>
      <c r="M1462">
        <v>1.9803068424770901E-3</v>
      </c>
      <c r="N1462">
        <v>0.19543180731480642</v>
      </c>
      <c r="O1462">
        <v>2.5107215253218362E-2</v>
      </c>
      <c r="P1462">
        <v>2.108582593989403E-2</v>
      </c>
      <c r="Q1462">
        <v>2.9368649347972947E-3</v>
      </c>
      <c r="R1462">
        <v>1.9684742893327006E-3</v>
      </c>
      <c r="S1462">
        <v>0.21119040456855545</v>
      </c>
      <c r="T1462">
        <v>1.0589843763846964</v>
      </c>
      <c r="U1462">
        <v>3.7900019181091892E-2</v>
      </c>
      <c r="V1462">
        <v>0.24570708880531619</v>
      </c>
      <c r="W1462">
        <v>0.11735269270646422</v>
      </c>
      <c r="X1462">
        <v>2.0333023735220244E-2</v>
      </c>
      <c r="Y1462">
        <v>5.3575381081885313E-3</v>
      </c>
    </row>
    <row r="1463" spans="1:25" x14ac:dyDescent="0.25">
      <c r="A1463" s="881"/>
      <c r="B1463" s="1131">
        <v>1213</v>
      </c>
      <c r="C1463" s="885">
        <v>0.95844287580709364</v>
      </c>
      <c r="D1463" s="885">
        <v>0.97834223768957551</v>
      </c>
      <c r="E1463" s="885">
        <v>0.99220885549193638</v>
      </c>
      <c r="F1463" s="885">
        <v>0.99555721159980859</v>
      </c>
      <c r="G1463" s="885">
        <v>1.0113490656315234</v>
      </c>
      <c r="H1463" s="885">
        <v>1.0356449326737827</v>
      </c>
      <c r="I1463" s="885">
        <v>0.97008816774652606</v>
      </c>
      <c r="K1463">
        <v>1.9885748168600021</v>
      </c>
      <c r="L1463">
        <v>0</v>
      </c>
      <c r="M1463">
        <v>2.1688545058162088E-3</v>
      </c>
      <c r="N1463">
        <v>0.21332982374889667</v>
      </c>
      <c r="O1463">
        <v>2.6525672696379309E-2</v>
      </c>
      <c r="P1463">
        <v>2.1273648207017076E-2</v>
      </c>
      <c r="Q1463">
        <v>3.0870841608924564E-3</v>
      </c>
      <c r="R1463">
        <v>2.1563726060049274E-3</v>
      </c>
      <c r="S1463">
        <v>0.21413598351118865</v>
      </c>
      <c r="T1463">
        <v>1.0590891832685598</v>
      </c>
      <c r="U1463">
        <v>3.8938481930380991E-2</v>
      </c>
      <c r="V1463">
        <v>0.25678790299186682</v>
      </c>
      <c r="W1463">
        <v>0.12820032194009334</v>
      </c>
      <c r="X1463">
        <v>2.1350260919028564E-2</v>
      </c>
      <c r="Y1463">
        <v>5.8689353855068864E-3</v>
      </c>
    </row>
    <row r="1464" spans="1:25" x14ac:dyDescent="0.25">
      <c r="A1464" s="881"/>
      <c r="B1464" s="1131">
        <v>1214</v>
      </c>
      <c r="C1464" s="885">
        <v>0.9963289378217175</v>
      </c>
      <c r="D1464" s="885">
        <v>1.0339259673321546</v>
      </c>
      <c r="E1464" s="885">
        <v>1.0071158250930583</v>
      </c>
      <c r="F1464" s="885">
        <v>1.0068083208472678</v>
      </c>
      <c r="G1464" s="885">
        <v>1.0261938396799781</v>
      </c>
      <c r="H1464" s="885">
        <v>1.0058849363802291</v>
      </c>
      <c r="I1464" s="885">
        <v>0.99182855705327677</v>
      </c>
      <c r="K1464">
        <v>1.9306807915194739</v>
      </c>
      <c r="L1464">
        <v>0</v>
      </c>
      <c r="M1464">
        <v>1.910902024044356E-3</v>
      </c>
      <c r="N1464">
        <v>0.19684172981257486</v>
      </c>
      <c r="O1464">
        <v>2.4829050899002725E-2</v>
      </c>
      <c r="P1464">
        <v>2.113906246375619E-2</v>
      </c>
      <c r="Q1464">
        <v>2.9445555166837897E-3</v>
      </c>
      <c r="R1464">
        <v>1.8995359603615233E-3</v>
      </c>
      <c r="S1464">
        <v>0.20238255140176795</v>
      </c>
      <c r="T1464">
        <v>1.0577196734861549</v>
      </c>
      <c r="U1464">
        <v>3.7457820589363422E-2</v>
      </c>
      <c r="V1464">
        <v>0.24423057048543101</v>
      </c>
      <c r="W1464">
        <v>0.11709109183480305</v>
      </c>
      <c r="X1464">
        <v>2.0886140391373913E-2</v>
      </c>
      <c r="Y1464">
        <v>5.1699107022430248E-3</v>
      </c>
    </row>
    <row r="1465" spans="1:25" x14ac:dyDescent="0.25">
      <c r="A1465" s="881"/>
      <c r="B1465" s="1131">
        <v>1215</v>
      </c>
      <c r="C1465" s="885">
        <v>0.96727970389407891</v>
      </c>
      <c r="D1465" s="885">
        <v>1.0037894318672569</v>
      </c>
      <c r="E1465" s="885">
        <v>1.0261937205460938</v>
      </c>
      <c r="F1465" s="885">
        <v>1.0385892576174616</v>
      </c>
      <c r="G1465" s="885">
        <v>0.97637175175021484</v>
      </c>
      <c r="H1465" s="885">
        <v>0.98956547064129952</v>
      </c>
      <c r="I1465" s="885">
        <v>1.01355266936566</v>
      </c>
      <c r="K1465">
        <v>1.9666117697318855</v>
      </c>
      <c r="L1465">
        <v>0</v>
      </c>
      <c r="M1465">
        <v>1.887251740406761E-3</v>
      </c>
      <c r="N1465">
        <v>0.20626057042431609</v>
      </c>
      <c r="O1465">
        <v>2.5950969273240074E-2</v>
      </c>
      <c r="P1465">
        <v>2.170307907218506E-2</v>
      </c>
      <c r="Q1465">
        <v>3.1302360258398309E-3</v>
      </c>
      <c r="R1465">
        <v>1.8758643999909699E-3</v>
      </c>
      <c r="S1465">
        <v>0.21420437448729077</v>
      </c>
      <c r="T1465">
        <v>1.0559796272277964</v>
      </c>
      <c r="U1465">
        <v>3.8582749592152785E-2</v>
      </c>
      <c r="V1465">
        <v>0.25209686448317736</v>
      </c>
      <c r="W1465">
        <v>0.12112087749236421</v>
      </c>
      <c r="X1465">
        <v>2.2488324475694075E-2</v>
      </c>
      <c r="Y1465">
        <v>5.1054845182421571E-3</v>
      </c>
    </row>
    <row r="1466" spans="1:25" x14ac:dyDescent="0.25">
      <c r="A1466" s="881"/>
      <c r="B1466" s="1131">
        <v>1216</v>
      </c>
      <c r="C1466" s="885">
        <v>1.0276485948558034</v>
      </c>
      <c r="D1466" s="885">
        <v>0.97009085222193581</v>
      </c>
      <c r="E1466" s="885">
        <v>1.0018113691700086</v>
      </c>
      <c r="F1466" s="885">
        <v>0.99576126867204828</v>
      </c>
      <c r="G1466" s="885">
        <v>1.012348896254841</v>
      </c>
      <c r="H1466" s="885">
        <v>0.97584967132670031</v>
      </c>
      <c r="I1466" s="885">
        <v>0.98687859535873335</v>
      </c>
      <c r="K1466">
        <v>1.918028278868259</v>
      </c>
      <c r="L1466">
        <v>0</v>
      </c>
      <c r="M1466">
        <v>1.8757353137644939E-3</v>
      </c>
      <c r="N1466">
        <v>0.19002792645386204</v>
      </c>
      <c r="O1466">
        <v>2.4843648801308075E-2</v>
      </c>
      <c r="P1466">
        <v>2.1035896919316052E-2</v>
      </c>
      <c r="Q1466">
        <v>2.917675164095225E-3</v>
      </c>
      <c r="R1466">
        <v>1.8642856703344601E-3</v>
      </c>
      <c r="S1466">
        <v>0.19806828962941975</v>
      </c>
      <c r="T1466">
        <v>1.0582060039915955</v>
      </c>
      <c r="U1466">
        <v>3.631621819728522E-2</v>
      </c>
      <c r="V1466">
        <v>0.24773829608824854</v>
      </c>
      <c r="W1466">
        <v>0.11344764745365384</v>
      </c>
      <c r="X1466">
        <v>2.0364154779859329E-2</v>
      </c>
      <c r="Y1466">
        <v>5.0739710330443425E-3</v>
      </c>
    </row>
    <row r="1467" spans="1:25" x14ac:dyDescent="0.25">
      <c r="A1467" s="881"/>
      <c r="B1467" s="1131">
        <v>1217</v>
      </c>
      <c r="C1467" s="885">
        <v>1.0244807021487119</v>
      </c>
      <c r="D1467" s="885">
        <v>0.96463116661856163</v>
      </c>
      <c r="E1467" s="885">
        <v>0.99117158789106385</v>
      </c>
      <c r="F1467" s="885">
        <v>0.98873748603028155</v>
      </c>
      <c r="G1467" s="885">
        <v>0.97146934236217719</v>
      </c>
      <c r="H1467" s="885">
        <v>0.98431419188192648</v>
      </c>
      <c r="I1467" s="885">
        <v>1.006269878969678</v>
      </c>
      <c r="K1467">
        <v>1.9280764202474872</v>
      </c>
      <c r="L1467">
        <v>0</v>
      </c>
      <c r="M1467">
        <v>1.9462868813808819E-3</v>
      </c>
      <c r="N1467">
        <v>0.19076432512864647</v>
      </c>
      <c r="O1467">
        <v>2.4990509224001495E-2</v>
      </c>
      <c r="P1467">
        <v>2.0979303794623361E-2</v>
      </c>
      <c r="Q1467">
        <v>2.9024819011117639E-3</v>
      </c>
      <c r="R1467">
        <v>1.9345134217670884E-3</v>
      </c>
      <c r="S1467">
        <v>0.20396884008905489</v>
      </c>
      <c r="T1467">
        <v>1.0591847994078101</v>
      </c>
      <c r="U1467">
        <v>3.6428514976067902E-2</v>
      </c>
      <c r="V1467">
        <v>0.24888279147262268</v>
      </c>
      <c r="W1467">
        <v>0.11472147814177489</v>
      </c>
      <c r="X1467">
        <v>2.0000041749512979E-2</v>
      </c>
      <c r="Y1467">
        <v>5.2651078218719184E-3</v>
      </c>
    </row>
    <row r="1468" spans="1:25" x14ac:dyDescent="0.25">
      <c r="A1468" s="881"/>
      <c r="B1468" s="1131">
        <v>1218</v>
      </c>
      <c r="C1468" s="885">
        <v>1.0239583554756038</v>
      </c>
      <c r="D1468" s="885">
        <v>1.0055495283919167</v>
      </c>
      <c r="E1468" s="885">
        <v>1.0012196167864702</v>
      </c>
      <c r="F1468" s="885">
        <v>0.98997866201725082</v>
      </c>
      <c r="G1468" s="885">
        <v>0.97452907603594396</v>
      </c>
      <c r="H1468" s="885">
        <v>0.99434149171463393</v>
      </c>
      <c r="I1468" s="885">
        <v>1.0129065282392051</v>
      </c>
      <c r="K1468">
        <v>1.9196426875053227</v>
      </c>
      <c r="L1468">
        <v>0</v>
      </c>
      <c r="M1468">
        <v>1.8867035504741886E-3</v>
      </c>
      <c r="N1468">
        <v>0.190806487572001</v>
      </c>
      <c r="O1468">
        <v>2.4493282606225096E-2</v>
      </c>
      <c r="P1468">
        <v>2.103676778381788E-2</v>
      </c>
      <c r="Q1468">
        <v>2.8820615315220278E-3</v>
      </c>
      <c r="R1468">
        <v>1.8753728248900542E-3</v>
      </c>
      <c r="S1468">
        <v>0.20253304450035206</v>
      </c>
      <c r="T1468">
        <v>1.0582603258602152</v>
      </c>
      <c r="U1468">
        <v>3.6447098069317958E-2</v>
      </c>
      <c r="V1468">
        <v>0.24383110960858506</v>
      </c>
      <c r="W1468">
        <v>0.11395853627541364</v>
      </c>
      <c r="X1468">
        <v>2.0301157810592801E-2</v>
      </c>
      <c r="Y1468">
        <v>5.1041466128651522E-3</v>
      </c>
    </row>
    <row r="1469" spans="1:25" x14ac:dyDescent="0.25">
      <c r="A1469" s="881"/>
      <c r="B1469" s="1131">
        <v>1219</v>
      </c>
      <c r="C1469" s="885">
        <v>1.0137080387290358</v>
      </c>
      <c r="D1469" s="885">
        <v>0.99941850476194172</v>
      </c>
      <c r="E1469" s="885">
        <v>0.9666797575106324</v>
      </c>
      <c r="F1469" s="885">
        <v>0.98139062880641459</v>
      </c>
      <c r="G1469" s="885">
        <v>1.006566575294769</v>
      </c>
      <c r="H1469" s="885">
        <v>1.0425689040283055</v>
      </c>
      <c r="I1469" s="885">
        <v>1.0100362205794633</v>
      </c>
      <c r="K1469">
        <v>1.9424063247593801</v>
      </c>
      <c r="L1469">
        <v>0</v>
      </c>
      <c r="M1469">
        <v>2.1550920620794674E-3</v>
      </c>
      <c r="N1469">
        <v>0.19577354853170237</v>
      </c>
      <c r="O1469">
        <v>2.4815937429537596E-2</v>
      </c>
      <c r="P1469">
        <v>2.0661457084517151E-2</v>
      </c>
      <c r="Q1469">
        <v>2.8183092502478547E-3</v>
      </c>
      <c r="R1469">
        <v>2.1427534353890914E-3</v>
      </c>
      <c r="S1469">
        <v>0.20943881565395173</v>
      </c>
      <c r="T1469">
        <v>1.0614546092210226</v>
      </c>
      <c r="U1469">
        <v>3.6815640376797541E-2</v>
      </c>
      <c r="V1469">
        <v>0.24597114291176694</v>
      </c>
      <c r="W1469">
        <v>0.11975343030506101</v>
      </c>
      <c r="X1469">
        <v>1.908390412881469E-2</v>
      </c>
      <c r="Y1469">
        <v>5.8318684926489681E-3</v>
      </c>
    </row>
    <row r="1470" spans="1:25" x14ac:dyDescent="0.25">
      <c r="A1470" s="881"/>
      <c r="B1470" s="1131">
        <v>1220</v>
      </c>
      <c r="C1470" s="885">
        <v>0.99558391451688311</v>
      </c>
      <c r="D1470" s="885">
        <v>0.97587933182064313</v>
      </c>
      <c r="E1470" s="885">
        <v>1.0330715012864282</v>
      </c>
      <c r="F1470" s="885">
        <v>0.99631640424065859</v>
      </c>
      <c r="G1470" s="885">
        <v>1.0119963721176284</v>
      </c>
      <c r="H1470" s="885">
        <v>1.0146046284212416</v>
      </c>
      <c r="I1470" s="885">
        <v>1.019579406662614</v>
      </c>
      <c r="K1470">
        <v>1.9699250790251375</v>
      </c>
      <c r="L1470">
        <v>0</v>
      </c>
      <c r="M1470">
        <v>1.8788977238170213E-3</v>
      </c>
      <c r="N1470">
        <v>0.2098128579524553</v>
      </c>
      <c r="O1470">
        <v>2.556809479532637E-2</v>
      </c>
      <c r="P1470">
        <v>2.178680516840743E-2</v>
      </c>
      <c r="Q1470">
        <v>3.098975131511853E-3</v>
      </c>
      <c r="R1470">
        <v>1.8678622539595505E-3</v>
      </c>
      <c r="S1470">
        <v>0.21470947052452405</v>
      </c>
      <c r="T1470">
        <v>1.0553558129723339</v>
      </c>
      <c r="U1470">
        <v>3.7485851324774479E-2</v>
      </c>
      <c r="V1470">
        <v>0.25152085626107945</v>
      </c>
      <c r="W1470">
        <v>0.12264017403866838</v>
      </c>
      <c r="X1470">
        <v>2.2873511011263316E-2</v>
      </c>
      <c r="Y1470">
        <v>5.083705314651364E-3</v>
      </c>
    </row>
    <row r="1471" spans="1:25" x14ac:dyDescent="0.25">
      <c r="A1471" s="881"/>
      <c r="B1471" s="1131">
        <v>1221</v>
      </c>
      <c r="C1471" s="885">
        <v>0.9954701575872853</v>
      </c>
      <c r="D1471" s="885">
        <v>0.99233350078543447</v>
      </c>
      <c r="E1471" s="885">
        <v>1.0014077421058434</v>
      </c>
      <c r="F1471" s="885">
        <v>0.97990851264943035</v>
      </c>
      <c r="G1471" s="885">
        <v>1.0191360467280841</v>
      </c>
      <c r="H1471" s="885">
        <v>0.96445891103667702</v>
      </c>
      <c r="I1471" s="885">
        <v>0.97743509180796195</v>
      </c>
      <c r="K1471">
        <v>1.9255570593812896</v>
      </c>
      <c r="L1471">
        <v>0</v>
      </c>
      <c r="M1471">
        <v>1.8939824701458537E-3</v>
      </c>
      <c r="N1471">
        <v>0.19161996533236272</v>
      </c>
      <c r="O1471">
        <v>2.5359786849930323E-2</v>
      </c>
      <c r="P1471">
        <v>2.1085546226372789E-2</v>
      </c>
      <c r="Q1471">
        <v>2.9818320848507955E-3</v>
      </c>
      <c r="R1471">
        <v>1.8822663586006377E-3</v>
      </c>
      <c r="S1471">
        <v>0.19927753192085393</v>
      </c>
      <c r="T1471">
        <v>1.0582430547944666</v>
      </c>
      <c r="U1471">
        <v>3.7490135004518726E-2</v>
      </c>
      <c r="V1471">
        <v>0.24941522308486649</v>
      </c>
      <c r="W1471">
        <v>0.11442966596702485</v>
      </c>
      <c r="X1471">
        <v>2.0543125688415462E-2</v>
      </c>
      <c r="Y1471">
        <v>5.122908539172584E-3</v>
      </c>
    </row>
    <row r="1472" spans="1:25" x14ac:dyDescent="0.25">
      <c r="A1472" s="881"/>
      <c r="B1472" s="1131">
        <v>1222</v>
      </c>
      <c r="C1472" s="885">
        <v>1.0228864703856291</v>
      </c>
      <c r="D1472" s="885">
        <v>0.97059275588165195</v>
      </c>
      <c r="E1472" s="885">
        <v>1.0175994761467324</v>
      </c>
      <c r="F1472" s="885">
        <v>0.99269406872930099</v>
      </c>
      <c r="G1472" s="885">
        <v>0.99147848896260737</v>
      </c>
      <c r="H1472" s="885">
        <v>0.99830323856982217</v>
      </c>
      <c r="I1472" s="885">
        <v>0.96781654426347619</v>
      </c>
      <c r="K1472">
        <v>1.9300747515145156</v>
      </c>
      <c r="L1472">
        <v>0</v>
      </c>
      <c r="M1472">
        <v>1.8642129178974671E-3</v>
      </c>
      <c r="N1472">
        <v>0.19838913089997418</v>
      </c>
      <c r="O1472">
        <v>2.4952894021034209E-2</v>
      </c>
      <c r="P1472">
        <v>2.1262744044400698E-2</v>
      </c>
      <c r="Q1472">
        <v>2.9772390374931982E-3</v>
      </c>
      <c r="R1472">
        <v>1.8530891445013413E-3</v>
      </c>
      <c r="S1472">
        <v>0.19728231460438722</v>
      </c>
      <c r="T1472">
        <v>1.0567617260612152</v>
      </c>
      <c r="U1472">
        <v>3.6485291067391949E-2</v>
      </c>
      <c r="V1472">
        <v>0.24832973664145203</v>
      </c>
      <c r="W1472">
        <v>0.11717525970066864</v>
      </c>
      <c r="X1472">
        <v>2.1426041429233416E-2</v>
      </c>
      <c r="Y1472">
        <v>5.0434977806603403E-3</v>
      </c>
    </row>
    <row r="1473" spans="1:25" x14ac:dyDescent="0.25">
      <c r="A1473" s="881"/>
      <c r="B1473" s="1131">
        <v>1223</v>
      </c>
      <c r="C1473" s="885">
        <v>1.0066548740221817</v>
      </c>
      <c r="D1473" s="885">
        <v>0.98780771238796938</v>
      </c>
      <c r="E1473" s="885">
        <v>1.0038907062779896</v>
      </c>
      <c r="F1473" s="885">
        <v>0.97424303307634252</v>
      </c>
      <c r="G1473" s="885">
        <v>0.97038058068297683</v>
      </c>
      <c r="H1473" s="885">
        <v>0.99610878594796348</v>
      </c>
      <c r="I1473" s="885">
        <v>0.99149462676649769</v>
      </c>
      <c r="K1473">
        <v>1.9361977866884525</v>
      </c>
      <c r="L1473">
        <v>0</v>
      </c>
      <c r="M1473">
        <v>1.9286703840248923E-3</v>
      </c>
      <c r="N1473">
        <v>0.19668158507150715</v>
      </c>
      <c r="O1473">
        <v>2.5134906786190563E-2</v>
      </c>
      <c r="P1473">
        <v>2.1159483190164152E-2</v>
      </c>
      <c r="Q1473">
        <v>2.9618168421212889E-3</v>
      </c>
      <c r="R1473">
        <v>1.9171224487061439E-3</v>
      </c>
      <c r="S1473">
        <v>0.20349188282641842</v>
      </c>
      <c r="T1473">
        <v>1.0580152325882484</v>
      </c>
      <c r="U1473">
        <v>3.7073590526413625E-2</v>
      </c>
      <c r="V1473">
        <v>0.24839649779116738</v>
      </c>
      <c r="W1473">
        <v>0.11725330495978602</v>
      </c>
      <c r="X1473">
        <v>2.0823258715621788E-2</v>
      </c>
      <c r="Y1473">
        <v>5.2177753261327562E-3</v>
      </c>
    </row>
    <row r="1474" spans="1:25" x14ac:dyDescent="0.25">
      <c r="A1474" s="881"/>
      <c r="B1474" s="1131">
        <v>1224</v>
      </c>
      <c r="C1474" s="885">
        <v>0.99965595121218231</v>
      </c>
      <c r="D1474" s="885">
        <v>1.0028851132869125</v>
      </c>
      <c r="E1474" s="885">
        <v>0.98389494945353728</v>
      </c>
      <c r="F1474" s="885">
        <v>0.98586378144631326</v>
      </c>
      <c r="G1474" s="885">
        <v>1.0021590535127387</v>
      </c>
      <c r="H1474" s="885">
        <v>0.98210800969733625</v>
      </c>
      <c r="I1474" s="885">
        <v>1.0115554740515822</v>
      </c>
      <c r="K1474">
        <v>1.9295549597185053</v>
      </c>
      <c r="L1474">
        <v>0</v>
      </c>
      <c r="M1474">
        <v>1.9822358468130036E-3</v>
      </c>
      <c r="N1474">
        <v>0.18992916498650325</v>
      </c>
      <c r="O1474">
        <v>2.5121685274956177E-2</v>
      </c>
      <c r="P1474">
        <v>2.0896785132597795E-2</v>
      </c>
      <c r="Q1474">
        <v>2.904227133552025E-3</v>
      </c>
      <c r="R1474">
        <v>1.970185321200755E-3</v>
      </c>
      <c r="S1474">
        <v>0.20618138111584691</v>
      </c>
      <c r="T1474">
        <v>1.0598567412381312</v>
      </c>
      <c r="U1474">
        <v>3.7333155027649528E-2</v>
      </c>
      <c r="V1474">
        <v>0.24749549959546821</v>
      </c>
      <c r="W1474">
        <v>0.11479435038323615</v>
      </c>
      <c r="X1474">
        <v>1.9691825383284487E-2</v>
      </c>
      <c r="Y1474">
        <v>5.3621949728918693E-3</v>
      </c>
    </row>
    <row r="1475" spans="1:25" x14ac:dyDescent="0.25">
      <c r="A1475" s="881"/>
      <c r="B1475" s="1131">
        <v>1225</v>
      </c>
      <c r="C1475" s="885">
        <v>0.98703449548512878</v>
      </c>
      <c r="D1475" s="885">
        <v>0.9922567882853327</v>
      </c>
      <c r="E1475" s="885">
        <v>1.01058563365701</v>
      </c>
      <c r="F1475" s="885">
        <v>0.99536736947953042</v>
      </c>
      <c r="G1475" s="885">
        <v>1.004751580973251</v>
      </c>
      <c r="H1475" s="885">
        <v>1.0309178300576098</v>
      </c>
      <c r="I1475" s="885">
        <v>1.0172579320031927</v>
      </c>
      <c r="K1475">
        <v>1.9716249013851719</v>
      </c>
      <c r="L1475">
        <v>0</v>
      </c>
      <c r="M1475">
        <v>2.0027512433529629E-3</v>
      </c>
      <c r="N1475">
        <v>0.20857447272957261</v>
      </c>
      <c r="O1475">
        <v>2.5577503343881702E-2</v>
      </c>
      <c r="P1475">
        <v>2.1471280037499665E-2</v>
      </c>
      <c r="Q1475">
        <v>3.0351955675133767E-3</v>
      </c>
      <c r="R1475">
        <v>1.991161017539515E-3</v>
      </c>
      <c r="S1475">
        <v>0.21613473435458014</v>
      </c>
      <c r="T1475">
        <v>1.0574021434054914</v>
      </c>
      <c r="U1475">
        <v>3.7810543371712545E-2</v>
      </c>
      <c r="V1475">
        <v>0.25064156108439728</v>
      </c>
      <c r="W1475">
        <v>0.12377789312140218</v>
      </c>
      <c r="X1475">
        <v>2.1791880691244096E-2</v>
      </c>
      <c r="Y1475">
        <v>5.4192839036895351E-3</v>
      </c>
    </row>
    <row r="1476" spans="1:25" x14ac:dyDescent="0.25">
      <c r="A1476" s="881"/>
      <c r="B1476" s="1131">
        <v>1226</v>
      </c>
      <c r="C1476" s="885">
        <v>1.0261070329470183</v>
      </c>
      <c r="D1476" s="885">
        <v>0.99645358287318975</v>
      </c>
      <c r="E1476" s="885">
        <v>1.0144791260822128</v>
      </c>
      <c r="F1476" s="885">
        <v>1.0011684371541649</v>
      </c>
      <c r="G1476" s="885">
        <v>1.0171250269031162</v>
      </c>
      <c r="H1476" s="885">
        <v>0.99941068921569809</v>
      </c>
      <c r="I1476" s="885">
        <v>1.0352264510519769</v>
      </c>
      <c r="K1476">
        <v>1.9309941842520231</v>
      </c>
      <c r="L1476">
        <v>0</v>
      </c>
      <c r="M1476">
        <v>1.8484662945185365E-3</v>
      </c>
      <c r="N1476">
        <v>0.19481436647386763</v>
      </c>
      <c r="O1476">
        <v>2.4552164700253207E-2</v>
      </c>
      <c r="P1476">
        <v>2.1312627854105388E-2</v>
      </c>
      <c r="Q1476">
        <v>2.9257308248982279E-3</v>
      </c>
      <c r="R1476">
        <v>1.8374284615582097E-3</v>
      </c>
      <c r="S1476">
        <v>0.2079441573773618</v>
      </c>
      <c r="T1476">
        <v>1.0570464005784859</v>
      </c>
      <c r="U1476">
        <v>3.6370777514048963E-2</v>
      </c>
      <c r="V1476">
        <v>0.24464820641814014</v>
      </c>
      <c r="W1476">
        <v>0.11530708056172048</v>
      </c>
      <c r="X1476">
        <v>2.1082835217868197E-2</v>
      </c>
      <c r="Y1476">
        <v>5.0008745642318815E-3</v>
      </c>
    </row>
    <row r="1477" spans="1:25" x14ac:dyDescent="0.25">
      <c r="A1477" s="881"/>
      <c r="B1477" s="1131">
        <v>1227</v>
      </c>
      <c r="C1477" s="885">
        <v>0.99061942102707556</v>
      </c>
      <c r="D1477" s="885">
        <v>1.01438754427593</v>
      </c>
      <c r="E1477" s="885">
        <v>0.96582034477163636</v>
      </c>
      <c r="F1477" s="885">
        <v>0.99388264216685329</v>
      </c>
      <c r="G1477" s="885">
        <v>1.0390864452687416</v>
      </c>
      <c r="H1477" s="885">
        <v>1.0255178510044365</v>
      </c>
      <c r="I1477" s="885">
        <v>0.97882623458417606</v>
      </c>
      <c r="K1477">
        <v>1.9398154235290446</v>
      </c>
      <c r="L1477">
        <v>0</v>
      </c>
      <c r="M1477">
        <v>2.1572572273148029E-3</v>
      </c>
      <c r="N1477">
        <v>0.19542576799278996</v>
      </c>
      <c r="O1477">
        <v>2.5208316066192508E-2</v>
      </c>
      <c r="P1477">
        <v>2.0614299605532998E-2</v>
      </c>
      <c r="Q1477">
        <v>2.8633092428684758E-3</v>
      </c>
      <c r="R1477">
        <v>2.1446879435913177E-3</v>
      </c>
      <c r="S1477">
        <v>0.20459126160757166</v>
      </c>
      <c r="T1477">
        <v>1.0615346782181994</v>
      </c>
      <c r="U1477">
        <v>3.7673711829940858E-2</v>
      </c>
      <c r="V1477">
        <v>0.2473618798688331</v>
      </c>
      <c r="W1477">
        <v>0.11961269635230493</v>
      </c>
      <c r="X1477">
        <v>1.9104938442268651E-2</v>
      </c>
      <c r="Y1477">
        <v>5.8371335862649702E-3</v>
      </c>
    </row>
    <row r="1478" spans="1:25" x14ac:dyDescent="0.25">
      <c r="A1478" s="881"/>
      <c r="B1478" s="1131">
        <v>1228</v>
      </c>
      <c r="C1478" s="885">
        <v>0.97163380018897039</v>
      </c>
      <c r="D1478" s="885">
        <v>0.99498581190564284</v>
      </c>
      <c r="E1478" s="885">
        <v>1.0077766095860705</v>
      </c>
      <c r="F1478" s="885">
        <v>1.0240699464178511</v>
      </c>
      <c r="G1478" s="885">
        <v>0.98918393896026535</v>
      </c>
      <c r="H1478" s="885">
        <v>0.96326959658119415</v>
      </c>
      <c r="I1478" s="885">
        <v>1.0132910211796624</v>
      </c>
      <c r="K1478">
        <v>1.9509738905288123</v>
      </c>
      <c r="L1478">
        <v>0</v>
      </c>
      <c r="M1478">
        <v>1.9096897586167254E-3</v>
      </c>
      <c r="N1478">
        <v>0.19707252311779311</v>
      </c>
      <c r="O1478">
        <v>2.5947583205786117E-2</v>
      </c>
      <c r="P1478">
        <v>2.1398091890522834E-2</v>
      </c>
      <c r="Q1478">
        <v>3.0710633387057702E-3</v>
      </c>
      <c r="R1478">
        <v>1.89785970283185E-3</v>
      </c>
      <c r="S1478">
        <v>0.21127091457179745</v>
      </c>
      <c r="T1478">
        <v>1.0576591673810176</v>
      </c>
      <c r="U1478">
        <v>3.8409852141474042E-2</v>
      </c>
      <c r="V1478">
        <v>0.25256624551394791</v>
      </c>
      <c r="W1478">
        <v>0.11717566227603107</v>
      </c>
      <c r="X1478">
        <v>2.1249268665696281E-2</v>
      </c>
      <c r="Y1478">
        <v>5.1653484818253992E-3</v>
      </c>
    </row>
    <row r="1479" spans="1:25" x14ac:dyDescent="0.25">
      <c r="A1479" s="881"/>
      <c r="B1479" s="1131">
        <v>1229</v>
      </c>
      <c r="C1479" s="885">
        <v>1.0443558649228468</v>
      </c>
      <c r="D1479" s="885">
        <v>1.0140095184729989</v>
      </c>
      <c r="E1479" s="885">
        <v>1.0089008208335828</v>
      </c>
      <c r="F1479" s="885">
        <v>0.99673860202509845</v>
      </c>
      <c r="G1479" s="885">
        <v>1.0010713075271955</v>
      </c>
      <c r="H1479" s="885">
        <v>0.98975828830229473</v>
      </c>
      <c r="I1479" s="885">
        <v>0.98117935390268896</v>
      </c>
      <c r="K1479">
        <v>1.8953587012533888</v>
      </c>
      <c r="L1479">
        <v>0</v>
      </c>
      <c r="M1479">
        <v>1.8042770914688539E-3</v>
      </c>
      <c r="N1479">
        <v>0.18687599218634243</v>
      </c>
      <c r="O1479">
        <v>2.3915647026066463E-2</v>
      </c>
      <c r="P1479">
        <v>2.0931333072460135E-2</v>
      </c>
      <c r="Q1479">
        <v>2.8374928099790873E-3</v>
      </c>
      <c r="R1479">
        <v>1.7933849126807249E-3</v>
      </c>
      <c r="S1479">
        <v>0.19118733368727006</v>
      </c>
      <c r="T1479">
        <v>1.0575562657872075</v>
      </c>
      <c r="U1479">
        <v>3.5735242989872983E-2</v>
      </c>
      <c r="V1479">
        <v>0.24015485656240712</v>
      </c>
      <c r="W1479">
        <v>0.11102805087454388</v>
      </c>
      <c r="X1479">
        <v>2.0266375892887122E-2</v>
      </c>
      <c r="Y1479">
        <v>4.8810025431393544E-3</v>
      </c>
    </row>
    <row r="1480" spans="1:25" x14ac:dyDescent="0.25">
      <c r="A1480" s="881"/>
      <c r="B1480" s="1131">
        <v>1230</v>
      </c>
      <c r="C1480" s="885">
        <v>0.98419607909863616</v>
      </c>
      <c r="D1480" s="885">
        <v>0.96209028815914277</v>
      </c>
      <c r="E1480" s="885">
        <v>1.0061391270496369</v>
      </c>
      <c r="F1480" s="885">
        <v>0.98514524263341474</v>
      </c>
      <c r="G1480" s="885">
        <v>0.9940944716357295</v>
      </c>
      <c r="H1480" s="885">
        <v>1.0138965584202129</v>
      </c>
      <c r="I1480" s="885">
        <v>0.98696270738443714</v>
      </c>
      <c r="K1480">
        <v>1.9717118211013218</v>
      </c>
      <c r="L1480">
        <v>0</v>
      </c>
      <c r="M1480">
        <v>2.0247527813969206E-3</v>
      </c>
      <c r="N1480">
        <v>0.20795297144838518</v>
      </c>
      <c r="O1480">
        <v>2.6047568551941323E-2</v>
      </c>
      <c r="P1480">
        <v>2.1405312600935325E-2</v>
      </c>
      <c r="Q1480">
        <v>3.0705722301580672E-3</v>
      </c>
      <c r="R1480">
        <v>2.0128642375825167E-3</v>
      </c>
      <c r="S1480">
        <v>0.21155764145501985</v>
      </c>
      <c r="T1480">
        <v>1.0578091380648065</v>
      </c>
      <c r="U1480">
        <v>3.7919588782650102E-2</v>
      </c>
      <c r="V1480">
        <v>0.25504079429524679</v>
      </c>
      <c r="W1480">
        <v>0.12378291676857489</v>
      </c>
      <c r="X1480">
        <v>2.1658852533236614E-2</v>
      </c>
      <c r="Y1480">
        <v>5.4783529141820232E-3</v>
      </c>
    </row>
    <row r="1481" spans="1:25" x14ac:dyDescent="0.25">
      <c r="A1481" s="881"/>
      <c r="B1481" s="1131">
        <v>1231</v>
      </c>
      <c r="C1481" s="885">
        <v>0.97194137934247204</v>
      </c>
      <c r="D1481" s="885">
        <v>0.97932878772425336</v>
      </c>
      <c r="E1481" s="885">
        <v>1.018029159838634</v>
      </c>
      <c r="F1481" s="885">
        <v>1.0019378046086831</v>
      </c>
      <c r="G1481" s="885">
        <v>0.99361700928257835</v>
      </c>
      <c r="H1481" s="885">
        <v>0.99296062215417369</v>
      </c>
      <c r="I1481" s="885">
        <v>1.0068275758750134</v>
      </c>
      <c r="K1481">
        <v>1.9715092516720027</v>
      </c>
      <c r="L1481">
        <v>0</v>
      </c>
      <c r="M1481">
        <v>1.9410064268530678E-3</v>
      </c>
      <c r="N1481">
        <v>0.2068299652113523</v>
      </c>
      <c r="O1481">
        <v>2.6144194092311304E-2</v>
      </c>
      <c r="P1481">
        <v>2.1620404270167513E-2</v>
      </c>
      <c r="Q1481">
        <v>3.1226843830448703E-3</v>
      </c>
      <c r="R1481">
        <v>1.9293547958446108E-3</v>
      </c>
      <c r="S1481">
        <v>0.21453615394284675</v>
      </c>
      <c r="T1481">
        <v>1.0567225551335908</v>
      </c>
      <c r="U1481">
        <v>3.8397697015600314E-2</v>
      </c>
      <c r="V1481">
        <v>0.25457669798132432</v>
      </c>
      <c r="W1481">
        <v>0.12212523083585393</v>
      </c>
      <c r="X1481">
        <v>2.2194252694265906E-2</v>
      </c>
      <c r="Y1481">
        <v>5.251067742651514E-3</v>
      </c>
    </row>
    <row r="1482" spans="1:25" x14ac:dyDescent="0.25">
      <c r="A1482" s="881"/>
      <c r="B1482" s="1131">
        <v>1232</v>
      </c>
      <c r="C1482" s="885">
        <v>1.0409982940466045</v>
      </c>
      <c r="D1482" s="885">
        <v>0.99268111162219774</v>
      </c>
      <c r="E1482" s="885">
        <v>0.99690655290737462</v>
      </c>
      <c r="F1482" s="885">
        <v>0.99984079891593269</v>
      </c>
      <c r="G1482" s="885">
        <v>0.98618765701252609</v>
      </c>
      <c r="H1482" s="885">
        <v>0.98008485985024352</v>
      </c>
      <c r="I1482" s="885">
        <v>1.0305482397191676</v>
      </c>
      <c r="K1482">
        <v>1.9093624646002945</v>
      </c>
      <c r="L1482">
        <v>0</v>
      </c>
      <c r="M1482">
        <v>1.8576977387970467E-3</v>
      </c>
      <c r="N1482">
        <v>0.18535349425474454</v>
      </c>
      <c r="O1482">
        <v>2.4246466527736526E-2</v>
      </c>
      <c r="P1482">
        <v>2.095570460727807E-2</v>
      </c>
      <c r="Q1482">
        <v>2.8381202754886635E-3</v>
      </c>
      <c r="R1482">
        <v>1.8463890248203241E-3</v>
      </c>
      <c r="S1482">
        <v>0.20245600137709915</v>
      </c>
      <c r="T1482">
        <v>1.0586566698721493</v>
      </c>
      <c r="U1482">
        <v>3.5850501210567889E-2</v>
      </c>
      <c r="V1482">
        <v>0.24312437299432149</v>
      </c>
      <c r="W1482">
        <v>0.11102915168359638</v>
      </c>
      <c r="X1482">
        <v>1.9838028247704552E-2</v>
      </c>
      <c r="Y1482">
        <v>5.0252622635824726E-3</v>
      </c>
    </row>
    <row r="1483" spans="1:25" x14ac:dyDescent="0.25">
      <c r="A1483" s="881"/>
      <c r="B1483" s="1131">
        <v>1233</v>
      </c>
      <c r="C1483" s="885">
        <v>1.0192876927780246</v>
      </c>
      <c r="D1483" s="885">
        <v>1.0009779478286323</v>
      </c>
      <c r="E1483" s="885">
        <v>0.99095354745734887</v>
      </c>
      <c r="F1483" s="885">
        <v>1.0126045414171736</v>
      </c>
      <c r="G1483" s="885">
        <v>0.97731892151642397</v>
      </c>
      <c r="H1483" s="885">
        <v>0.9927692786551594</v>
      </c>
      <c r="I1483" s="885">
        <v>0.97005588707494572</v>
      </c>
      <c r="K1483">
        <v>1.9133559968775977</v>
      </c>
      <c r="L1483">
        <v>0</v>
      </c>
      <c r="M1483">
        <v>1.9380449033443391E-3</v>
      </c>
      <c r="N1483">
        <v>0.18983447054484295</v>
      </c>
      <c r="O1483">
        <v>2.4661053995732311E-2</v>
      </c>
      <c r="P1483">
        <v>2.0806137023647163E-2</v>
      </c>
      <c r="Q1483">
        <v>2.8710371460652188E-3</v>
      </c>
      <c r="R1483">
        <v>1.9263910865188268E-3</v>
      </c>
      <c r="S1483">
        <v>0.19511016145958179</v>
      </c>
      <c r="T1483">
        <v>1.0592049038672087</v>
      </c>
      <c r="U1483">
        <v>3.6614108916788748E-2</v>
      </c>
      <c r="V1483">
        <v>0.24501531129299059</v>
      </c>
      <c r="W1483">
        <v>0.11417942416761886</v>
      </c>
      <c r="X1483">
        <v>1.9828040777092479E-2</v>
      </c>
      <c r="Y1483">
        <v>5.2430015028532458E-3</v>
      </c>
    </row>
    <row r="1484" spans="1:25" x14ac:dyDescent="0.25">
      <c r="A1484" s="881"/>
      <c r="B1484" s="1131">
        <v>1234</v>
      </c>
      <c r="C1484" s="885">
        <v>0.99156056364238343</v>
      </c>
      <c r="D1484" s="885">
        <v>0.99459290817261714</v>
      </c>
      <c r="E1484" s="885">
        <v>0.97716589578787738</v>
      </c>
      <c r="F1484" s="885">
        <v>1.0211241416970187</v>
      </c>
      <c r="G1484" s="885">
        <v>0.99761519658721798</v>
      </c>
      <c r="H1484" s="885">
        <v>1.0181171941079605</v>
      </c>
      <c r="I1484" s="885">
        <v>1.0360563316027001</v>
      </c>
      <c r="K1484">
        <v>1.9584262852998104</v>
      </c>
      <c r="L1484">
        <v>0</v>
      </c>
      <c r="M1484">
        <v>2.1098151080948652E-3</v>
      </c>
      <c r="N1484">
        <v>0.19800270876403861</v>
      </c>
      <c r="O1484">
        <v>2.5431106050564197E-2</v>
      </c>
      <c r="P1484">
        <v>2.0984388674425199E-2</v>
      </c>
      <c r="Q1484">
        <v>2.9182743200935968E-3</v>
      </c>
      <c r="R1484">
        <v>2.0974497545206408E-3</v>
      </c>
      <c r="S1484">
        <v>0.21752987884036154</v>
      </c>
      <c r="T1484">
        <v>1.0604799470979069</v>
      </c>
      <c r="U1484">
        <v>3.7637953715933467E-2</v>
      </c>
      <c r="V1484">
        <v>0.24969044113035951</v>
      </c>
      <c r="W1484">
        <v>0.12023393301617766</v>
      </c>
      <c r="X1484">
        <v>1.9821452235842273E-2</v>
      </c>
      <c r="Y1484">
        <v>5.7085668076794303E-3</v>
      </c>
    </row>
    <row r="1485" spans="1:25" x14ac:dyDescent="0.25">
      <c r="A1485" s="881"/>
      <c r="B1485" s="1131">
        <v>1235</v>
      </c>
      <c r="C1485" s="885">
        <v>1.0303765098144442</v>
      </c>
      <c r="D1485" s="885">
        <v>0.97642856842291736</v>
      </c>
      <c r="E1485" s="885">
        <v>0.97323916586606074</v>
      </c>
      <c r="F1485" s="885">
        <v>0.98200082826106094</v>
      </c>
      <c r="G1485" s="885">
        <v>0.98549402288912658</v>
      </c>
      <c r="H1485" s="885">
        <v>1.0258207082959752</v>
      </c>
      <c r="I1485" s="885">
        <v>0.99290496159255603</v>
      </c>
      <c r="K1485">
        <v>1.9302288002426664</v>
      </c>
      <c r="L1485">
        <v>0</v>
      </c>
      <c r="M1485">
        <v>2.081544888762867E-3</v>
      </c>
      <c r="N1485">
        <v>0.19298328141970325</v>
      </c>
      <c r="O1485">
        <v>2.469783756974548E-2</v>
      </c>
      <c r="P1485">
        <v>2.0672391867508098E-2</v>
      </c>
      <c r="Q1485">
        <v>2.8191631823009022E-3</v>
      </c>
      <c r="R1485">
        <v>2.0694523925637747E-3</v>
      </c>
      <c r="S1485">
        <v>0.20308620125357346</v>
      </c>
      <c r="T1485">
        <v>1.0608444290014567</v>
      </c>
      <c r="U1485">
        <v>3.6220071251078602E-2</v>
      </c>
      <c r="V1485">
        <v>0.24655621351282161</v>
      </c>
      <c r="W1485">
        <v>0.11750678260790037</v>
      </c>
      <c r="X1485">
        <v>1.9222153855017535E-2</v>
      </c>
      <c r="Y1485">
        <v>5.6323672177607314E-3</v>
      </c>
    </row>
    <row r="1486" spans="1:25" x14ac:dyDescent="0.25">
      <c r="A1486" s="881"/>
      <c r="B1486" s="1131">
        <v>1236</v>
      </c>
      <c r="C1486" s="885">
        <v>0.9855668450924846</v>
      </c>
      <c r="D1486" s="885">
        <v>0.99610873457692328</v>
      </c>
      <c r="E1486" s="885">
        <v>0.99220809080329919</v>
      </c>
      <c r="F1486" s="885">
        <v>1.0246162680892326</v>
      </c>
      <c r="G1486" s="885">
        <v>0.96408460671487872</v>
      </c>
      <c r="H1486" s="885">
        <v>1.0014769930083851</v>
      </c>
      <c r="I1486" s="885">
        <v>1.0190485017453443</v>
      </c>
      <c r="K1486">
        <v>1.9546474677652801</v>
      </c>
      <c r="L1486">
        <v>0</v>
      </c>
      <c r="M1486">
        <v>2.0214773836640426E-3</v>
      </c>
      <c r="N1486">
        <v>0.19879248846745876</v>
      </c>
      <c r="O1486">
        <v>2.5566472778736346E-2</v>
      </c>
      <c r="P1486">
        <v>2.116147825654361E-2</v>
      </c>
      <c r="Q1486">
        <v>2.9792057080363287E-3</v>
      </c>
      <c r="R1486">
        <v>2.0094316363681993E-3</v>
      </c>
      <c r="S1486">
        <v>0.21336491522152368</v>
      </c>
      <c r="T1486">
        <v>1.0590892537427441</v>
      </c>
      <c r="U1486">
        <v>3.786684869397651E-2</v>
      </c>
      <c r="V1486">
        <v>0.2503645753568437</v>
      </c>
      <c r="W1486">
        <v>0.11946418920924527</v>
      </c>
      <c r="X1486">
        <v>2.0541075572233562E-2</v>
      </c>
      <c r="Y1486">
        <v>5.4690105052333385E-3</v>
      </c>
    </row>
    <row r="1487" spans="1:25" x14ac:dyDescent="0.25">
      <c r="A1487" s="881"/>
      <c r="B1487" s="1131">
        <v>1237</v>
      </c>
      <c r="C1487" s="885">
        <v>1.028508838639403</v>
      </c>
      <c r="D1487" s="885">
        <v>0.97438161882025787</v>
      </c>
      <c r="E1487" s="885">
        <v>1.0275680403355949</v>
      </c>
      <c r="F1487" s="885">
        <v>1.0141519277696309</v>
      </c>
      <c r="G1487" s="885">
        <v>0.9777136698653186</v>
      </c>
      <c r="H1487" s="885">
        <v>1.00110636922973</v>
      </c>
      <c r="I1487" s="885">
        <v>0.98981653870632413</v>
      </c>
      <c r="K1487">
        <v>1.9322157802165774</v>
      </c>
      <c r="L1487">
        <v>0</v>
      </c>
      <c r="M1487">
        <v>1.8169543088028129E-3</v>
      </c>
      <c r="N1487">
        <v>0.19944326411586391</v>
      </c>
      <c r="O1487">
        <v>2.4768490637436483E-2</v>
      </c>
      <c r="P1487">
        <v>2.1431353207641963E-2</v>
      </c>
      <c r="Q1487">
        <v>2.985448348651683E-3</v>
      </c>
      <c r="R1487">
        <v>1.8061399300958814E-3</v>
      </c>
      <c r="S1487">
        <v>0.20058039785781126</v>
      </c>
      <c r="T1487">
        <v>1.0558548284692828</v>
      </c>
      <c r="U1487">
        <v>3.6285843348013699E-2</v>
      </c>
      <c r="V1487">
        <v>0.24707142936090812</v>
      </c>
      <c r="W1487">
        <v>0.11700955759892055</v>
      </c>
      <c r="X1487">
        <v>2.1880264154902032E-2</v>
      </c>
      <c r="Y1487">
        <v>4.9157174958530496E-3</v>
      </c>
    </row>
    <row r="1488" spans="1:25" x14ac:dyDescent="0.25">
      <c r="A1488" s="881"/>
      <c r="B1488" s="1131">
        <v>1238</v>
      </c>
      <c r="C1488" s="885">
        <v>0.99541876229854143</v>
      </c>
      <c r="D1488" s="885">
        <v>0.95323823741789737</v>
      </c>
      <c r="E1488" s="885">
        <v>1.0000309937496308</v>
      </c>
      <c r="F1488" s="885">
        <v>0.99268575498613887</v>
      </c>
      <c r="G1488" s="885">
        <v>0.95632556569472571</v>
      </c>
      <c r="H1488" s="885">
        <v>1.0436357920616461</v>
      </c>
      <c r="I1488" s="885">
        <v>0.99749517378118646</v>
      </c>
      <c r="K1488">
        <v>1.9809253905721702</v>
      </c>
      <c r="L1488">
        <v>0</v>
      </c>
      <c r="M1488">
        <v>2.0969573185235474E-3</v>
      </c>
      <c r="N1488">
        <v>0.21135201001169826</v>
      </c>
      <c r="O1488">
        <v>2.5872716624005501E-2</v>
      </c>
      <c r="P1488">
        <v>2.1356052112295479E-2</v>
      </c>
      <c r="Q1488">
        <v>3.0293332183232236E-3</v>
      </c>
      <c r="R1488">
        <v>2.0850034784870119E-3</v>
      </c>
      <c r="S1488">
        <v>0.21539827397224576</v>
      </c>
      <c r="T1488">
        <v>1.0583694806723092</v>
      </c>
      <c r="U1488">
        <v>3.749207068866154E-2</v>
      </c>
      <c r="V1488">
        <v>0.25457154999822101</v>
      </c>
      <c r="W1488">
        <v>0.12633194057307065</v>
      </c>
      <c r="X1488">
        <v>2.1489224394145842E-2</v>
      </c>
      <c r="Y1488">
        <v>5.6746921472296845E-3</v>
      </c>
    </row>
    <row r="1489" spans="1:25" x14ac:dyDescent="0.25">
      <c r="A1489" s="881"/>
      <c r="B1489" s="1131">
        <v>1239</v>
      </c>
      <c r="C1489" s="885">
        <v>1.024480063984359</v>
      </c>
      <c r="D1489" s="885">
        <v>1.0016186711280841</v>
      </c>
      <c r="E1489" s="885">
        <v>1.0097049739623598</v>
      </c>
      <c r="F1489" s="885">
        <v>0.99090511287222693</v>
      </c>
      <c r="G1489" s="885">
        <v>0.98217594910601858</v>
      </c>
      <c r="H1489" s="885">
        <v>0.99611652240171944</v>
      </c>
      <c r="I1489" s="885">
        <v>0.98107193719161268</v>
      </c>
      <c r="K1489">
        <v>1.916716961328464</v>
      </c>
      <c r="L1489">
        <v>0</v>
      </c>
      <c r="M1489">
        <v>1.859219744779265E-3</v>
      </c>
      <c r="N1489">
        <v>0.19305712472026212</v>
      </c>
      <c r="O1489">
        <v>2.452829543402292E-2</v>
      </c>
      <c r="P1489">
        <v>2.1082744252851917E-2</v>
      </c>
      <c r="Q1489">
        <v>2.910035515980298E-3</v>
      </c>
      <c r="R1489">
        <v>1.8480769916902463E-3</v>
      </c>
      <c r="S1489">
        <v>0.19659223616527349</v>
      </c>
      <c r="T1489">
        <v>1.0574826900900209</v>
      </c>
      <c r="U1489">
        <v>3.6428537667948908E-2</v>
      </c>
      <c r="V1489">
        <v>0.24423819215619536</v>
      </c>
      <c r="W1489">
        <v>0.11463774099440285</v>
      </c>
      <c r="X1489">
        <v>2.0740650731628025E-2</v>
      </c>
      <c r="Y1489">
        <v>5.0298563529642707E-3</v>
      </c>
    </row>
    <row r="1490" spans="1:25" x14ac:dyDescent="0.25">
      <c r="A1490" s="881"/>
      <c r="B1490" s="1131">
        <v>1240</v>
      </c>
      <c r="C1490" s="885">
        <v>1.0337890644629673</v>
      </c>
      <c r="D1490" s="885">
        <v>0.98639025745858822</v>
      </c>
      <c r="E1490" s="885">
        <v>1.0140676997597025</v>
      </c>
      <c r="F1490" s="885">
        <v>0.95928131004872563</v>
      </c>
      <c r="G1490" s="885">
        <v>0.98410527673694581</v>
      </c>
      <c r="H1490" s="885">
        <v>0.96864382160130369</v>
      </c>
      <c r="I1490" s="885">
        <v>0.97535519126619519</v>
      </c>
      <c r="K1490">
        <v>1.9041675951956059</v>
      </c>
      <c r="L1490">
        <v>0</v>
      </c>
      <c r="M1490">
        <v>1.7887610842859971E-3</v>
      </c>
      <c r="N1490">
        <v>0.1882458895631402</v>
      </c>
      <c r="O1490">
        <v>2.4492617305879403E-2</v>
      </c>
      <c r="P1490">
        <v>2.1091588358060326E-2</v>
      </c>
      <c r="Q1490">
        <v>2.9153661583793036E-3</v>
      </c>
      <c r="R1490">
        <v>1.7777482814252035E-3</v>
      </c>
      <c r="S1490">
        <v>0.19241387090846762</v>
      </c>
      <c r="T1490">
        <v>1.0570839640408214</v>
      </c>
      <c r="U1490">
        <v>3.610050820212924E-2</v>
      </c>
      <c r="V1490">
        <v>0.24485161383423085</v>
      </c>
      <c r="W1490">
        <v>0.11145037860122306</v>
      </c>
      <c r="X1490">
        <v>2.0694366238658883E-2</v>
      </c>
      <c r="Y1490">
        <v>4.8384447874759325E-3</v>
      </c>
    </row>
    <row r="1491" spans="1:25" x14ac:dyDescent="0.25">
      <c r="A1491" s="881"/>
      <c r="B1491" s="1131">
        <v>1241</v>
      </c>
      <c r="C1491" s="885">
        <v>0.9959879831576044</v>
      </c>
      <c r="D1491" s="885">
        <v>0.96334965056911792</v>
      </c>
      <c r="E1491" s="885">
        <v>1.0369469165462692</v>
      </c>
      <c r="F1491" s="885">
        <v>1.0393559151791167</v>
      </c>
      <c r="G1491" s="885">
        <v>0.98054488895821756</v>
      </c>
      <c r="H1491" s="885">
        <v>1.0481436087659428</v>
      </c>
      <c r="I1491" s="885">
        <v>0.98768495476873941</v>
      </c>
      <c r="K1491">
        <v>1.9841723602008587</v>
      </c>
      <c r="L1491">
        <v>0</v>
      </c>
      <c r="M1491">
        <v>1.9367572373214703E-3</v>
      </c>
      <c r="N1491">
        <v>0.21893297245348445</v>
      </c>
      <c r="O1491">
        <v>2.5722431897121534E-2</v>
      </c>
      <c r="P1491">
        <v>2.1835379527788995E-2</v>
      </c>
      <c r="Q1491">
        <v>3.1267609030740913E-3</v>
      </c>
      <c r="R1491">
        <v>1.9257559189748822E-3</v>
      </c>
      <c r="S1491">
        <v>0.21258066373692641</v>
      </c>
      <c r="T1491">
        <v>1.0550051291074387</v>
      </c>
      <c r="U1491">
        <v>3.7470643453547954E-2</v>
      </c>
      <c r="V1491">
        <v>0.25311707265358108</v>
      </c>
      <c r="W1491">
        <v>0.12764031912437132</v>
      </c>
      <c r="X1491">
        <v>2.3510715875687298E-2</v>
      </c>
      <c r="Y1491">
        <v>5.2412727861815521E-3</v>
      </c>
    </row>
    <row r="1492" spans="1:25" x14ac:dyDescent="0.25">
      <c r="A1492" s="881"/>
      <c r="B1492" s="1131">
        <v>1242</v>
      </c>
      <c r="C1492" s="885">
        <v>0.95726900087384148</v>
      </c>
      <c r="D1492" s="885">
        <v>0.99750426708185846</v>
      </c>
      <c r="E1492" s="885">
        <v>0.99488481683602747</v>
      </c>
      <c r="F1492" s="885">
        <v>0.96770435332237748</v>
      </c>
      <c r="G1492" s="885">
        <v>1.0321261267162878</v>
      </c>
      <c r="H1492" s="885">
        <v>0.98708354371633111</v>
      </c>
      <c r="I1492" s="885">
        <v>0.98165400678485126</v>
      </c>
      <c r="K1492">
        <v>1.9626540197903344</v>
      </c>
      <c r="L1492">
        <v>0</v>
      </c>
      <c r="M1492">
        <v>2.0383905900710798E-3</v>
      </c>
      <c r="N1492">
        <v>0.20211503695185895</v>
      </c>
      <c r="O1492">
        <v>2.630400088291638E-2</v>
      </c>
      <c r="P1492">
        <v>2.1225149259053933E-2</v>
      </c>
      <c r="Q1492">
        <v>3.0737364266422633E-3</v>
      </c>
      <c r="R1492">
        <v>2.0260657434444914E-3</v>
      </c>
      <c r="S1492">
        <v>0.20997962309147936</v>
      </c>
      <c r="T1492">
        <v>1.058842704302297</v>
      </c>
      <c r="U1492">
        <v>3.8986231212803334E-2</v>
      </c>
      <c r="V1492">
        <v>0.25442960390684716</v>
      </c>
      <c r="W1492">
        <v>0.12123761319354301</v>
      </c>
      <c r="X1492">
        <v>2.0958362348259173E-2</v>
      </c>
      <c r="Y1492">
        <v>5.514283061263078E-3</v>
      </c>
    </row>
    <row r="1493" spans="1:25" x14ac:dyDescent="0.25">
      <c r="A1493" s="881"/>
      <c r="B1493" s="1131">
        <v>1243</v>
      </c>
      <c r="C1493" s="885">
        <v>1.0091121366213756</v>
      </c>
      <c r="D1493" s="885">
        <v>0.98157689345581878</v>
      </c>
      <c r="E1493" s="885">
        <v>0.98617373851427004</v>
      </c>
      <c r="F1493" s="885">
        <v>0.99837298100641203</v>
      </c>
      <c r="G1493" s="885">
        <v>0.99516190199269861</v>
      </c>
      <c r="H1493" s="885">
        <v>0.98759670637483254</v>
      </c>
      <c r="I1493" s="885">
        <v>0.98167968729342869</v>
      </c>
      <c r="K1493">
        <v>1.927674588511908</v>
      </c>
      <c r="L1493">
        <v>0</v>
      </c>
      <c r="M1493">
        <v>1.9862110147802607E-3</v>
      </c>
      <c r="N1493">
        <v>0.19167382071769246</v>
      </c>
      <c r="O1493">
        <v>2.5152527796668326E-2</v>
      </c>
      <c r="P1493">
        <v>2.0869802182560911E-2</v>
      </c>
      <c r="Q1493">
        <v>2.9101414425071956E-3</v>
      </c>
      <c r="R1493">
        <v>1.9742213474622725E-3</v>
      </c>
      <c r="S1493">
        <v>0.20072705358527723</v>
      </c>
      <c r="T1493">
        <v>1.0596460913053216</v>
      </c>
      <c r="U1493">
        <v>3.6983313594730526E-2</v>
      </c>
      <c r="V1493">
        <v>0.24884342443606502</v>
      </c>
      <c r="W1493">
        <v>0.11566643700597969</v>
      </c>
      <c r="X1493">
        <v>1.9840786406522454E-2</v>
      </c>
      <c r="Y1493">
        <v>5.3731797059000221E-3</v>
      </c>
    </row>
    <row r="1494" spans="1:25" x14ac:dyDescent="0.25">
      <c r="A1494" s="881"/>
      <c r="B1494" s="1131">
        <v>1244</v>
      </c>
      <c r="C1494" s="885">
        <v>0.99665045055064427</v>
      </c>
      <c r="D1494" s="885">
        <v>1.0099395484646123</v>
      </c>
      <c r="E1494" s="885">
        <v>1.0026404131016542</v>
      </c>
      <c r="F1494" s="885">
        <v>1.0015333506498887</v>
      </c>
      <c r="G1494" s="885">
        <v>1.0118294441886864</v>
      </c>
      <c r="H1494" s="885">
        <v>0.96711427338578781</v>
      </c>
      <c r="I1494" s="885">
        <v>0.9779494574911155</v>
      </c>
      <c r="K1494">
        <v>1.9192596885010709</v>
      </c>
      <c r="L1494">
        <v>0</v>
      </c>
      <c r="M1494">
        <v>1.8756456117868081E-3</v>
      </c>
      <c r="N1494">
        <v>0.19049561513260219</v>
      </c>
      <c r="O1494">
        <v>2.5110244197872871E-2</v>
      </c>
      <c r="P1494">
        <v>2.1050406564044669E-2</v>
      </c>
      <c r="Q1494">
        <v>2.9597716754687299E-3</v>
      </c>
      <c r="R1494">
        <v>1.864060685771037E-3</v>
      </c>
      <c r="S1494">
        <v>0.19780979124317213</v>
      </c>
      <c r="T1494">
        <v>1.0581299221110008</v>
      </c>
      <c r="U1494">
        <v>3.7445736948493492E-2</v>
      </c>
      <c r="V1494">
        <v>0.24705421432433719</v>
      </c>
      <c r="W1494">
        <v>0.11366246503349174</v>
      </c>
      <c r="X1494">
        <v>2.047974749737233E-2</v>
      </c>
      <c r="Y1494">
        <v>5.0733586992288467E-3</v>
      </c>
    </row>
    <row r="1495" spans="1:25" x14ac:dyDescent="0.25">
      <c r="A1495" s="881"/>
      <c r="B1495" s="1131">
        <v>1245</v>
      </c>
      <c r="C1495" s="885">
        <v>0.98738895876737787</v>
      </c>
      <c r="D1495" s="885">
        <v>0.98867821227944674</v>
      </c>
      <c r="E1495" s="885">
        <v>0.98747400854215872</v>
      </c>
      <c r="F1495" s="885">
        <v>0.97507990834392344</v>
      </c>
      <c r="G1495" s="885">
        <v>0.99525628140096845</v>
      </c>
      <c r="H1495" s="885">
        <v>0.99785044547071644</v>
      </c>
      <c r="I1495" s="885">
        <v>0.97102700889407945</v>
      </c>
      <c r="K1495">
        <v>1.9434981294563158</v>
      </c>
      <c r="L1495">
        <v>0</v>
      </c>
      <c r="M1495">
        <v>2.0380932473779865E-3</v>
      </c>
      <c r="N1495">
        <v>0.19749032029869479</v>
      </c>
      <c r="O1495">
        <v>2.5614149702987563E-2</v>
      </c>
      <c r="P1495">
        <v>2.0963935530329051E-2</v>
      </c>
      <c r="Q1495">
        <v>2.968956736368013E-3</v>
      </c>
      <c r="R1495">
        <v>2.0259106934351762E-3</v>
      </c>
      <c r="S1495">
        <v>0.2032717646052945</v>
      </c>
      <c r="T1495">
        <v>1.0595259854684471</v>
      </c>
      <c r="U1495">
        <v>3.7796969744837212E-2</v>
      </c>
      <c r="V1495">
        <v>0.25105090507533595</v>
      </c>
      <c r="W1495">
        <v>0.11906946525652366</v>
      </c>
      <c r="X1495">
        <v>2.0243998525190335E-2</v>
      </c>
      <c r="Y1495">
        <v>5.513861066249944E-3</v>
      </c>
    </row>
    <row r="1496" spans="1:25" x14ac:dyDescent="0.25">
      <c r="A1496" s="881"/>
      <c r="B1496" s="1131">
        <v>1246</v>
      </c>
      <c r="C1496" s="885">
        <v>0.97631565663700592</v>
      </c>
      <c r="D1496" s="885">
        <v>1.0175919812353622</v>
      </c>
      <c r="E1496" s="885">
        <v>1.0335040808156137</v>
      </c>
      <c r="F1496" s="885">
        <v>0.96446458515933542</v>
      </c>
      <c r="G1496" s="885">
        <v>1.0214015039674809</v>
      </c>
      <c r="H1496" s="885">
        <v>0.99816993991266567</v>
      </c>
      <c r="I1496" s="885">
        <v>1.015530803034199</v>
      </c>
      <c r="K1496">
        <v>1.9595913378630285</v>
      </c>
      <c r="L1496">
        <v>0</v>
      </c>
      <c r="M1496">
        <v>1.8446171589404047E-3</v>
      </c>
      <c r="N1496">
        <v>0.20623786516660944</v>
      </c>
      <c r="O1496">
        <v>2.5537823379235151E-2</v>
      </c>
      <c r="P1496">
        <v>2.1733578211195842E-2</v>
      </c>
      <c r="Q1496">
        <v>3.1056902252085423E-3</v>
      </c>
      <c r="R1496">
        <v>1.8335726137707815E-3</v>
      </c>
      <c r="S1496">
        <v>0.21220769386361149</v>
      </c>
      <c r="T1496">
        <v>1.0553166399525835</v>
      </c>
      <c r="U1496">
        <v>3.8225660263883833E-2</v>
      </c>
      <c r="V1496">
        <v>0.24902844953267103</v>
      </c>
      <c r="W1496">
        <v>0.1205156525663696</v>
      </c>
      <c r="X1496">
        <v>2.2702949029195268E-2</v>
      </c>
      <c r="Y1496">
        <v>4.9903802176343845E-3</v>
      </c>
    </row>
    <row r="1497" spans="1:25" x14ac:dyDescent="0.25">
      <c r="A1497" s="881"/>
      <c r="B1497" s="1131">
        <v>1247</v>
      </c>
      <c r="C1497" s="885">
        <v>1.0213103545915334</v>
      </c>
      <c r="D1497" s="885">
        <v>0.98489240447163906</v>
      </c>
      <c r="E1497" s="885">
        <v>1.0063248876859761</v>
      </c>
      <c r="F1497" s="885">
        <v>0.97617479014913666</v>
      </c>
      <c r="G1497" s="885">
        <v>0.99758179837643923</v>
      </c>
      <c r="H1497" s="885">
        <v>0.99234949704296205</v>
      </c>
      <c r="I1497" s="885">
        <v>0.97299817735718597</v>
      </c>
      <c r="K1497">
        <v>1.921671737536655</v>
      </c>
      <c r="L1497">
        <v>0</v>
      </c>
      <c r="M1497">
        <v>1.8868908290637035E-3</v>
      </c>
      <c r="N1497">
        <v>0.19387899707051245</v>
      </c>
      <c r="O1497">
        <v>2.4810569749355853E-2</v>
      </c>
      <c r="P1497">
        <v>2.1071869166214223E-2</v>
      </c>
      <c r="Q1497">
        <v>2.9301325198528212E-3</v>
      </c>
      <c r="R1497">
        <v>1.8755525867370356E-3</v>
      </c>
      <c r="S1497">
        <v>0.19673271555663147</v>
      </c>
      <c r="T1497">
        <v>1.0577921197081783</v>
      </c>
      <c r="U1497">
        <v>3.6541596227958495E-2</v>
      </c>
      <c r="V1497">
        <v>0.24672821303542564</v>
      </c>
      <c r="W1497">
        <v>0.11539085320173521</v>
      </c>
      <c r="X1497">
        <v>2.0701373677760301E-2</v>
      </c>
      <c r="Y1497">
        <v>5.1046358653541579E-3</v>
      </c>
    </row>
    <row r="1498" spans="1:25" x14ac:dyDescent="0.25">
      <c r="A1498" s="881"/>
      <c r="B1498" s="1131">
        <v>1248</v>
      </c>
      <c r="C1498" s="885">
        <v>1.0110324563633344</v>
      </c>
      <c r="D1498" s="885">
        <v>0.97665104181127438</v>
      </c>
      <c r="E1498" s="885">
        <v>1.0111865594880123</v>
      </c>
      <c r="F1498" s="885">
        <v>0.99382966970798803</v>
      </c>
      <c r="G1498" s="885">
        <v>0.97224910112972385</v>
      </c>
      <c r="H1498" s="885">
        <v>0.99818748307353622</v>
      </c>
      <c r="I1498" s="885">
        <v>0.99976852415680317</v>
      </c>
      <c r="K1498">
        <v>1.9416248368275759</v>
      </c>
      <c r="L1498">
        <v>0</v>
      </c>
      <c r="M1498">
        <v>1.90565452402695E-3</v>
      </c>
      <c r="N1498">
        <v>0.19879688819611194</v>
      </c>
      <c r="O1498">
        <v>2.5167532953295095E-2</v>
      </c>
      <c r="P1498">
        <v>2.1302728763173448E-2</v>
      </c>
      <c r="Q1498">
        <v>2.98501611822712E-3</v>
      </c>
      <c r="R1498">
        <v>1.8942771871134155E-3</v>
      </c>
      <c r="S1498">
        <v>0.20558279637302648</v>
      </c>
      <c r="T1498">
        <v>1.0573471990477448</v>
      </c>
      <c r="U1498">
        <v>3.6913068780360783E-2</v>
      </c>
      <c r="V1498">
        <v>0.24920484236959475</v>
      </c>
      <c r="W1498">
        <v>0.11792728270149176</v>
      </c>
      <c r="X1498">
        <v>2.1253260806447623E-2</v>
      </c>
      <c r="Y1498">
        <v>5.1555980550158078E-3</v>
      </c>
    </row>
    <row r="1499" spans="1:25" x14ac:dyDescent="0.25">
      <c r="A1499" s="881"/>
      <c r="B1499" s="1131">
        <v>1249</v>
      </c>
      <c r="C1499" s="885">
        <v>1.0021535493929432</v>
      </c>
      <c r="D1499" s="885">
        <v>0.97997074490008895</v>
      </c>
      <c r="E1499" s="885">
        <v>1.0352062807301998</v>
      </c>
      <c r="F1499" s="885">
        <v>0.97552486361568258</v>
      </c>
      <c r="G1499" s="885">
        <v>0.98024110296032751</v>
      </c>
      <c r="H1499" s="885">
        <v>1.0180355233462934</v>
      </c>
      <c r="I1499" s="885">
        <v>1.025000334642733</v>
      </c>
      <c r="K1499">
        <v>1.9661793038905648</v>
      </c>
      <c r="L1499">
        <v>0</v>
      </c>
      <c r="M1499">
        <v>1.860582256959643E-3</v>
      </c>
      <c r="N1499">
        <v>0.20915239376094627</v>
      </c>
      <c r="O1499">
        <v>2.534777194369852E-2</v>
      </c>
      <c r="P1499">
        <v>2.1789034445830871E-2</v>
      </c>
      <c r="Q1499">
        <v>3.0796544259494418E-3</v>
      </c>
      <c r="R1499">
        <v>1.8496879999383314E-3</v>
      </c>
      <c r="S1499">
        <v>0.21438168709469932</v>
      </c>
      <c r="T1499">
        <v>1.0551625653433885</v>
      </c>
      <c r="U1499">
        <v>3.7240112179938667E-2</v>
      </c>
      <c r="V1499">
        <v>0.25004037610528346</v>
      </c>
      <c r="W1499">
        <v>0.12207985232245404</v>
      </c>
      <c r="X1499">
        <v>2.2882509539049724E-2</v>
      </c>
      <c r="Y1499">
        <v>5.0342409863468338E-3</v>
      </c>
    </row>
    <row r="1500" spans="1:25" x14ac:dyDescent="0.25">
      <c r="A1500" s="881"/>
      <c r="B1500" s="1131">
        <v>1250</v>
      </c>
      <c r="C1500" s="885">
        <v>0.99109476901949067</v>
      </c>
      <c r="D1500" s="885">
        <v>1.0058619817392034</v>
      </c>
      <c r="E1500" s="885">
        <v>0.98063792688497786</v>
      </c>
      <c r="F1500" s="885">
        <v>1.0087684068177198</v>
      </c>
      <c r="G1500" s="885">
        <v>0.99235451928378637</v>
      </c>
      <c r="H1500" s="885">
        <v>1.0242919496840821</v>
      </c>
      <c r="I1500" s="885">
        <v>0.96781156387438727</v>
      </c>
      <c r="K1500">
        <v>1.9430033465548326</v>
      </c>
      <c r="L1500">
        <v>0</v>
      </c>
      <c r="M1500">
        <v>2.0964743377885277E-3</v>
      </c>
      <c r="N1500">
        <v>0.19889701659991216</v>
      </c>
      <c r="O1500">
        <v>2.5301564048345382E-2</v>
      </c>
      <c r="P1500">
        <v>2.0820290586244312E-2</v>
      </c>
      <c r="Q1500">
        <v>2.9159686225467656E-3</v>
      </c>
      <c r="R1500">
        <v>2.0842517058363682E-3</v>
      </c>
      <c r="S1500">
        <v>0.2028557249292943</v>
      </c>
      <c r="T1500">
        <v>1.0601581684331056</v>
      </c>
      <c r="U1500">
        <v>3.765564279775041E-2</v>
      </c>
      <c r="V1500">
        <v>0.24834288841179222</v>
      </c>
      <c r="W1500">
        <v>0.12048613620099008</v>
      </c>
      <c r="X1500">
        <v>1.9909522486907544E-2</v>
      </c>
      <c r="Y1500">
        <v>5.6726460698964193E-3</v>
      </c>
    </row>
    <row r="1501" spans="1:25" x14ac:dyDescent="0.25">
      <c r="A1501" s="881"/>
      <c r="B1501" s="1131">
        <v>1251</v>
      </c>
      <c r="C1501" s="885">
        <v>1.0030056814933943</v>
      </c>
      <c r="D1501" s="885">
        <v>0.96750732334660805</v>
      </c>
      <c r="E1501" s="885">
        <v>0.9620151480242003</v>
      </c>
      <c r="F1501" s="885">
        <v>1.0141952663091305</v>
      </c>
      <c r="G1501" s="885">
        <v>0.98503653827035709</v>
      </c>
      <c r="H1501" s="885">
        <v>0.97630791726008548</v>
      </c>
      <c r="I1501" s="885">
        <v>0.98191816685425326</v>
      </c>
      <c r="K1501">
        <v>1.9284454255452979</v>
      </c>
      <c r="L1501">
        <v>0</v>
      </c>
      <c r="M1501">
        <v>2.0930800605038465E-3</v>
      </c>
      <c r="N1501">
        <v>0.18732299359846036</v>
      </c>
      <c r="O1501">
        <v>2.5487803895819273E-2</v>
      </c>
      <c r="P1501">
        <v>2.0576282908075862E-2</v>
      </c>
      <c r="Q1501">
        <v>2.8742436477902432E-3</v>
      </c>
      <c r="R1501">
        <v>2.0803121161731058E-3</v>
      </c>
      <c r="S1501">
        <v>0.20220902822102674</v>
      </c>
      <c r="T1501">
        <v>1.0618895402137467</v>
      </c>
      <c r="U1501">
        <v>3.7208473779879271E-2</v>
      </c>
      <c r="V1501">
        <v>0.2515430119010047</v>
      </c>
      <c r="W1501">
        <v>0.11495987943792071</v>
      </c>
      <c r="X1501">
        <v>1.8725012080384396E-2</v>
      </c>
      <c r="Y1501">
        <v>5.6619238055184038E-3</v>
      </c>
    </row>
    <row r="1502" spans="1:25" x14ac:dyDescent="0.25">
      <c r="A1502" s="881"/>
      <c r="B1502" s="1131">
        <v>1252</v>
      </c>
      <c r="C1502" s="885">
        <v>0.99855702023800541</v>
      </c>
      <c r="D1502" s="885">
        <v>1.0071227546987165</v>
      </c>
      <c r="E1502" s="885">
        <v>1.0143965138846338</v>
      </c>
      <c r="F1502" s="885">
        <v>0.99060763709681332</v>
      </c>
      <c r="G1502" s="885">
        <v>0.98001451332385203</v>
      </c>
      <c r="H1502" s="885">
        <v>1.0267766862888739</v>
      </c>
      <c r="I1502" s="885">
        <v>1.0049882001567332</v>
      </c>
      <c r="K1502">
        <v>1.9528308750468775</v>
      </c>
      <c r="L1502">
        <v>0</v>
      </c>
      <c r="M1502">
        <v>1.9415654913500339E-3</v>
      </c>
      <c r="N1502">
        <v>0.20460565956323526</v>
      </c>
      <c r="O1502">
        <v>2.5096932400559907E-2</v>
      </c>
      <c r="P1502">
        <v>2.1376931934408025E-2</v>
      </c>
      <c r="Q1502">
        <v>2.9926203670472789E-3</v>
      </c>
      <c r="R1502">
        <v>1.9302724068264692E-3</v>
      </c>
      <c r="S1502">
        <v>0.20920585869038646</v>
      </c>
      <c r="T1502">
        <v>1.0570539425896415</v>
      </c>
      <c r="U1502">
        <v>3.7374240874118135E-2</v>
      </c>
      <c r="V1502">
        <v>0.24713123152473399</v>
      </c>
      <c r="W1502">
        <v>0.12110914604714423</v>
      </c>
      <c r="X1502">
        <v>2.1642038962872232E-2</v>
      </c>
      <c r="Y1502">
        <v>5.2535651772537524E-3</v>
      </c>
    </row>
    <row r="1503" spans="1:25" x14ac:dyDescent="0.25">
      <c r="A1503" s="881"/>
      <c r="B1503" s="1131">
        <v>1253</v>
      </c>
      <c r="C1503" s="885">
        <v>0.99741221203784136</v>
      </c>
      <c r="D1503" s="885">
        <v>0.9816469870226916</v>
      </c>
      <c r="E1503" s="885">
        <v>1.0354365769618707</v>
      </c>
      <c r="F1503" s="885">
        <v>1.0206849527581507</v>
      </c>
      <c r="G1503" s="885">
        <v>1.0020154689101979</v>
      </c>
      <c r="H1503" s="885">
        <v>1.0024541873452602</v>
      </c>
      <c r="I1503" s="885">
        <v>1.0192674068526741</v>
      </c>
      <c r="K1503">
        <v>1.960998730230983</v>
      </c>
      <c r="L1503">
        <v>0</v>
      </c>
      <c r="M1503">
        <v>1.8383586379847915E-3</v>
      </c>
      <c r="N1503">
        <v>0.20678283465401143</v>
      </c>
      <c r="O1503">
        <v>2.544667223314771E-2</v>
      </c>
      <c r="P1503">
        <v>2.1773614092598412E-2</v>
      </c>
      <c r="Q1503">
        <v>3.0927439864120647E-3</v>
      </c>
      <c r="R1503">
        <v>1.8274258921444516E-3</v>
      </c>
      <c r="S1503">
        <v>0.21240121823489311</v>
      </c>
      <c r="T1503">
        <v>1.0551417288001306</v>
      </c>
      <c r="U1503">
        <v>3.7417138220783096E-2</v>
      </c>
      <c r="V1503">
        <v>0.25050463658919087</v>
      </c>
      <c r="W1503">
        <v>0.12067821119720323</v>
      </c>
      <c r="X1503">
        <v>2.279721410081758E-2</v>
      </c>
      <c r="Y1503">
        <v>4.9736508676337526E-3</v>
      </c>
    </row>
    <row r="1504" spans="1:25" x14ac:dyDescent="0.25">
      <c r="A1504" s="881"/>
      <c r="B1504" s="1131">
        <v>1254</v>
      </c>
      <c r="C1504" s="885">
        <v>0.95272644220094171</v>
      </c>
      <c r="D1504" s="885">
        <v>0.98974277289988066</v>
      </c>
      <c r="E1504" s="885">
        <v>1.0082672751231734</v>
      </c>
      <c r="F1504" s="885">
        <v>0.97787700761605179</v>
      </c>
      <c r="G1504" s="885">
        <v>0.99878682517766315</v>
      </c>
      <c r="H1504" s="885">
        <v>1.011595995440522</v>
      </c>
      <c r="I1504" s="885">
        <v>0.96863183834433009</v>
      </c>
      <c r="K1504">
        <v>1.9807796994993776</v>
      </c>
      <c r="L1504">
        <v>0</v>
      </c>
      <c r="M1504">
        <v>2.0485340124575795E-3</v>
      </c>
      <c r="N1504">
        <v>0.21178697781269709</v>
      </c>
      <c r="O1504">
        <v>2.6531896628892094E-2</v>
      </c>
      <c r="P1504">
        <v>2.1467641251603841E-2</v>
      </c>
      <c r="Q1504">
        <v>3.1406020643761495E-3</v>
      </c>
      <c r="R1504">
        <v>2.0364545288869018E-3</v>
      </c>
      <c r="S1504">
        <v>0.21146519794690624</v>
      </c>
      <c r="T1504">
        <v>1.057614249592173</v>
      </c>
      <c r="U1504">
        <v>3.9172115885333543E-2</v>
      </c>
      <c r="V1504">
        <v>0.25615276919600799</v>
      </c>
      <c r="W1504">
        <v>0.12588256956457791</v>
      </c>
      <c r="X1504">
        <v>2.2035201129806246E-2</v>
      </c>
      <c r="Y1504">
        <v>5.5425579105751188E-3</v>
      </c>
    </row>
    <row r="1505" spans="1:25" x14ac:dyDescent="0.25">
      <c r="A1505" s="881"/>
      <c r="B1505" s="1131">
        <v>1255</v>
      </c>
      <c r="C1505" s="885">
        <v>0.99507953634871527</v>
      </c>
      <c r="D1505" s="885">
        <v>0.98034065077473242</v>
      </c>
      <c r="E1505" s="885">
        <v>1.0231956099398198</v>
      </c>
      <c r="F1505" s="885">
        <v>0.99172442452279652</v>
      </c>
      <c r="G1505" s="885">
        <v>1.0285348569336854</v>
      </c>
      <c r="H1505" s="885">
        <v>1.0005160590555473</v>
      </c>
      <c r="I1505" s="885">
        <v>0.97785501891332782</v>
      </c>
      <c r="K1505">
        <v>1.9510883512515667</v>
      </c>
      <c r="L1505">
        <v>0</v>
      </c>
      <c r="M1505">
        <v>1.8885947315108499E-3</v>
      </c>
      <c r="N1505">
        <v>0.20451012962557355</v>
      </c>
      <c r="O1505">
        <v>2.5523187453064405E-2</v>
      </c>
      <c r="P1505">
        <v>2.1490170798836413E-2</v>
      </c>
      <c r="Q1505">
        <v>3.0644261389460698E-3</v>
      </c>
      <c r="R1505">
        <v>1.8773425211599391E-3</v>
      </c>
      <c r="S1505">
        <v>0.20417974974077732</v>
      </c>
      <c r="T1505">
        <v>1.0562521350931635</v>
      </c>
      <c r="U1505">
        <v>3.7504851861247003E-2</v>
      </c>
      <c r="V1505">
        <v>0.25100940515339132</v>
      </c>
      <c r="W1505">
        <v>0.1203353884931191</v>
      </c>
      <c r="X1505">
        <v>2.2120651626995322E-2</v>
      </c>
      <c r="Y1505">
        <v>5.1095074768015775E-3</v>
      </c>
    </row>
    <row r="1506" spans="1:25" x14ac:dyDescent="0.25">
      <c r="A1506" s="881"/>
      <c r="B1506" s="1131">
        <v>1256</v>
      </c>
      <c r="C1506" s="885">
        <v>1.0042831612899068</v>
      </c>
      <c r="D1506" s="885">
        <v>1.037042334358546</v>
      </c>
      <c r="E1506" s="885">
        <v>1.0204298805958543</v>
      </c>
      <c r="F1506" s="885">
        <v>0.98940364610975884</v>
      </c>
      <c r="G1506" s="885">
        <v>0.97933783013349318</v>
      </c>
      <c r="H1506" s="885">
        <v>1.03395408283662</v>
      </c>
      <c r="I1506" s="885">
        <v>0.9775849737596396</v>
      </c>
      <c r="K1506">
        <v>1.935301970261764</v>
      </c>
      <c r="L1506">
        <v>0</v>
      </c>
      <c r="M1506">
        <v>1.8918727940437255E-3</v>
      </c>
      <c r="N1506">
        <v>0.20314751061058847</v>
      </c>
      <c r="O1506">
        <v>2.4595905214031689E-2</v>
      </c>
      <c r="P1506">
        <v>2.1278141150698482E-2</v>
      </c>
      <c r="Q1506">
        <v>2.9565164357815412E-3</v>
      </c>
      <c r="R1506">
        <v>1.8809231541432373E-3</v>
      </c>
      <c r="S1506">
        <v>0.20034023974606163</v>
      </c>
      <c r="T1506">
        <v>1.0565038328497445</v>
      </c>
      <c r="U1506">
        <v>3.7161143429889291E-2</v>
      </c>
      <c r="V1506">
        <v>0.24277456252023674</v>
      </c>
      <c r="W1506">
        <v>0.11975661994637186</v>
      </c>
      <c r="X1506">
        <v>2.1679195218833318E-2</v>
      </c>
      <c r="Y1506">
        <v>5.1192527794267674E-3</v>
      </c>
    </row>
    <row r="1507" spans="1:25" x14ac:dyDescent="0.25">
      <c r="A1507" s="881"/>
      <c r="B1507" s="1131">
        <v>1257</v>
      </c>
      <c r="C1507" s="885">
        <v>1.0164649380097568</v>
      </c>
      <c r="D1507" s="885">
        <v>1.0007330287931497</v>
      </c>
      <c r="E1507" s="885">
        <v>0.98054147778688738</v>
      </c>
      <c r="F1507" s="885">
        <v>1.0304042522737438</v>
      </c>
      <c r="G1507" s="885">
        <v>0.99217675938732941</v>
      </c>
      <c r="H1507" s="885">
        <v>1.0059838112208408</v>
      </c>
      <c r="I1507" s="885">
        <v>1.036105030667799</v>
      </c>
      <c r="K1507">
        <v>1.9326260289360866</v>
      </c>
      <c r="L1507">
        <v>0</v>
      </c>
      <c r="M1507">
        <v>2.0130986004463988E-3</v>
      </c>
      <c r="N1507">
        <v>0.19090962556097762</v>
      </c>
      <c r="O1507">
        <v>2.4732533809250525E-2</v>
      </c>
      <c r="P1507">
        <v>2.0867958985307911E-2</v>
      </c>
      <c r="Q1507">
        <v>2.8490953468991516E-3</v>
      </c>
      <c r="R1507">
        <v>2.001152686684713E-3</v>
      </c>
      <c r="S1507">
        <v>0.21035965518496788</v>
      </c>
      <c r="T1507">
        <v>1.0601671007682198</v>
      </c>
      <c r="U1507">
        <v>3.6715787436790749E-2</v>
      </c>
      <c r="V1507">
        <v>0.24542746290925743</v>
      </c>
      <c r="W1507">
        <v>0.11565533944860652</v>
      </c>
      <c r="X1507">
        <v>1.9506937466218916E-2</v>
      </c>
      <c r="Y1507">
        <v>5.4464779333499164E-3</v>
      </c>
    </row>
    <row r="1508" spans="1:25" x14ac:dyDescent="0.25">
      <c r="A1508" s="881"/>
      <c r="B1508" s="1131">
        <v>1258</v>
      </c>
      <c r="C1508" s="885">
        <v>0.9970467857872779</v>
      </c>
      <c r="D1508" s="885">
        <v>0.99784664162959058</v>
      </c>
      <c r="E1508" s="885">
        <v>1.0086257410503405</v>
      </c>
      <c r="F1508" s="885">
        <v>0.98043337591861057</v>
      </c>
      <c r="G1508" s="885">
        <v>0.99338861272101542</v>
      </c>
      <c r="H1508" s="885">
        <v>0.99634788425627729</v>
      </c>
      <c r="I1508" s="885">
        <v>1.0091645217981946</v>
      </c>
      <c r="K1508">
        <v>1.9441244477232349</v>
      </c>
      <c r="L1508">
        <v>0</v>
      </c>
      <c r="M1508">
        <v>1.9187502779632619E-3</v>
      </c>
      <c r="N1508">
        <v>0.19857183786224711</v>
      </c>
      <c r="O1508">
        <v>2.5250295900295112E-2</v>
      </c>
      <c r="P1508">
        <v>2.1298466261165359E-2</v>
      </c>
      <c r="Q1508">
        <v>2.9916749072601968E-3</v>
      </c>
      <c r="R1508">
        <v>1.907256420152789E-3</v>
      </c>
      <c r="S1508">
        <v>0.20816950680093754</v>
      </c>
      <c r="T1508">
        <v>1.0575814399040047</v>
      </c>
      <c r="U1508">
        <v>3.7430851924815524E-2</v>
      </c>
      <c r="V1508">
        <v>0.24849093949746012</v>
      </c>
      <c r="W1508">
        <v>0.11799893969195141</v>
      </c>
      <c r="X1508">
        <v>2.1161065582161531E-2</v>
      </c>
      <c r="Y1508">
        <v>5.190923248745964E-3</v>
      </c>
    </row>
    <row r="1509" spans="1:25" x14ac:dyDescent="0.25">
      <c r="A1509" s="881"/>
      <c r="B1509" s="1131">
        <v>1259</v>
      </c>
      <c r="C1509" s="885">
        <v>0.9817715354257609</v>
      </c>
      <c r="D1509" s="885">
        <v>1.0066842528533479</v>
      </c>
      <c r="E1509" s="885">
        <v>0.99888428438165977</v>
      </c>
      <c r="F1509" s="885">
        <v>1.0194109968037446</v>
      </c>
      <c r="G1509" s="885">
        <v>0.99788103754575208</v>
      </c>
      <c r="H1509" s="885">
        <v>0.98007512727087442</v>
      </c>
      <c r="I1509" s="885">
        <v>0.99046077650365738</v>
      </c>
      <c r="K1509">
        <v>1.9392082372031063</v>
      </c>
      <c r="L1509">
        <v>0</v>
      </c>
      <c r="M1509">
        <v>1.9480189890316204E-3</v>
      </c>
      <c r="N1509">
        <v>0.19556399782838385</v>
      </c>
      <c r="O1509">
        <v>2.5531516075457398E-2</v>
      </c>
      <c r="P1509">
        <v>2.1136529015640497E-2</v>
      </c>
      <c r="Q1509">
        <v>2.9974190793413008E-3</v>
      </c>
      <c r="R1509">
        <v>1.9361488095575754E-3</v>
      </c>
      <c r="S1509">
        <v>0.20499643784769925</v>
      </c>
      <c r="T1509">
        <v>1.0584748385865961</v>
      </c>
      <c r="U1509">
        <v>3.8013233480773394E-2</v>
      </c>
      <c r="V1509">
        <v>0.24958906647628049</v>
      </c>
      <c r="W1509">
        <v>0.11698672394264303</v>
      </c>
      <c r="X1509">
        <v>2.0660786241434081E-2</v>
      </c>
      <c r="Y1509">
        <v>5.2695588083321839E-3</v>
      </c>
    </row>
    <row r="1510" spans="1:25" x14ac:dyDescent="0.25">
      <c r="A1510" s="881"/>
      <c r="B1510" s="1131">
        <v>1260</v>
      </c>
      <c r="C1510" s="885">
        <v>0.97163927942838324</v>
      </c>
      <c r="D1510" s="885">
        <v>0.97909028131981823</v>
      </c>
      <c r="E1510" s="885">
        <v>1.0065111590006184</v>
      </c>
      <c r="F1510" s="885">
        <v>0.99321936540919709</v>
      </c>
      <c r="G1510" s="885">
        <v>0.99931185044977555</v>
      </c>
      <c r="H1510" s="885">
        <v>0.99039957171759674</v>
      </c>
      <c r="I1510" s="885">
        <v>1.0297057995622529</v>
      </c>
      <c r="K1510">
        <v>1.9731877195454384</v>
      </c>
      <c r="L1510">
        <v>0</v>
      </c>
      <c r="M1510">
        <v>1.9844812556177268E-3</v>
      </c>
      <c r="N1510">
        <v>0.20402268893266245</v>
      </c>
      <c r="O1510">
        <v>2.6155485222856094E-2</v>
      </c>
      <c r="P1510">
        <v>2.1517282967629826E-2</v>
      </c>
      <c r="Q1510">
        <v>3.0882611711499459E-3</v>
      </c>
      <c r="R1510">
        <v>1.9725380493044458E-3</v>
      </c>
      <c r="S1510">
        <v>0.21922635103281046</v>
      </c>
      <c r="T1510">
        <v>1.0577750559174572</v>
      </c>
      <c r="U1510">
        <v>3.8409635541774879E-2</v>
      </c>
      <c r="V1510">
        <v>0.25464977049327447</v>
      </c>
      <c r="W1510">
        <v>0.12141266212753639</v>
      </c>
      <c r="X1510">
        <v>2.1573871021383986E-2</v>
      </c>
      <c r="Y1510">
        <v>5.3685983232135059E-3</v>
      </c>
    </row>
    <row r="1511" spans="1:25" x14ac:dyDescent="0.25">
      <c r="A1511" s="881"/>
      <c r="B1511" s="1131">
        <v>1261</v>
      </c>
      <c r="C1511" s="885">
        <v>1.0138020989757144</v>
      </c>
      <c r="D1511" s="885">
        <v>1.0147174263268028</v>
      </c>
      <c r="E1511" s="885">
        <v>1.0318031301972272</v>
      </c>
      <c r="F1511" s="885">
        <v>1.0225607097699922</v>
      </c>
      <c r="G1511" s="885">
        <v>0.96701934369566522</v>
      </c>
      <c r="H1511" s="885">
        <v>0.9574422226994963</v>
      </c>
      <c r="I1511" s="885">
        <v>0.97232841718000473</v>
      </c>
      <c r="K1511">
        <v>1.9053195467727093</v>
      </c>
      <c r="L1511">
        <v>0</v>
      </c>
      <c r="M1511">
        <v>1.7124624178847627E-3</v>
      </c>
      <c r="N1511">
        <v>0.19040562461190022</v>
      </c>
      <c r="O1511">
        <v>2.4627919677289195E-2</v>
      </c>
      <c r="P1511">
        <v>2.133798761900553E-2</v>
      </c>
      <c r="Q1511">
        <v>2.9894248696541682E-3</v>
      </c>
      <c r="R1511">
        <v>1.7017750682396615E-3</v>
      </c>
      <c r="S1511">
        <v>0.19199628794385032</v>
      </c>
      <c r="T1511">
        <v>1.0554707148559273</v>
      </c>
      <c r="U1511">
        <v>3.6812224633015811E-2</v>
      </c>
      <c r="V1511">
        <v>0.24410039186511254</v>
      </c>
      <c r="W1511">
        <v>0.11139070194359911</v>
      </c>
      <c r="X1511">
        <v>2.156728535725131E-2</v>
      </c>
      <c r="Y1511">
        <v>4.6316707457478828E-3</v>
      </c>
    </row>
    <row r="1512" spans="1:25" x14ac:dyDescent="0.25">
      <c r="A1512" s="881"/>
      <c r="B1512" s="1131">
        <v>1262</v>
      </c>
      <c r="C1512" s="885">
        <v>0.99507614414159939</v>
      </c>
      <c r="D1512" s="885">
        <v>1.0136811101502186</v>
      </c>
      <c r="E1512" s="885">
        <v>1.0112546497431514</v>
      </c>
      <c r="F1512" s="885">
        <v>1.0049349536518788</v>
      </c>
      <c r="G1512" s="885">
        <v>1.0428104879860967</v>
      </c>
      <c r="H1512" s="885">
        <v>0.95578107976035787</v>
      </c>
      <c r="I1512" s="885">
        <v>1.0294891562707693</v>
      </c>
      <c r="K1512">
        <v>1.9263002443267894</v>
      </c>
      <c r="L1512">
        <v>0</v>
      </c>
      <c r="M1512">
        <v>1.8198601790135819E-3</v>
      </c>
      <c r="N1512">
        <v>0.18983337004026013</v>
      </c>
      <c r="O1512">
        <v>2.5104052403204374E-2</v>
      </c>
      <c r="P1512">
        <v>2.129901281933913E-2</v>
      </c>
      <c r="Q1512">
        <v>2.985441474119375E-3</v>
      </c>
      <c r="R1512">
        <v>1.8084836290837411E-3</v>
      </c>
      <c r="S1512">
        <v>0.20703283166347825</v>
      </c>
      <c r="T1512">
        <v>1.0573409742511788</v>
      </c>
      <c r="U1512">
        <v>3.7504979715005819E-2</v>
      </c>
      <c r="V1512">
        <v>0.24682123437429043</v>
      </c>
      <c r="W1512">
        <v>0.11260487453948714</v>
      </c>
      <c r="X1512">
        <v>2.0862753324455915E-2</v>
      </c>
      <c r="Y1512">
        <v>4.9220962718978392E-3</v>
      </c>
    </row>
    <row r="1513" spans="1:25" x14ac:dyDescent="0.25">
      <c r="A1513" s="881"/>
      <c r="B1513" s="1131">
        <v>1263</v>
      </c>
      <c r="C1513" s="885">
        <v>0.96756929513673096</v>
      </c>
      <c r="D1513" s="885">
        <v>1.0380357061504855</v>
      </c>
      <c r="E1513" s="885">
        <v>0.98612972902233453</v>
      </c>
      <c r="F1513" s="885">
        <v>0.99260038945208562</v>
      </c>
      <c r="G1513" s="885">
        <v>1.0088604600758457</v>
      </c>
      <c r="H1513" s="885">
        <v>1.034494640065067</v>
      </c>
      <c r="I1513" s="885">
        <v>1.0170770164573135</v>
      </c>
      <c r="K1513">
        <v>1.964755696635577</v>
      </c>
      <c r="L1513">
        <v>0</v>
      </c>
      <c r="M1513">
        <v>2.1109343745218784E-3</v>
      </c>
      <c r="N1513">
        <v>0.20373349766507257</v>
      </c>
      <c r="O1513">
        <v>2.5517148206699362E-2</v>
      </c>
      <c r="P1513">
        <v>2.1087294018627096E-2</v>
      </c>
      <c r="Q1513">
        <v>2.9636808499222474E-3</v>
      </c>
      <c r="R1513">
        <v>2.098722453329694E-3</v>
      </c>
      <c r="S1513">
        <v>0.21630416374159683</v>
      </c>
      <c r="T1513">
        <v>1.0596501576075101</v>
      </c>
      <c r="U1513">
        <v>3.8571201864816343E-2</v>
      </c>
      <c r="V1513">
        <v>0.2478282403039283</v>
      </c>
      <c r="W1513">
        <v>0.12294764211208518</v>
      </c>
      <c r="X1513">
        <v>2.0452851512217655E-2</v>
      </c>
      <c r="Y1513">
        <v>5.7120306742926242E-3</v>
      </c>
    </row>
    <row r="1514" spans="1:25" x14ac:dyDescent="0.25">
      <c r="A1514" s="881"/>
      <c r="B1514" s="1131">
        <v>1264</v>
      </c>
      <c r="C1514" s="885">
        <v>1.0196299106762157</v>
      </c>
      <c r="D1514" s="885">
        <v>0.99349828399616935</v>
      </c>
      <c r="E1514" s="885">
        <v>1.0064888508402832</v>
      </c>
      <c r="F1514" s="885">
        <v>0.97474356212213731</v>
      </c>
      <c r="G1514" s="885">
        <v>0.98868491028059602</v>
      </c>
      <c r="H1514" s="885">
        <v>1.0079174521139238</v>
      </c>
      <c r="I1514" s="885">
        <v>1.0150162330382142</v>
      </c>
      <c r="K1514">
        <v>1.9348059802384041</v>
      </c>
      <c r="L1514">
        <v>0</v>
      </c>
      <c r="M1514">
        <v>1.9107359052147393E-3</v>
      </c>
      <c r="N1514">
        <v>0.1964468506610075</v>
      </c>
      <c r="O1514">
        <v>2.4744509341028838E-2</v>
      </c>
      <c r="P1514">
        <v>2.1195009575262356E-2</v>
      </c>
      <c r="Q1514">
        <v>2.9245923915307385E-3</v>
      </c>
      <c r="R1514">
        <v>1.8994248691722195E-3</v>
      </c>
      <c r="S1514">
        <v>0.20631964696416094</v>
      </c>
      <c r="T1514">
        <v>1.0577770994338878</v>
      </c>
      <c r="U1514">
        <v>3.6601820140962874E-2</v>
      </c>
      <c r="V1514">
        <v>0.24588838384709788</v>
      </c>
      <c r="W1514">
        <v>0.11690610320437644</v>
      </c>
      <c r="X1514">
        <v>2.0843667366482677E-2</v>
      </c>
      <c r="Y1514">
        <v>5.1696083486469386E-3</v>
      </c>
    </row>
    <row r="1515" spans="1:25" x14ac:dyDescent="0.25">
      <c r="A1515" s="881"/>
      <c r="B1515" s="1131">
        <v>1265</v>
      </c>
      <c r="C1515" s="885">
        <v>1.0082118567322629</v>
      </c>
      <c r="D1515" s="885">
        <v>0.99036087738406142</v>
      </c>
      <c r="E1515" s="885">
        <v>0.99699282764093311</v>
      </c>
      <c r="F1515" s="885">
        <v>0.99347546275148324</v>
      </c>
      <c r="G1515" s="885">
        <v>1.0157002530408943</v>
      </c>
      <c r="H1515" s="885">
        <v>1.0280137612294951</v>
      </c>
      <c r="I1515" s="885">
        <v>0.99882874036266245</v>
      </c>
      <c r="K1515">
        <v>1.9478814874043724</v>
      </c>
      <c r="L1515">
        <v>0</v>
      </c>
      <c r="M1515">
        <v>2.0138766601501845E-3</v>
      </c>
      <c r="N1515">
        <v>0.20104792672058402</v>
      </c>
      <c r="O1515">
        <v>2.5063996360119294E-2</v>
      </c>
      <c r="P1515">
        <v>2.110800477563568E-2</v>
      </c>
      <c r="Q1515">
        <v>2.9335890311529104E-3</v>
      </c>
      <c r="R1515">
        <v>2.0021906811573593E-3</v>
      </c>
      <c r="S1515">
        <v>0.20765186976641492</v>
      </c>
      <c r="T1515">
        <v>1.0586487346550055</v>
      </c>
      <c r="U1515">
        <v>3.7016337738654002E-2</v>
      </c>
      <c r="V1515">
        <v>0.24785553578253572</v>
      </c>
      <c r="W1515">
        <v>0.12042319639451782</v>
      </c>
      <c r="X1515">
        <v>2.0694679146615286E-2</v>
      </c>
      <c r="Y1515">
        <v>5.4493030121296722E-3</v>
      </c>
    </row>
    <row r="1516" spans="1:25" x14ac:dyDescent="0.25">
      <c r="A1516" s="881"/>
      <c r="B1516" s="1131">
        <v>1266</v>
      </c>
      <c r="C1516" s="885">
        <v>1.0185364130542156</v>
      </c>
      <c r="D1516" s="885">
        <v>1.0123519518886086</v>
      </c>
      <c r="E1516" s="885">
        <v>0.99539331402223441</v>
      </c>
      <c r="F1516" s="885">
        <v>0.9702752858120246</v>
      </c>
      <c r="G1516" s="885">
        <v>0.97641504059740691</v>
      </c>
      <c r="H1516" s="885">
        <v>0.99754187429324581</v>
      </c>
      <c r="I1516" s="885">
        <v>0.98411942125302476</v>
      </c>
      <c r="K1516">
        <v>1.9152423010216306</v>
      </c>
      <c r="L1516">
        <v>0</v>
      </c>
      <c r="M1516">
        <v>1.9199322848080351E-3</v>
      </c>
      <c r="N1516">
        <v>0.1906818924687724</v>
      </c>
      <c r="O1516">
        <v>2.4541728369337826E-2</v>
      </c>
      <c r="P1516">
        <v>2.0885964129235199E-2</v>
      </c>
      <c r="Q1516">
        <v>2.8722278998989806E-3</v>
      </c>
      <c r="R1516">
        <v>1.9084336442457047E-3</v>
      </c>
      <c r="S1516">
        <v>0.19752511808731646</v>
      </c>
      <c r="T1516">
        <v>1.0587958988563686</v>
      </c>
      <c r="U1516">
        <v>3.6641115744705667E-2</v>
      </c>
      <c r="V1516">
        <v>0.24374293981295431</v>
      </c>
      <c r="W1516">
        <v>0.11433957821724618</v>
      </c>
      <c r="X1516">
        <v>2.0033208811702188E-2</v>
      </c>
      <c r="Y1516">
        <v>5.1941272646550615E-3</v>
      </c>
    </row>
    <row r="1517" spans="1:25" x14ac:dyDescent="0.25">
      <c r="A1517" s="881"/>
      <c r="B1517" s="1131">
        <v>1267</v>
      </c>
      <c r="C1517" s="885">
        <v>0.95252738455965524</v>
      </c>
      <c r="D1517" s="885">
        <v>0.98746595168044848</v>
      </c>
      <c r="E1517" s="885">
        <v>0.9993986529707467</v>
      </c>
      <c r="F1517" s="885">
        <v>0.98720505550211413</v>
      </c>
      <c r="G1517" s="885">
        <v>0.98864399333660569</v>
      </c>
      <c r="H1517" s="885">
        <v>1.0066972182988008</v>
      </c>
      <c r="I1517" s="885">
        <v>1.0185345539272193</v>
      </c>
      <c r="K1517">
        <v>1.9888110112139212</v>
      </c>
      <c r="L1517">
        <v>0</v>
      </c>
      <c r="M1517">
        <v>2.0798745725767553E-3</v>
      </c>
      <c r="N1517">
        <v>0.2091711401953284</v>
      </c>
      <c r="O1517">
        <v>2.656775919542444E-2</v>
      </c>
      <c r="P1517">
        <v>2.1487408629527572E-2</v>
      </c>
      <c r="Q1517">
        <v>3.1164927227710923E-3</v>
      </c>
      <c r="R1517">
        <v>2.0675525809930322E-3</v>
      </c>
      <c r="S1517">
        <v>0.22210843160742841</v>
      </c>
      <c r="T1517">
        <v>1.0584275728477943</v>
      </c>
      <c r="U1517">
        <v>3.9180302011127682E-2</v>
      </c>
      <c r="V1517">
        <v>0.25648284280411282</v>
      </c>
      <c r="W1517">
        <v>0.12508248299852892</v>
      </c>
      <c r="X1517">
        <v>2.157170363652398E-2</v>
      </c>
      <c r="Y1517">
        <v>5.6271965569378857E-3</v>
      </c>
    </row>
    <row r="1518" spans="1:25" x14ac:dyDescent="0.25">
      <c r="A1518" s="881"/>
      <c r="B1518" s="1131">
        <v>1268</v>
      </c>
      <c r="C1518" s="885">
        <v>0.97326435285812962</v>
      </c>
      <c r="D1518" s="885">
        <v>0.9963538072203515</v>
      </c>
      <c r="E1518" s="885">
        <v>0.97090191378329915</v>
      </c>
      <c r="F1518" s="885">
        <v>0.99244826586050217</v>
      </c>
      <c r="G1518" s="885">
        <v>1.0268324260326318</v>
      </c>
      <c r="H1518" s="885">
        <v>0.99671453695251189</v>
      </c>
      <c r="I1518" s="885">
        <v>1.0172549461755642</v>
      </c>
      <c r="K1518">
        <v>1.9573552964922176</v>
      </c>
      <c r="L1518">
        <v>0</v>
      </c>
      <c r="M1518">
        <v>2.1302533365339508E-3</v>
      </c>
      <c r="N1518">
        <v>0.19603014778894634</v>
      </c>
      <c r="O1518">
        <v>2.5886490330790823E-2</v>
      </c>
      <c r="P1518">
        <v>2.0902480368811229E-2</v>
      </c>
      <c r="Q1518">
        <v>2.9519804206053382E-3</v>
      </c>
      <c r="R1518">
        <v>2.1174985347126268E-3</v>
      </c>
      <c r="S1518">
        <v>0.21515264224748643</v>
      </c>
      <c r="T1518">
        <v>1.0610616578783298</v>
      </c>
      <c r="U1518">
        <v>3.834550242318082E-2</v>
      </c>
      <c r="V1518">
        <v>0.25214808526274679</v>
      </c>
      <c r="W1518">
        <v>0.1195568295405889</v>
      </c>
      <c r="X1518">
        <v>1.9569102054266294E-2</v>
      </c>
      <c r="Y1518">
        <v>5.763132978283402E-3</v>
      </c>
    </row>
    <row r="1519" spans="1:25" x14ac:dyDescent="0.25">
      <c r="A1519" s="881"/>
      <c r="B1519" s="1131">
        <v>1269</v>
      </c>
      <c r="C1519" s="885">
        <v>0.9673182656310898</v>
      </c>
      <c r="D1519" s="885">
        <v>1.0006692198975298</v>
      </c>
      <c r="E1519" s="885">
        <v>1.0343062134088146</v>
      </c>
      <c r="F1519" s="885">
        <v>0.98886487677113621</v>
      </c>
      <c r="G1519" s="885">
        <v>0.99927142832439619</v>
      </c>
      <c r="H1519" s="885">
        <v>0.98331053354196518</v>
      </c>
      <c r="I1519" s="885">
        <v>0.99392068565318725</v>
      </c>
      <c r="K1519">
        <v>1.9625286958819053</v>
      </c>
      <c r="L1519">
        <v>0</v>
      </c>
      <c r="M1519">
        <v>1.846177655204195E-3</v>
      </c>
      <c r="N1519">
        <v>0.20690942142250698</v>
      </c>
      <c r="O1519">
        <v>2.5989943283383391E-2</v>
      </c>
      <c r="P1519">
        <v>2.1763386539847343E-2</v>
      </c>
      <c r="Q1519">
        <v>3.1594943068735978E-3</v>
      </c>
      <c r="R1519">
        <v>1.8349697047962709E-3</v>
      </c>
      <c r="S1519">
        <v>0.20969698380467458</v>
      </c>
      <c r="T1519">
        <v>1.0552440207865088</v>
      </c>
      <c r="U1519">
        <v>3.858121150702009E-2</v>
      </c>
      <c r="V1519">
        <v>0.2524836911457537</v>
      </c>
      <c r="W1519">
        <v>0.12084328033181048</v>
      </c>
      <c r="X1519">
        <v>2.2874288065077037E-2</v>
      </c>
      <c r="Y1519">
        <v>4.9941826388548334E-3</v>
      </c>
    </row>
    <row r="1520" spans="1:25" x14ac:dyDescent="0.25">
      <c r="A1520" s="881"/>
      <c r="B1520" s="1131">
        <v>1270</v>
      </c>
      <c r="C1520" s="885">
        <v>1.005145663900312</v>
      </c>
      <c r="D1520" s="885">
        <v>0.96363925022828145</v>
      </c>
      <c r="E1520" s="885">
        <v>0.96100566562913103</v>
      </c>
      <c r="F1520" s="885">
        <v>0.97180570839229208</v>
      </c>
      <c r="G1520" s="885">
        <v>0.9987500306980962</v>
      </c>
      <c r="H1520" s="885">
        <v>0.98325553567518109</v>
      </c>
      <c r="I1520" s="885">
        <v>0.99105312894950137</v>
      </c>
      <c r="K1520">
        <v>1.9331500794939853</v>
      </c>
      <c r="L1520">
        <v>0</v>
      </c>
      <c r="M1520">
        <v>2.1121369833750456E-3</v>
      </c>
      <c r="N1520">
        <v>0.18844258782543438</v>
      </c>
      <c r="O1520">
        <v>2.5484268536053591E-2</v>
      </c>
      <c r="P1520">
        <v>2.0596631642429357E-2</v>
      </c>
      <c r="Q1520">
        <v>2.8700532830602484E-3</v>
      </c>
      <c r="R1520">
        <v>2.0993474349666119E-3</v>
      </c>
      <c r="S1520">
        <v>0.20473825638648074</v>
      </c>
      <c r="T1520">
        <v>1.0619837755413346</v>
      </c>
      <c r="U1520">
        <v>3.7129255929037396E-2</v>
      </c>
      <c r="V1520">
        <v>0.25174570359838178</v>
      </c>
      <c r="W1520">
        <v>0.11572907048032387</v>
      </c>
      <c r="X1520">
        <v>1.8729534151574141E-2</v>
      </c>
      <c r="Y1520">
        <v>5.7137316682831733E-3</v>
      </c>
    </row>
    <row r="1521" spans="1:25" x14ac:dyDescent="0.25">
      <c r="A1521" s="881"/>
      <c r="B1521" s="1131">
        <v>1271</v>
      </c>
      <c r="C1521" s="885">
        <v>0.98231924799119041</v>
      </c>
      <c r="D1521" s="885">
        <v>1.0212683227718797</v>
      </c>
      <c r="E1521" s="885">
        <v>1.0166350847816119</v>
      </c>
      <c r="F1521" s="885">
        <v>1.0056212378735001</v>
      </c>
      <c r="G1521" s="885">
        <v>1.0000351618364098</v>
      </c>
      <c r="H1521" s="885">
        <v>0.99839603823079004</v>
      </c>
      <c r="I1521" s="885">
        <v>1.0358881535300464</v>
      </c>
      <c r="K1521">
        <v>1.9542531789373447</v>
      </c>
      <c r="L1521">
        <v>0</v>
      </c>
      <c r="M1521">
        <v>1.8969539879001313E-3</v>
      </c>
      <c r="N1521">
        <v>0.20126525019007255</v>
      </c>
      <c r="O1521">
        <v>2.5336597188889077E-2</v>
      </c>
      <c r="P1521">
        <v>2.1503322745554426E-2</v>
      </c>
      <c r="Q1521">
        <v>3.030873663777607E-3</v>
      </c>
      <c r="R1521">
        <v>1.8855958368886533E-3</v>
      </c>
      <c r="S1521">
        <v>0.21480770597014179</v>
      </c>
      <c r="T1521">
        <v>1.0568496684070436</v>
      </c>
      <c r="U1521">
        <v>3.7992038410359655E-2</v>
      </c>
      <c r="V1521">
        <v>0.2477120816387042</v>
      </c>
      <c r="W1521">
        <v>0.11895152961561584</v>
      </c>
      <c r="X1521">
        <v>2.1683498976685655E-2</v>
      </c>
      <c r="Y1521">
        <v>5.1319702815103381E-3</v>
      </c>
    </row>
    <row r="1522" spans="1:25" x14ac:dyDescent="0.25">
      <c r="A1522" s="881"/>
      <c r="B1522" s="1131">
        <v>1272</v>
      </c>
      <c r="C1522" s="885">
        <v>0.98556803422446349</v>
      </c>
      <c r="D1522" s="885">
        <v>1.0200011637597568</v>
      </c>
      <c r="E1522" s="885">
        <v>1.0339307498417667</v>
      </c>
      <c r="F1522" s="885">
        <v>0.98623213177483626</v>
      </c>
      <c r="G1522" s="885">
        <v>1.0216902933967333</v>
      </c>
      <c r="H1522" s="885">
        <v>1.0225726209720241</v>
      </c>
      <c r="I1522" s="885">
        <v>1.0461548812157491</v>
      </c>
      <c r="K1522">
        <v>1.9688438316444552</v>
      </c>
      <c r="L1522">
        <v>0</v>
      </c>
      <c r="M1522">
        <v>1.8681025752536092E-3</v>
      </c>
      <c r="N1522">
        <v>0.20917026197493441</v>
      </c>
      <c r="O1522">
        <v>2.5268559047532044E-2</v>
      </c>
      <c r="P1522">
        <v>2.180584628690737E-2</v>
      </c>
      <c r="Q1522">
        <v>3.0747412399579209E-3</v>
      </c>
      <c r="R1522">
        <v>1.8571825606103736E-3</v>
      </c>
      <c r="S1522">
        <v>0.2189162557961917</v>
      </c>
      <c r="T1522">
        <v>1.0552780093495449</v>
      </c>
      <c r="U1522">
        <v>3.7866803005927402E-2</v>
      </c>
      <c r="V1522">
        <v>0.24740220134639074</v>
      </c>
      <c r="W1522">
        <v>0.12219435382510291</v>
      </c>
      <c r="X1522">
        <v>2.2823081076694507E-2</v>
      </c>
      <c r="Y1522">
        <v>5.0546387099148693E-3</v>
      </c>
    </row>
    <row r="1523" spans="1:25" x14ac:dyDescent="0.25">
      <c r="A1523" s="881"/>
      <c r="B1523" s="1131">
        <v>1273</v>
      </c>
      <c r="C1523" s="885">
        <v>0.99973056131515581</v>
      </c>
      <c r="D1523" s="885">
        <v>1.0112418659713223</v>
      </c>
      <c r="E1523" s="885">
        <v>1.0091814088531659</v>
      </c>
      <c r="F1523" s="885">
        <v>1.0243565172064193</v>
      </c>
      <c r="G1523" s="885">
        <v>1.0179891565686299</v>
      </c>
      <c r="H1523" s="885">
        <v>1.0322889920668339</v>
      </c>
      <c r="I1523" s="885">
        <v>0.96817271382171621</v>
      </c>
      <c r="K1523">
        <v>1.9437584326774673</v>
      </c>
      <c r="L1523">
        <v>0</v>
      </c>
      <c r="M1523">
        <v>1.9672972549233869E-3</v>
      </c>
      <c r="N1523">
        <v>0.20398970919320933</v>
      </c>
      <c r="O1523">
        <v>2.5016941317446025E-2</v>
      </c>
      <c r="P1523">
        <v>2.1185185150047223E-2</v>
      </c>
      <c r="Q1523">
        <v>2.9684274027999146E-3</v>
      </c>
      <c r="R1523">
        <v>1.9559123983369196E-3</v>
      </c>
      <c r="S1523">
        <v>0.20146602750496193</v>
      </c>
      <c r="T1523">
        <v>1.0575305906223036</v>
      </c>
      <c r="U1523">
        <v>3.7330368846403603E-2</v>
      </c>
      <c r="V1523">
        <v>0.24646404436869118</v>
      </c>
      <c r="W1523">
        <v>0.12117265032721239</v>
      </c>
      <c r="X1523">
        <v>2.1322524019054285E-2</v>
      </c>
      <c r="Y1523">
        <v>5.3233487819242678E-3</v>
      </c>
    </row>
    <row r="1524" spans="1:25" x14ac:dyDescent="0.25">
      <c r="A1524" s="881"/>
      <c r="B1524" s="1131">
        <v>1274</v>
      </c>
      <c r="C1524" s="885">
        <v>0.99108396466602089</v>
      </c>
      <c r="D1524" s="885">
        <v>0.98531624698978526</v>
      </c>
      <c r="E1524" s="885">
        <v>0.99697903470934146</v>
      </c>
      <c r="F1524" s="885">
        <v>1.0037282471699442</v>
      </c>
      <c r="G1524" s="885">
        <v>1.0082097882948349</v>
      </c>
      <c r="H1524" s="885">
        <v>1.0233881357431662</v>
      </c>
      <c r="I1524" s="885">
        <v>1.0301454845742262</v>
      </c>
      <c r="K1524">
        <v>1.9678653281946734</v>
      </c>
      <c r="L1524">
        <v>0</v>
      </c>
      <c r="M1524">
        <v>2.0446878679930892E-3</v>
      </c>
      <c r="N1524">
        <v>0.20411012963305702</v>
      </c>
      <c r="O1524">
        <v>2.5561794479014143E-2</v>
      </c>
      <c r="P1524">
        <v>2.1297949554800577E-2</v>
      </c>
      <c r="Q1524">
        <v>2.9907411238998985E-3</v>
      </c>
      <c r="R1524">
        <v>2.0327737117554552E-3</v>
      </c>
      <c r="S1524">
        <v>0.21788629972334433</v>
      </c>
      <c r="T1524">
        <v>1.0586500032561801</v>
      </c>
      <c r="U1524">
        <v>3.7656053302702004E-2</v>
      </c>
      <c r="V1524">
        <v>0.25094502592884299</v>
      </c>
      <c r="W1524">
        <v>0.12225854348479442</v>
      </c>
      <c r="X1524">
        <v>2.0988161924548953E-2</v>
      </c>
      <c r="Y1524">
        <v>5.5325399397243655E-3</v>
      </c>
    </row>
    <row r="1525" spans="1:25" x14ac:dyDescent="0.25">
      <c r="A1525" s="881"/>
      <c r="B1525" s="1131">
        <v>1275</v>
      </c>
      <c r="C1525" s="885">
        <v>0.99201819935298374</v>
      </c>
      <c r="D1525" s="885">
        <v>0.95221595274916981</v>
      </c>
      <c r="E1525" s="885">
        <v>1.0098706545493439</v>
      </c>
      <c r="F1525" s="885">
        <v>1.0195090564272757</v>
      </c>
      <c r="G1525" s="885">
        <v>1.0013975534267698</v>
      </c>
      <c r="H1525" s="885">
        <v>1.0195004068407079</v>
      </c>
      <c r="I1525" s="885">
        <v>1.0304397122393969</v>
      </c>
      <c r="K1525">
        <v>1.9826638745468865</v>
      </c>
      <c r="L1525">
        <v>0</v>
      </c>
      <c r="M1525">
        <v>2.0143738259138047E-3</v>
      </c>
      <c r="N1525">
        <v>0.20930903500261117</v>
      </c>
      <c r="O1525">
        <v>2.5975291816213532E-2</v>
      </c>
      <c r="P1525">
        <v>2.1585118203156249E-2</v>
      </c>
      <c r="Q1525">
        <v>3.0712556965979162E-3</v>
      </c>
      <c r="R1525">
        <v>2.0026198039606534E-3</v>
      </c>
      <c r="S1525">
        <v>0.22078652717748115</v>
      </c>
      <c r="T1525">
        <v>1.057467534340484</v>
      </c>
      <c r="U1525">
        <v>3.7620590655754078E-2</v>
      </c>
      <c r="V1525">
        <v>0.25522008431050475</v>
      </c>
      <c r="W1525">
        <v>0.12427416734797492</v>
      </c>
      <c r="X1525">
        <v>2.191555307512099E-2</v>
      </c>
      <c r="Y1525">
        <v>5.4504709429399481E-3</v>
      </c>
    </row>
    <row r="1526" spans="1:25" x14ac:dyDescent="0.25">
      <c r="A1526" s="881"/>
      <c r="B1526" s="1131">
        <v>1276</v>
      </c>
      <c r="C1526" s="885">
        <v>0.99960843384867892</v>
      </c>
      <c r="D1526" s="885">
        <v>0.9941464570376205</v>
      </c>
      <c r="E1526" s="885">
        <v>0.9724762389686572</v>
      </c>
      <c r="F1526" s="885">
        <v>0.99024807439166973</v>
      </c>
      <c r="G1526" s="885">
        <v>1.0040177982714873</v>
      </c>
      <c r="H1526" s="885">
        <v>1.026673821501392</v>
      </c>
      <c r="I1526" s="885">
        <v>1.0096253403272444</v>
      </c>
      <c r="K1526">
        <v>1.949507179850209</v>
      </c>
      <c r="L1526">
        <v>0</v>
      </c>
      <c r="M1526">
        <v>2.1317541024370237E-3</v>
      </c>
      <c r="N1526">
        <v>0.19716827781173807</v>
      </c>
      <c r="O1526">
        <v>2.5231970971088383E-2</v>
      </c>
      <c r="P1526">
        <v>2.0811778408278244E-2</v>
      </c>
      <c r="Q1526">
        <v>2.8815246942883268E-3</v>
      </c>
      <c r="R1526">
        <v>2.1193646821195001E-3</v>
      </c>
      <c r="S1526">
        <v>0.21119434048086999</v>
      </c>
      <c r="T1526">
        <v>1.0609153137062934</v>
      </c>
      <c r="U1526">
        <v>3.7334929695647653E-2</v>
      </c>
      <c r="V1526">
        <v>0.24859186668228725</v>
      </c>
      <c r="W1526">
        <v>0.12011890336664233</v>
      </c>
      <c r="X1526">
        <v>1.9502451437043589E-2</v>
      </c>
      <c r="Y1526">
        <v>5.7682120163495857E-3</v>
      </c>
    </row>
    <row r="1527" spans="1:25" x14ac:dyDescent="0.25">
      <c r="A1527" s="881"/>
      <c r="B1527" s="1131">
        <v>1277</v>
      </c>
      <c r="C1527" s="885">
        <v>1.0118690113806226</v>
      </c>
      <c r="D1527" s="885">
        <v>1.0085936136375053</v>
      </c>
      <c r="E1527" s="885">
        <v>0.98850223992268493</v>
      </c>
      <c r="F1527" s="885">
        <v>0.97781507861466899</v>
      </c>
      <c r="G1527" s="885">
        <v>1.0014870487835699</v>
      </c>
      <c r="H1527" s="885">
        <v>1.0390293892643596</v>
      </c>
      <c r="I1527" s="885">
        <v>1.003366094590582</v>
      </c>
      <c r="K1527">
        <v>1.9416696605921895</v>
      </c>
      <c r="L1527">
        <v>0</v>
      </c>
      <c r="M1527">
        <v>2.0461019100310677E-3</v>
      </c>
      <c r="N1527">
        <v>0.19894799427636389</v>
      </c>
      <c r="O1527">
        <v>2.4748895672017608E-2</v>
      </c>
      <c r="P1527">
        <v>2.0939267417975204E-2</v>
      </c>
      <c r="Q1527">
        <v>2.8756483484965682E-3</v>
      </c>
      <c r="R1527">
        <v>2.0343399491501201E-3</v>
      </c>
      <c r="S1527">
        <v>0.20720668337353593</v>
      </c>
      <c r="T1527">
        <v>1.0594310543272334</v>
      </c>
      <c r="U1527">
        <v>3.6882551181200887E-2</v>
      </c>
      <c r="V1527">
        <v>0.24509988609723007</v>
      </c>
      <c r="W1527">
        <v>0.11986324333152648</v>
      </c>
      <c r="X1527">
        <v>2.0149395805885616E-2</v>
      </c>
      <c r="Y1527">
        <v>5.5368027216026209E-3</v>
      </c>
    </row>
    <row r="1528" spans="1:25" x14ac:dyDescent="0.25">
      <c r="A1528" s="881"/>
      <c r="B1528" s="1131">
        <v>1278</v>
      </c>
      <c r="C1528" s="885">
        <v>0.97411512940021483</v>
      </c>
      <c r="D1528" s="885">
        <v>0.99343227133952572</v>
      </c>
      <c r="E1528" s="885">
        <v>1.0157601883215499</v>
      </c>
      <c r="F1528" s="885">
        <v>0.9954247761019055</v>
      </c>
      <c r="G1528" s="885">
        <v>0.97713395485275378</v>
      </c>
      <c r="H1528" s="885">
        <v>1.0251697930776533</v>
      </c>
      <c r="I1528" s="885">
        <v>1.0134353064857833</v>
      </c>
      <c r="K1528">
        <v>1.979266185822252</v>
      </c>
      <c r="L1528">
        <v>0</v>
      </c>
      <c r="M1528">
        <v>1.9949134732049215E-3</v>
      </c>
      <c r="N1528">
        <v>0.21111959707296832</v>
      </c>
      <c r="O1528">
        <v>2.5901530212578849E-2</v>
      </c>
      <c r="P1528">
        <v>2.1596275218525141E-2</v>
      </c>
      <c r="Q1528">
        <v>3.0898148033926976E-3</v>
      </c>
      <c r="R1528">
        <v>1.9833029191791414E-3</v>
      </c>
      <c r="S1528">
        <v>0.21745233030775807</v>
      </c>
      <c r="T1528">
        <v>1.0569294811975203</v>
      </c>
      <c r="U1528">
        <v>3.8312012075919492E-2</v>
      </c>
      <c r="V1528">
        <v>0.25240138788432176</v>
      </c>
      <c r="W1528">
        <v>0.12484951243040025</v>
      </c>
      <c r="X1528">
        <v>2.222795842251625E-2</v>
      </c>
      <c r="Y1528">
        <v>5.3978967503740269E-3</v>
      </c>
    </row>
    <row r="1529" spans="1:25" x14ac:dyDescent="0.25">
      <c r="A1529" s="881"/>
      <c r="B1529" s="1131">
        <v>1279</v>
      </c>
      <c r="C1529" s="885">
        <v>1.0074485758368423</v>
      </c>
      <c r="D1529" s="885">
        <v>0.97945613135497589</v>
      </c>
      <c r="E1529" s="885">
        <v>0.99923614279378237</v>
      </c>
      <c r="F1529" s="885">
        <v>0.96861206887099871</v>
      </c>
      <c r="G1529" s="885">
        <v>0.96854761917642518</v>
      </c>
      <c r="H1529" s="885">
        <v>0.97937142577128244</v>
      </c>
      <c r="I1529" s="885">
        <v>1.027607165643067</v>
      </c>
      <c r="K1529">
        <v>1.938348177524873</v>
      </c>
      <c r="L1529">
        <v>0</v>
      </c>
      <c r="M1529">
        <v>1.9215085694303852E-3</v>
      </c>
      <c r="N1529">
        <v>0.19311528497716546</v>
      </c>
      <c r="O1529">
        <v>2.5221122520163671E-2</v>
      </c>
      <c r="P1529">
        <v>2.1190975625618218E-2</v>
      </c>
      <c r="Q1529">
        <v>2.9563527014306108E-3</v>
      </c>
      <c r="R1529">
        <v>1.90981382808342E-3</v>
      </c>
      <c r="S1529">
        <v>0.20981670664207275</v>
      </c>
      <c r="T1529">
        <v>1.0584425049236796</v>
      </c>
      <c r="U1529">
        <v>3.7044382706994783E-2</v>
      </c>
      <c r="V1529">
        <v>0.2493543142922254</v>
      </c>
      <c r="W1529">
        <v>0.11549407216231324</v>
      </c>
      <c r="X1529">
        <v>2.0526272044472313E-2</v>
      </c>
      <c r="Y1529">
        <v>5.1978836700838412E-3</v>
      </c>
    </row>
    <row r="1530" spans="1:25" x14ac:dyDescent="0.25">
      <c r="A1530" s="881"/>
      <c r="B1530" s="1131">
        <v>1280</v>
      </c>
      <c r="C1530" s="885">
        <v>1.0271641072795632</v>
      </c>
      <c r="D1530" s="885">
        <v>1.0288651412859988</v>
      </c>
      <c r="E1530" s="885">
        <v>0.99551278219634898</v>
      </c>
      <c r="F1530" s="885">
        <v>1.0341549534532977</v>
      </c>
      <c r="G1530" s="885">
        <v>0.9637136501999537</v>
      </c>
      <c r="H1530" s="885">
        <v>0.99355390387668308</v>
      </c>
      <c r="I1530" s="885">
        <v>1.0075134358419766</v>
      </c>
      <c r="K1530">
        <v>1.9060081700580984</v>
      </c>
      <c r="L1530">
        <v>0</v>
      </c>
      <c r="M1530">
        <v>1.8806507061796599E-3</v>
      </c>
      <c r="N1530">
        <v>0.186844247560051</v>
      </c>
      <c r="O1530">
        <v>2.4142006458322304E-2</v>
      </c>
      <c r="P1530">
        <v>2.0857010473008326E-2</v>
      </c>
      <c r="Q1530">
        <v>2.8289474477301668E-3</v>
      </c>
      <c r="R1530">
        <v>1.8693295440637195E-3</v>
      </c>
      <c r="S1530">
        <v>0.19865231537891026</v>
      </c>
      <c r="T1530">
        <v>1.0587849036748695</v>
      </c>
      <c r="U1530">
        <v>3.6333347647592037E-2</v>
      </c>
      <c r="V1530">
        <v>0.24066844102083165</v>
      </c>
      <c r="W1530">
        <v>0.11202920382873692</v>
      </c>
      <c r="X1530">
        <v>1.9791368935538192E-2</v>
      </c>
      <c r="Y1530">
        <v>5.0876987946228578E-3</v>
      </c>
    </row>
    <row r="1531" spans="1:25" x14ac:dyDescent="0.25">
      <c r="A1531" s="881"/>
      <c r="B1531" s="1131">
        <v>1281</v>
      </c>
      <c r="C1531" s="885">
        <v>1.037399671222901</v>
      </c>
      <c r="D1531" s="885">
        <v>0.97538455910549138</v>
      </c>
      <c r="E1531" s="885">
        <v>0.99819866949228964</v>
      </c>
      <c r="F1531" s="885">
        <v>0.96811120931065719</v>
      </c>
      <c r="G1531" s="885">
        <v>1.004006905071424</v>
      </c>
      <c r="H1531" s="885">
        <v>0.9681636963144995</v>
      </c>
      <c r="I1531" s="885">
        <v>1.0069859926633176</v>
      </c>
      <c r="K1531">
        <v>1.9091672291823707</v>
      </c>
      <c r="L1531">
        <v>0</v>
      </c>
      <c r="M1531">
        <v>1.8525362856685022E-3</v>
      </c>
      <c r="N1531">
        <v>0.1855705867802242</v>
      </c>
      <c r="O1531">
        <v>2.4543671233902983E-2</v>
      </c>
      <c r="P1531">
        <v>2.0963815570699533E-2</v>
      </c>
      <c r="Q1531">
        <v>2.8731000574761132E-3</v>
      </c>
      <c r="R1531">
        <v>1.841134128329442E-3</v>
      </c>
      <c r="S1531">
        <v>0.19893869089356611</v>
      </c>
      <c r="T1531">
        <v>1.0585378563049319</v>
      </c>
      <c r="U1531">
        <v>3.5974862568563595E-2</v>
      </c>
      <c r="V1531">
        <v>0.24574456763574759</v>
      </c>
      <c r="W1531">
        <v>0.1110607903925524</v>
      </c>
      <c r="X1531">
        <v>1.9959729734433208E-2</v>
      </c>
      <c r="Y1531">
        <v>5.0109601676104542E-3</v>
      </c>
    </row>
    <row r="1532" spans="1:25" x14ac:dyDescent="0.25">
      <c r="A1532" s="881"/>
      <c r="B1532" s="1131">
        <v>1282</v>
      </c>
      <c r="C1532" s="885">
        <v>0.991702040922399</v>
      </c>
      <c r="D1532" s="885">
        <v>1.0127161214214193</v>
      </c>
      <c r="E1532" s="885">
        <v>1.0453136169174475</v>
      </c>
      <c r="F1532" s="885">
        <v>1.0338191200257583</v>
      </c>
      <c r="G1532" s="885">
        <v>0.98297010446545374</v>
      </c>
      <c r="H1532" s="885">
        <v>0.97166998424477069</v>
      </c>
      <c r="I1532" s="885">
        <v>0.98840340089626744</v>
      </c>
      <c r="K1532">
        <v>1.9344982884847723</v>
      </c>
      <c r="L1532">
        <v>0</v>
      </c>
      <c r="M1532">
        <v>1.7282000011545505E-3</v>
      </c>
      <c r="N1532">
        <v>0.20039901126374898</v>
      </c>
      <c r="O1532">
        <v>2.5201321421125269E-2</v>
      </c>
      <c r="P1532">
        <v>2.1716799885479272E-2</v>
      </c>
      <c r="Q1532">
        <v>3.0995444943484637E-3</v>
      </c>
      <c r="R1532">
        <v>1.7175738081268606E-3</v>
      </c>
      <c r="S1532">
        <v>0.20112619961325198</v>
      </c>
      <c r="T1532">
        <v>1.0542500390527489</v>
      </c>
      <c r="U1532">
        <v>3.7632584244965947E-2</v>
      </c>
      <c r="V1532">
        <v>0.2474112713794932</v>
      </c>
      <c r="W1532">
        <v>0.11618658860466632</v>
      </c>
      <c r="X1532">
        <v>2.281088501030424E-2</v>
      </c>
      <c r="Y1532">
        <v>4.6746697076676365E-3</v>
      </c>
    </row>
    <row r="1533" spans="1:25" x14ac:dyDescent="0.25">
      <c r="A1533" s="881"/>
      <c r="B1533" s="1131">
        <v>1283</v>
      </c>
      <c r="C1533" s="885">
        <v>1.0410553183706517</v>
      </c>
      <c r="D1533" s="885">
        <v>0.99690447353134459</v>
      </c>
      <c r="E1533" s="885">
        <v>1.0012218749212889</v>
      </c>
      <c r="F1533" s="885">
        <v>1.0105308433120792</v>
      </c>
      <c r="G1533" s="885">
        <v>1.0091649849946864</v>
      </c>
      <c r="H1533" s="885">
        <v>0.98258960607574397</v>
      </c>
      <c r="I1533" s="885">
        <v>1.0043649840242856</v>
      </c>
      <c r="K1533">
        <v>1.9043103127496182</v>
      </c>
      <c r="L1533">
        <v>0</v>
      </c>
      <c r="M1533">
        <v>1.8416241479182519E-3</v>
      </c>
      <c r="N1533">
        <v>0.18623603878854972</v>
      </c>
      <c r="O1533">
        <v>2.4194204613266469E-2</v>
      </c>
      <c r="P1533">
        <v>2.0938568580105683E-2</v>
      </c>
      <c r="Q1533">
        <v>2.8451640921902648E-3</v>
      </c>
      <c r="R1533">
        <v>1.8304385619205817E-3</v>
      </c>
      <c r="S1533">
        <v>0.19716212941860906</v>
      </c>
      <c r="T1533">
        <v>1.0582601185413214</v>
      </c>
      <c r="U1533">
        <v>3.5848537481491992E-2</v>
      </c>
      <c r="V1533">
        <v>0.24260956067080178</v>
      </c>
      <c r="W1533">
        <v>0.11122867931785865</v>
      </c>
      <c r="X1533">
        <v>2.0016646469782212E-2</v>
      </c>
      <c r="Y1533">
        <v>4.981850361638054E-3</v>
      </c>
    </row>
    <row r="1534" spans="1:25" x14ac:dyDescent="0.25">
      <c r="A1534" s="881"/>
      <c r="B1534" s="1131">
        <v>1284</v>
      </c>
      <c r="C1534" s="885">
        <v>0.98814458709251329</v>
      </c>
      <c r="D1534" s="885">
        <v>0.97741388284288411</v>
      </c>
      <c r="E1534" s="885">
        <v>0.98866588787079235</v>
      </c>
      <c r="F1534" s="885">
        <v>0.9900863630029878</v>
      </c>
      <c r="G1534" s="885">
        <v>0.99873789993276563</v>
      </c>
      <c r="H1534" s="885">
        <v>1.013305351239618</v>
      </c>
      <c r="I1534" s="885">
        <v>1.0118380470520096</v>
      </c>
      <c r="K1534">
        <v>1.9633734807401884</v>
      </c>
      <c r="L1534">
        <v>0</v>
      </c>
      <c r="M1534">
        <v>2.0746541411175053E-3</v>
      </c>
      <c r="N1534">
        <v>0.20180000649880253</v>
      </c>
      <c r="O1534">
        <v>2.5740493101012108E-2</v>
      </c>
      <c r="P1534">
        <v>2.1149743107436905E-2</v>
      </c>
      <c r="Q1534">
        <v>2.9847985241813718E-3</v>
      </c>
      <c r="R1534">
        <v>2.0624519540995813E-3</v>
      </c>
      <c r="S1534">
        <v>0.2143918377249778</v>
      </c>
      <c r="T1534">
        <v>1.0594159493710289</v>
      </c>
      <c r="U1534">
        <v>3.776806662547947E-2</v>
      </c>
      <c r="V1534">
        <v>0.25240665742095453</v>
      </c>
      <c r="W1534">
        <v>0.12156781638943888</v>
      </c>
      <c r="X1534">
        <v>2.0546999831936825E-2</v>
      </c>
      <c r="Y1534">
        <v>5.6133143319551156E-3</v>
      </c>
    </row>
    <row r="1535" spans="1:25" x14ac:dyDescent="0.25">
      <c r="A1535" s="881"/>
      <c r="B1535" s="1131">
        <v>1285</v>
      </c>
      <c r="C1535" s="885">
        <v>1.0209054438547378</v>
      </c>
      <c r="D1535" s="885">
        <v>0.99645816109376828</v>
      </c>
      <c r="E1535" s="885">
        <v>1.0335969658189625</v>
      </c>
      <c r="F1535" s="885">
        <v>1.0265822991887232</v>
      </c>
      <c r="G1535" s="885">
        <v>0.98601132361429455</v>
      </c>
      <c r="H1535" s="885">
        <v>0.97861961971016587</v>
      </c>
      <c r="I1535" s="885">
        <v>1.016299053136442</v>
      </c>
      <c r="K1535">
        <v>1.9257052045310363</v>
      </c>
      <c r="L1535">
        <v>0</v>
      </c>
      <c r="M1535">
        <v>1.7471837236090653E-3</v>
      </c>
      <c r="N1535">
        <v>0.19537884030358285</v>
      </c>
      <c r="O1535">
        <v>2.4677203654136351E-2</v>
      </c>
      <c r="P1535">
        <v>2.1532490044029438E-2</v>
      </c>
      <c r="Q1535">
        <v>2.9969297010159889E-3</v>
      </c>
      <c r="R1535">
        <v>1.7365290275096644E-3</v>
      </c>
      <c r="S1535">
        <v>0.20308369675964877</v>
      </c>
      <c r="T1535">
        <v>1.055308229539442</v>
      </c>
      <c r="U1535">
        <v>3.6556089327923175E-2</v>
      </c>
      <c r="V1535">
        <v>0.24535081117799856</v>
      </c>
      <c r="W1535">
        <v>0.11416306339734304</v>
      </c>
      <c r="X1535">
        <v>2.1942245755775081E-2</v>
      </c>
      <c r="Y1535">
        <v>4.7262595662412362E-3</v>
      </c>
    </row>
    <row r="1536" spans="1:25" x14ac:dyDescent="0.25">
      <c r="A1536" s="881"/>
      <c r="B1536" s="1131">
        <v>1286</v>
      </c>
      <c r="C1536" s="885">
        <v>0.97408577132928986</v>
      </c>
      <c r="D1536" s="885">
        <v>1.0330407503864707</v>
      </c>
      <c r="E1536" s="885">
        <v>0.99126631509565</v>
      </c>
      <c r="F1536" s="885">
        <v>0.98581039230019174</v>
      </c>
      <c r="G1536" s="885">
        <v>0.96459172908198176</v>
      </c>
      <c r="H1536" s="885">
        <v>0.97485987872124324</v>
      </c>
      <c r="I1536" s="885">
        <v>1.0221532473432626</v>
      </c>
      <c r="K1536">
        <v>1.9376473146465039</v>
      </c>
      <c r="L1536">
        <v>0</v>
      </c>
      <c r="M1536">
        <v>1.9593635840115756E-3</v>
      </c>
      <c r="N1536">
        <v>0.1920857131086007</v>
      </c>
      <c r="O1536">
        <v>2.5406741015715929E-2</v>
      </c>
      <c r="P1536">
        <v>2.1071323229065679E-2</v>
      </c>
      <c r="Q1536">
        <v>2.965247127702192E-3</v>
      </c>
      <c r="R1536">
        <v>1.9473390737000012E-3</v>
      </c>
      <c r="S1536">
        <v>0.2101742753301081</v>
      </c>
      <c r="T1536">
        <v>1.0591760656440039</v>
      </c>
      <c r="U1536">
        <v>3.8313166765579207E-2</v>
      </c>
      <c r="V1536">
        <v>0.24747775439520309</v>
      </c>
      <c r="W1536">
        <v>0.11550859869059862</v>
      </c>
      <c r="X1536">
        <v>2.0180438831777971E-2</v>
      </c>
      <c r="Y1536">
        <v>5.3000150184582843E-3</v>
      </c>
    </row>
    <row r="1537" spans="1:25" x14ac:dyDescent="0.25">
      <c r="A1537" s="881"/>
      <c r="B1537" s="1131">
        <v>1287</v>
      </c>
      <c r="C1537" s="885">
        <v>1.0107554050943792</v>
      </c>
      <c r="D1537" s="885">
        <v>0.96946925186675725</v>
      </c>
      <c r="E1537" s="885">
        <v>0.97331324697434363</v>
      </c>
      <c r="F1537" s="885">
        <v>1.0057519679487166</v>
      </c>
      <c r="G1537" s="885">
        <v>0.97067682168891489</v>
      </c>
      <c r="H1537" s="885">
        <v>1.0043974644934874</v>
      </c>
      <c r="I1537" s="885">
        <v>0.97667082843201303</v>
      </c>
      <c r="K1537">
        <v>1.9349852172697779</v>
      </c>
      <c r="L1537">
        <v>0</v>
      </c>
      <c r="M1537">
        <v>2.0847046779520055E-3</v>
      </c>
      <c r="N1537">
        <v>0.1932973532500544</v>
      </c>
      <c r="O1537">
        <v>2.5266920808542814E-2</v>
      </c>
      <c r="P1537">
        <v>2.0719310279348317E-2</v>
      </c>
      <c r="Q1537">
        <v>2.8828845957182716E-3</v>
      </c>
      <c r="R1537">
        <v>2.0723417109581284E-3</v>
      </c>
      <c r="S1537">
        <v>0.2021894279903132</v>
      </c>
      <c r="T1537">
        <v>1.0608375472126566</v>
      </c>
      <c r="U1537">
        <v>3.6923186769831966E-2</v>
      </c>
      <c r="V1537">
        <v>0.2501768666252196</v>
      </c>
      <c r="W1537">
        <v>0.11769194107865445</v>
      </c>
      <c r="X1537">
        <v>1.9371910636463218E-2</v>
      </c>
      <c r="Y1537">
        <v>5.6402309899666091E-3</v>
      </c>
    </row>
    <row r="1538" spans="1:25" x14ac:dyDescent="0.25">
      <c r="A1538" s="881"/>
      <c r="B1538" s="1131">
        <v>1288</v>
      </c>
      <c r="C1538" s="885">
        <v>0.98816150186881724</v>
      </c>
      <c r="D1538" s="885">
        <v>1.021331774113134</v>
      </c>
      <c r="E1538" s="885">
        <v>0.95652837046460493</v>
      </c>
      <c r="F1538" s="885">
        <v>0.96993918992436978</v>
      </c>
      <c r="G1538" s="885">
        <v>1.0062854949528628</v>
      </c>
      <c r="H1538" s="885">
        <v>1.0232256865956546</v>
      </c>
      <c r="I1538" s="885">
        <v>0.97809264977454469</v>
      </c>
      <c r="K1538">
        <v>1.9359670853636042</v>
      </c>
      <c r="L1538">
        <v>0</v>
      </c>
      <c r="M1538">
        <v>2.1927708511022136E-3</v>
      </c>
      <c r="N1538">
        <v>0.19296355450677216</v>
      </c>
      <c r="O1538">
        <v>2.5186028689803561E-2</v>
      </c>
      <c r="P1538">
        <v>2.0466135963853428E-2</v>
      </c>
      <c r="Q1538">
        <v>2.8349416809538256E-3</v>
      </c>
      <c r="R1538">
        <v>2.1799600184351413E-3</v>
      </c>
      <c r="S1538">
        <v>0.20407938270526352</v>
      </c>
      <c r="T1538">
        <v>1.0624022055012627</v>
      </c>
      <c r="U1538">
        <v>3.7767420133587991E-2</v>
      </c>
      <c r="V1538">
        <v>0.24686764407169298</v>
      </c>
      <c r="W1538">
        <v>0.1188798546875964</v>
      </c>
      <c r="X1538">
        <v>1.8599595708930335E-2</v>
      </c>
      <c r="Y1538">
        <v>5.9331325465535115E-3</v>
      </c>
    </row>
    <row r="1539" spans="1:25" x14ac:dyDescent="0.25">
      <c r="A1539" s="881"/>
      <c r="B1539" s="1131">
        <v>1289</v>
      </c>
      <c r="C1539" s="885">
        <v>0.98506978216014685</v>
      </c>
      <c r="D1539" s="885">
        <v>1.0000567898315575</v>
      </c>
      <c r="E1539" s="885">
        <v>0.98940289347465882</v>
      </c>
      <c r="F1539" s="885">
        <v>0.98604651209805472</v>
      </c>
      <c r="G1539" s="885">
        <v>0.96798029813005837</v>
      </c>
      <c r="H1539" s="885">
        <v>1.004471127758181</v>
      </c>
      <c r="I1539" s="885">
        <v>0.96160715995878077</v>
      </c>
      <c r="K1539">
        <v>1.9419081071322701</v>
      </c>
      <c r="L1539">
        <v>0</v>
      </c>
      <c r="M1539">
        <v>2.0365568518699298E-3</v>
      </c>
      <c r="N1539">
        <v>0.19853719270203105</v>
      </c>
      <c r="O1539">
        <v>2.5529324548032653E-2</v>
      </c>
      <c r="P1539">
        <v>2.0952444117100587E-2</v>
      </c>
      <c r="Q1539">
        <v>2.9672764612547584E-3</v>
      </c>
      <c r="R1539">
        <v>2.0244541019081171E-3</v>
      </c>
      <c r="S1539">
        <v>0.20136982526015321</v>
      </c>
      <c r="T1539">
        <v>1.059347935523518</v>
      </c>
      <c r="U1539">
        <v>3.7885956179751719E-2</v>
      </c>
      <c r="V1539">
        <v>0.24993936697928859</v>
      </c>
      <c r="W1539">
        <v>0.11954147789353642</v>
      </c>
      <c r="X1539">
        <v>2.0339513513286084E-2</v>
      </c>
      <c r="Y1539">
        <v>5.5098967042785559E-3</v>
      </c>
    </row>
    <row r="1540" spans="1:25" x14ac:dyDescent="0.25">
      <c r="A1540" s="881"/>
      <c r="B1540" s="1131">
        <v>1290</v>
      </c>
      <c r="C1540" s="885">
        <v>1.0008262708068056</v>
      </c>
      <c r="D1540" s="885">
        <v>1.0053768169555968</v>
      </c>
      <c r="E1540" s="885">
        <v>0.95822722944486194</v>
      </c>
      <c r="F1540" s="885">
        <v>1.0398631027174683</v>
      </c>
      <c r="G1540" s="885">
        <v>0.99229653619225433</v>
      </c>
      <c r="H1540" s="885">
        <v>0.97560698278860203</v>
      </c>
      <c r="I1540" s="885">
        <v>1.0075296603731199</v>
      </c>
      <c r="K1540">
        <v>1.9192426344260252</v>
      </c>
      <c r="L1540">
        <v>0</v>
      </c>
      <c r="M1540">
        <v>2.0729959200204246E-3</v>
      </c>
      <c r="N1540">
        <v>0.18334178960441899</v>
      </c>
      <c r="O1540">
        <v>2.506152472382854E-2</v>
      </c>
      <c r="P1540">
        <v>2.0488723912729562E-2</v>
      </c>
      <c r="Q1540">
        <v>2.8227826625120836E-3</v>
      </c>
      <c r="R1540">
        <v>2.0603074865432423E-3</v>
      </c>
      <c r="S1540">
        <v>0.20422688932930355</v>
      </c>
      <c r="T1540">
        <v>1.0622433459827485</v>
      </c>
      <c r="U1540">
        <v>3.7289499376181985E-2</v>
      </c>
      <c r="V1540">
        <v>0.24702358368257024</v>
      </c>
      <c r="W1540">
        <v>0.1128169264146734</v>
      </c>
      <c r="X1540">
        <v>1.8332779372343386E-2</v>
      </c>
      <c r="Y1540">
        <v>5.6074777981903008E-3</v>
      </c>
    </row>
    <row r="1541" spans="1:25" x14ac:dyDescent="0.25">
      <c r="A1541" s="881"/>
      <c r="B1541" s="1131">
        <v>1291</v>
      </c>
      <c r="C1541" s="885">
        <v>0.98890733447519785</v>
      </c>
      <c r="D1541" s="885">
        <v>1.0026385858523281</v>
      </c>
      <c r="E1541" s="885">
        <v>0.99457223197172584</v>
      </c>
      <c r="F1541" s="885">
        <v>0.9737679267767041</v>
      </c>
      <c r="G1541" s="885">
        <v>0.9954544606480501</v>
      </c>
      <c r="H1541" s="885">
        <v>1.0023820485838515</v>
      </c>
      <c r="I1541" s="885">
        <v>0.98022960210718657</v>
      </c>
      <c r="K1541">
        <v>1.942047902551306</v>
      </c>
      <c r="L1541">
        <v>0</v>
      </c>
      <c r="M1541">
        <v>1.9999912938019077E-3</v>
      </c>
      <c r="N1541">
        <v>0.1981327226893955</v>
      </c>
      <c r="O1541">
        <v>2.5397826890232591E-2</v>
      </c>
      <c r="P1541">
        <v>2.1049634634493573E-2</v>
      </c>
      <c r="Q1541">
        <v>2.9679729778405287E-3</v>
      </c>
      <c r="R1541">
        <v>1.9880789463401489E-3</v>
      </c>
      <c r="S1541">
        <v>0.20402181808225334</v>
      </c>
      <c r="T1541">
        <v>1.0588714816755347</v>
      </c>
      <c r="U1541">
        <v>3.7738935995173299E-2</v>
      </c>
      <c r="V1541">
        <v>0.24905946650886493</v>
      </c>
      <c r="W1541">
        <v>0.11887435982987075</v>
      </c>
      <c r="X1541">
        <v>2.0534700093215969E-2</v>
      </c>
      <c r="Y1541">
        <v>5.4108955218893588E-3</v>
      </c>
    </row>
    <row r="1542" spans="1:25" x14ac:dyDescent="0.25">
      <c r="A1542" s="881"/>
      <c r="B1542" s="1131">
        <v>1292</v>
      </c>
      <c r="C1542" s="885">
        <v>0.99385380681693258</v>
      </c>
      <c r="D1542" s="885">
        <v>1.0145270136581903</v>
      </c>
      <c r="E1542" s="885">
        <v>0.9819964474355557</v>
      </c>
      <c r="F1542" s="885">
        <v>1.0109877833765613</v>
      </c>
      <c r="G1542" s="885">
        <v>1.023718043091939</v>
      </c>
      <c r="H1542" s="885">
        <v>0.96481115524784633</v>
      </c>
      <c r="I1542" s="885">
        <v>0.99954069739654983</v>
      </c>
      <c r="K1542">
        <v>1.9190569307450904</v>
      </c>
      <c r="L1542">
        <v>0</v>
      </c>
      <c r="M1542">
        <v>1.9553391483513312E-3</v>
      </c>
      <c r="N1542">
        <v>0.18622597857728238</v>
      </c>
      <c r="O1542">
        <v>2.5124571969499274E-2</v>
      </c>
      <c r="P1542">
        <v>2.0808787922967181E-2</v>
      </c>
      <c r="Q1542">
        <v>2.9012951832481084E-3</v>
      </c>
      <c r="R1542">
        <v>1.9432293834448305E-3</v>
      </c>
      <c r="S1542">
        <v>0.20209312434323515</v>
      </c>
      <c r="T1542">
        <v>1.0600323915898002</v>
      </c>
      <c r="U1542">
        <v>3.7551106958521971E-2</v>
      </c>
      <c r="V1542">
        <v>0.24688621127611698</v>
      </c>
      <c r="W1542">
        <v>0.11270418897735421</v>
      </c>
      <c r="X1542">
        <v>1.9452553915628244E-2</v>
      </c>
      <c r="Y1542">
        <v>5.2888297963427366E-3</v>
      </c>
    </row>
    <row r="1543" spans="1:25" x14ac:dyDescent="0.25">
      <c r="A1543" s="881"/>
      <c r="B1543" s="1131">
        <v>1293</v>
      </c>
      <c r="C1543" s="885">
        <v>0.98635944458889357</v>
      </c>
      <c r="D1543" s="885">
        <v>0.98504642705171397</v>
      </c>
      <c r="E1543" s="885">
        <v>0.95221299073483223</v>
      </c>
      <c r="F1543" s="885">
        <v>1.0361871589780633</v>
      </c>
      <c r="G1543" s="885">
        <v>0.9646342340400651</v>
      </c>
      <c r="H1543" s="885">
        <v>1.0327067482853955</v>
      </c>
      <c r="I1543" s="885">
        <v>0.9706680714648106</v>
      </c>
      <c r="K1543">
        <v>1.9534435393205967</v>
      </c>
      <c r="L1543">
        <v>0</v>
      </c>
      <c r="M1543">
        <v>2.2775939711805397E-3</v>
      </c>
      <c r="N1543">
        <v>0.19775963357569518</v>
      </c>
      <c r="O1543">
        <v>2.5687721189246737E-2</v>
      </c>
      <c r="P1543">
        <v>2.0508681448842499E-2</v>
      </c>
      <c r="Q1543">
        <v>2.871335649860991E-3</v>
      </c>
      <c r="R1543">
        <v>2.2644427027605058E-3</v>
      </c>
      <c r="S1543">
        <v>0.20725061020127408</v>
      </c>
      <c r="T1543">
        <v>1.0628062346234104</v>
      </c>
      <c r="U1543">
        <v>3.7836420389801909E-2</v>
      </c>
      <c r="V1543">
        <v>0.25166921435397782</v>
      </c>
      <c r="W1543">
        <v>0.12220663099556406</v>
      </c>
      <c r="X1543">
        <v>1.8697141597764179E-2</v>
      </c>
      <c r="Y1543">
        <v>6.1630665635777513E-3</v>
      </c>
    </row>
    <row r="1544" spans="1:25" x14ac:dyDescent="0.25">
      <c r="A1544" s="881"/>
      <c r="B1544" s="1131">
        <v>1294</v>
      </c>
      <c r="C1544" s="885">
        <v>1.0027790264515797</v>
      </c>
      <c r="D1544" s="885">
        <v>1.0341308774854572</v>
      </c>
      <c r="E1544" s="885">
        <v>1.0006073543546579</v>
      </c>
      <c r="F1544" s="885">
        <v>1.020460164366467</v>
      </c>
      <c r="G1544" s="885">
        <v>0.98491920440525615</v>
      </c>
      <c r="H1544" s="885">
        <v>1.0145241866863688</v>
      </c>
      <c r="I1544" s="885">
        <v>0.98880904942346959</v>
      </c>
      <c r="K1544">
        <v>1.927544056780361</v>
      </c>
      <c r="L1544">
        <v>0</v>
      </c>
      <c r="M1544">
        <v>1.9411710826560758E-3</v>
      </c>
      <c r="N1544">
        <v>0.19596266133511941</v>
      </c>
      <c r="O1544">
        <v>2.466693656808085E-2</v>
      </c>
      <c r="P1544">
        <v>2.101454689723382E-2</v>
      </c>
      <c r="Q1544">
        <v>2.9063344171544056E-3</v>
      </c>
      <c r="R1544">
        <v>1.9297231450665869E-3</v>
      </c>
      <c r="S1544">
        <v>0.20129841462057799</v>
      </c>
      <c r="T1544">
        <v>1.0583165448782745</v>
      </c>
      <c r="U1544">
        <v>3.7216883896124188E-2</v>
      </c>
      <c r="V1544">
        <v>0.24331559422860638</v>
      </c>
      <c r="W1544">
        <v>0.11708705413801296</v>
      </c>
      <c r="X1544">
        <v>2.0518463470957569E-2</v>
      </c>
      <c r="Y1544">
        <v>5.2520702678074422E-3</v>
      </c>
    </row>
    <row r="1545" spans="1:25" x14ac:dyDescent="0.25">
      <c r="A1545" s="881"/>
      <c r="B1545" s="1131">
        <v>1295</v>
      </c>
      <c r="C1545" s="885">
        <v>1.0079776128062712</v>
      </c>
      <c r="D1545" s="885">
        <v>1.0431817353460975</v>
      </c>
      <c r="E1545" s="885">
        <v>0.98939854829250229</v>
      </c>
      <c r="F1545" s="885">
        <v>0.99504174915369714</v>
      </c>
      <c r="G1545" s="885">
        <v>0.99724629233297102</v>
      </c>
      <c r="H1545" s="885">
        <v>0.95665772406776062</v>
      </c>
      <c r="I1545" s="885">
        <v>0.98166132673076523</v>
      </c>
      <c r="K1545">
        <v>1.8925917772803122</v>
      </c>
      <c r="L1545">
        <v>0</v>
      </c>
      <c r="M1545">
        <v>1.8564956532965266E-3</v>
      </c>
      <c r="N1545">
        <v>0.18092380020308924</v>
      </c>
      <c r="O1545">
        <v>2.4434646535463397E-2</v>
      </c>
      <c r="P1545">
        <v>2.0706533738546584E-2</v>
      </c>
      <c r="Q1545">
        <v>2.8483225350412985E-3</v>
      </c>
      <c r="R1545">
        <v>1.844877928327766E-3</v>
      </c>
      <c r="S1545">
        <v>0.19243734146905236</v>
      </c>
      <c r="T1545">
        <v>1.059348336452574</v>
      </c>
      <c r="U1545">
        <v>3.7024939965695086E-2</v>
      </c>
      <c r="V1545">
        <v>0.24157578774273109</v>
      </c>
      <c r="W1545">
        <v>0.10893658235786947</v>
      </c>
      <c r="X1545">
        <v>1.9345954448156292E-2</v>
      </c>
      <c r="Y1545">
        <v>5.021149557062554E-3</v>
      </c>
    </row>
    <row r="1546" spans="1:25" x14ac:dyDescent="0.25">
      <c r="A1546" s="881"/>
      <c r="B1546" s="1131">
        <v>1296</v>
      </c>
      <c r="C1546" s="885">
        <v>1.0423737034718583</v>
      </c>
      <c r="D1546" s="885">
        <v>1.0088146942640055</v>
      </c>
      <c r="E1546" s="885">
        <v>0.98714477371472709</v>
      </c>
      <c r="F1546" s="885">
        <v>1.0221762460372337</v>
      </c>
      <c r="G1546" s="885">
        <v>1.0174334686614106</v>
      </c>
      <c r="H1546" s="885">
        <v>1.0031051038722751</v>
      </c>
      <c r="I1546" s="885">
        <v>0.9917794903406012</v>
      </c>
      <c r="K1546">
        <v>1.9021733753539536</v>
      </c>
      <c r="L1546">
        <v>0</v>
      </c>
      <c r="M1546">
        <v>1.9228210648727859E-3</v>
      </c>
      <c r="N1546">
        <v>0.18613387598428677</v>
      </c>
      <c r="O1546">
        <v>2.4022024984724021E-2</v>
      </c>
      <c r="P1546">
        <v>2.0689598106466221E-2</v>
      </c>
      <c r="Q1546">
        <v>2.7874017559198208E-3</v>
      </c>
      <c r="R1546">
        <v>1.9113717551576825E-3</v>
      </c>
      <c r="S1546">
        <v>0.1953560116388911</v>
      </c>
      <c r="T1546">
        <v>1.0595563906532359</v>
      </c>
      <c r="U1546">
        <v>3.5803196566272968E-2</v>
      </c>
      <c r="V1546">
        <v>0.24101980596983794</v>
      </c>
      <c r="W1546">
        <v>0.11224802762695703</v>
      </c>
      <c r="X1546">
        <v>1.9366367543067267E-2</v>
      </c>
      <c r="Y1546">
        <v>5.2021238340094625E-3</v>
      </c>
    </row>
    <row r="1547" spans="1:25" x14ac:dyDescent="0.25">
      <c r="A1547" s="881"/>
      <c r="B1547" s="1131">
        <v>1297</v>
      </c>
      <c r="C1547" s="885">
        <v>1.0189034912993835</v>
      </c>
      <c r="D1547" s="885">
        <v>0.99169664713142325</v>
      </c>
      <c r="E1547" s="885">
        <v>0.9591892591607537</v>
      </c>
      <c r="F1547" s="885">
        <v>1.0062838885471392</v>
      </c>
      <c r="G1547" s="885">
        <v>0.97419596542191544</v>
      </c>
      <c r="H1547" s="885">
        <v>0.99592283917625746</v>
      </c>
      <c r="I1547" s="885">
        <v>0.9638024476162772</v>
      </c>
      <c r="K1547">
        <v>1.9111945840728826</v>
      </c>
      <c r="L1547">
        <v>0</v>
      </c>
      <c r="M1547">
        <v>2.0885464295402798E-3</v>
      </c>
      <c r="N1547">
        <v>0.18529684292387374</v>
      </c>
      <c r="O1547">
        <v>2.478443110668049E-2</v>
      </c>
      <c r="P1547">
        <v>2.0361968805374869E-2</v>
      </c>
      <c r="Q1547">
        <v>2.7916668175987356E-3</v>
      </c>
      <c r="R1547">
        <v>2.0760354784288919E-3</v>
      </c>
      <c r="S1547">
        <v>0.19505992911370945</v>
      </c>
      <c r="T1547">
        <v>1.0621534363740284</v>
      </c>
      <c r="U1547">
        <v>3.6627915126017659E-2</v>
      </c>
      <c r="V1547">
        <v>0.24620748835880438</v>
      </c>
      <c r="W1547">
        <v>0.11394270565067632</v>
      </c>
      <c r="X1547">
        <v>1.8330426539857274E-2</v>
      </c>
      <c r="Y1547">
        <v>5.6502842073719063E-3</v>
      </c>
    </row>
    <row r="1548" spans="1:25" x14ac:dyDescent="0.25">
      <c r="A1548" s="881"/>
      <c r="B1548" s="1131">
        <v>1298</v>
      </c>
      <c r="C1548" s="885">
        <v>1.0211370214785092</v>
      </c>
      <c r="D1548" s="885">
        <v>0.98835187330221252</v>
      </c>
      <c r="E1548" s="885">
        <v>0.99350388355454489</v>
      </c>
      <c r="F1548" s="885">
        <v>0.9738255516861003</v>
      </c>
      <c r="G1548" s="885">
        <v>0.99740569996003636</v>
      </c>
      <c r="H1548" s="885">
        <v>1.0393707639663654</v>
      </c>
      <c r="I1548" s="885">
        <v>0.99797030755013272</v>
      </c>
      <c r="K1548">
        <v>1.9429860946146504</v>
      </c>
      <c r="L1548">
        <v>0</v>
      </c>
      <c r="M1548">
        <v>2.0272048462566085E-3</v>
      </c>
      <c r="N1548">
        <v>0.20020582568249751</v>
      </c>
      <c r="O1548">
        <v>2.4771669121807005E-2</v>
      </c>
      <c r="P1548">
        <v>2.1009847523137854E-2</v>
      </c>
      <c r="Q1548">
        <v>2.8887859811905902E-3</v>
      </c>
      <c r="R1548">
        <v>2.0155717076636944E-3</v>
      </c>
      <c r="S1548">
        <v>0.20616861719158777</v>
      </c>
      <c r="T1548">
        <v>1.058969865303063</v>
      </c>
      <c r="U1548">
        <v>3.6547798988700558E-2</v>
      </c>
      <c r="V1548">
        <v>0.24631785804183873</v>
      </c>
      <c r="W1548">
        <v>0.12020637272990525</v>
      </c>
      <c r="X1548">
        <v>2.0425365434285955E-2</v>
      </c>
      <c r="Y1548">
        <v>5.4857217552257151E-3</v>
      </c>
    </row>
    <row r="1549" spans="1:25" x14ac:dyDescent="0.25">
      <c r="A1549" s="881"/>
      <c r="B1549" s="1131">
        <v>1299</v>
      </c>
      <c r="C1549" s="885">
        <v>0.98620289725859211</v>
      </c>
      <c r="D1549" s="885">
        <v>1.0204453929466843</v>
      </c>
      <c r="E1549" s="885">
        <v>0.97123927119072784</v>
      </c>
      <c r="F1549" s="885">
        <v>1.0070379706639137</v>
      </c>
      <c r="G1549" s="885">
        <v>1.0216864233451695</v>
      </c>
      <c r="H1549" s="885">
        <v>1.0104252760704404</v>
      </c>
      <c r="I1549" s="885">
        <v>1.0146632810476439</v>
      </c>
      <c r="K1549">
        <v>1.9430768102906424</v>
      </c>
      <c r="L1549">
        <v>0</v>
      </c>
      <c r="M1549">
        <v>2.1047287009375334E-3</v>
      </c>
      <c r="N1549">
        <v>0.19389908851745544</v>
      </c>
      <c r="O1549">
        <v>2.5246865495407961E-2</v>
      </c>
      <c r="P1549">
        <v>2.0778563763137355E-2</v>
      </c>
      <c r="Q1549">
        <v>2.8848160481019236E-3</v>
      </c>
      <c r="R1549">
        <v>2.0922772038195095E-3</v>
      </c>
      <c r="S1549">
        <v>0.21089517841649913</v>
      </c>
      <c r="T1549">
        <v>1.0610302901513786</v>
      </c>
      <c r="U1549">
        <v>3.7842426446584573E-2</v>
      </c>
      <c r="V1549">
        <v>0.24725659740835826</v>
      </c>
      <c r="W1549">
        <v>0.11822926404763882</v>
      </c>
      <c r="X1549">
        <v>1.9331682663397041E-2</v>
      </c>
      <c r="Y1549">
        <v>5.6944888298018324E-3</v>
      </c>
    </row>
    <row r="1550" spans="1:25" x14ac:dyDescent="0.25">
      <c r="A1550" s="881"/>
      <c r="B1550" s="1131">
        <v>1300</v>
      </c>
      <c r="C1550" s="885">
        <v>0.97748989703890066</v>
      </c>
      <c r="D1550" s="885">
        <v>0.99537445076819475</v>
      </c>
      <c r="E1550" s="885">
        <v>0.99684507711689996</v>
      </c>
      <c r="F1550" s="885">
        <v>0.98227730566638827</v>
      </c>
      <c r="G1550" s="885">
        <v>1.0117921553633207</v>
      </c>
      <c r="H1550" s="885">
        <v>0.96987064756456309</v>
      </c>
      <c r="I1550" s="885">
        <v>0.99278644711280883</v>
      </c>
      <c r="K1550">
        <v>1.9426467284400077</v>
      </c>
      <c r="L1550">
        <v>0</v>
      </c>
      <c r="M1550">
        <v>1.9554047352842818E-3</v>
      </c>
      <c r="N1550">
        <v>0.19505216981212106</v>
      </c>
      <c r="O1550">
        <v>2.5787143841115804E-2</v>
      </c>
      <c r="P1550">
        <v>2.1156286978831658E-2</v>
      </c>
      <c r="Q1550">
        <v>3.018845905804987E-3</v>
      </c>
      <c r="R1550">
        <v>1.9433736044236203E-3</v>
      </c>
      <c r="S1550">
        <v>0.2063987921088159</v>
      </c>
      <c r="T1550">
        <v>1.0586623243549858</v>
      </c>
      <c r="U1550">
        <v>3.8179740490383439E-2</v>
      </c>
      <c r="V1550">
        <v>0.25164906713946777</v>
      </c>
      <c r="W1550">
        <v>0.11684370995222741</v>
      </c>
      <c r="X1550">
        <v>2.0621456668810576E-2</v>
      </c>
      <c r="Y1550">
        <v>5.2892223183045707E-3</v>
      </c>
    </row>
    <row r="1551" spans="1:25" x14ac:dyDescent="0.25">
      <c r="A1551" s="881"/>
      <c r="B1551" s="1131">
        <v>1301</v>
      </c>
      <c r="C1551" s="885">
        <v>0.9943778245142697</v>
      </c>
      <c r="D1551" s="885">
        <v>1.0316582293597094</v>
      </c>
      <c r="E1551" s="885">
        <v>1.0235209737221826</v>
      </c>
      <c r="F1551" s="885">
        <v>0.9727788338462684</v>
      </c>
      <c r="G1551" s="885">
        <v>0.99308708479286711</v>
      </c>
      <c r="H1551" s="885">
        <v>1.0398620118677369</v>
      </c>
      <c r="I1551" s="885">
        <v>0.98895351954088895</v>
      </c>
      <c r="K1551">
        <v>1.9504965282565565</v>
      </c>
      <c r="L1551">
        <v>0</v>
      </c>
      <c r="M1551">
        <v>1.9140242575983583E-3</v>
      </c>
      <c r="N1551">
        <v>0.20751618485350931</v>
      </c>
      <c r="O1551">
        <v>2.4904702513507574E-2</v>
      </c>
      <c r="P1551">
        <v>2.143049533212487E-2</v>
      </c>
      <c r="Q1551">
        <v>3.0017651850886683E-3</v>
      </c>
      <c r="R1551">
        <v>1.9030132630318121E-3</v>
      </c>
      <c r="S1551">
        <v>0.20576235869406187</v>
      </c>
      <c r="T1551">
        <v>1.0562225447279823</v>
      </c>
      <c r="U1551">
        <v>3.7531318258376252E-2</v>
      </c>
      <c r="V1551">
        <v>0.24476450459716345</v>
      </c>
      <c r="W1551">
        <v>0.12207743288678946</v>
      </c>
      <c r="X1551">
        <v>2.2116857428700929E-2</v>
      </c>
      <c r="Y1551">
        <v>5.1793747738190319E-3</v>
      </c>
    </row>
    <row r="1552" spans="1:25" x14ac:dyDescent="0.25">
      <c r="A1552" s="881"/>
      <c r="B1552" s="1131">
        <v>1302</v>
      </c>
      <c r="C1552" s="885">
        <v>1.0231990192514631</v>
      </c>
      <c r="D1552" s="885">
        <v>0.98530523644513646</v>
      </c>
      <c r="E1552" s="885">
        <v>1.0179480849765474</v>
      </c>
      <c r="F1552" s="885">
        <v>0.98648829479797062</v>
      </c>
      <c r="G1552" s="885">
        <v>1.0029961854605305</v>
      </c>
      <c r="H1552" s="885">
        <v>0.97871400846644074</v>
      </c>
      <c r="I1552" s="885">
        <v>0.99966487112520153</v>
      </c>
      <c r="K1552">
        <v>1.9220591767143602</v>
      </c>
      <c r="L1552">
        <v>0</v>
      </c>
      <c r="M1552">
        <v>1.8121537179134747E-3</v>
      </c>
      <c r="N1552">
        <v>0.19303355615656467</v>
      </c>
      <c r="O1552">
        <v>2.4759625995074929E-2</v>
      </c>
      <c r="P1552">
        <v>2.128363355549287E-2</v>
      </c>
      <c r="Q1552">
        <v>2.9583360864147974E-3</v>
      </c>
      <c r="R1552">
        <v>1.8011125366413055E-3</v>
      </c>
      <c r="S1552">
        <v>0.20035445588293474</v>
      </c>
      <c r="T1552">
        <v>1.0567299455472983</v>
      </c>
      <c r="U1552">
        <v>3.6474146181472225E-2</v>
      </c>
      <c r="V1552">
        <v>0.24641719400684339</v>
      </c>
      <c r="W1552">
        <v>0.11398522022309651</v>
      </c>
      <c r="X1552">
        <v>2.1172069672290635E-2</v>
      </c>
      <c r="Y1552">
        <v>4.9020345881495E-3</v>
      </c>
    </row>
    <row r="1553" spans="1:25" x14ac:dyDescent="0.25">
      <c r="A1553" s="881"/>
      <c r="B1553" s="1131">
        <v>1303</v>
      </c>
      <c r="C1553" s="885">
        <v>0.98813362885775546</v>
      </c>
      <c r="D1553" s="885">
        <v>1.026796517621013</v>
      </c>
      <c r="E1553" s="885">
        <v>1.022092695005212</v>
      </c>
      <c r="F1553" s="885">
        <v>1.0034564766195828</v>
      </c>
      <c r="G1553" s="885">
        <v>1.0164828114213869</v>
      </c>
      <c r="H1553" s="885">
        <v>0.9994187973500589</v>
      </c>
      <c r="I1553" s="885">
        <v>1.0103951936060758</v>
      </c>
      <c r="K1553">
        <v>1.9437715279243175</v>
      </c>
      <c r="L1553">
        <v>0</v>
      </c>
      <c r="M1553">
        <v>1.8611287166514054E-3</v>
      </c>
      <c r="N1553">
        <v>0.20084154116194985</v>
      </c>
      <c r="O1553">
        <v>2.5120514905439192E-2</v>
      </c>
      <c r="P1553">
        <v>2.1462711111859663E-2</v>
      </c>
      <c r="Q1553">
        <v>3.0225046643692481E-3</v>
      </c>
      <c r="R1553">
        <v>1.8499923541496742E-3</v>
      </c>
      <c r="S1553">
        <v>0.20787919705704797</v>
      </c>
      <c r="T1553">
        <v>1.0563524710271959</v>
      </c>
      <c r="U1553">
        <v>3.7768485466948123E-2</v>
      </c>
      <c r="V1553">
        <v>0.24621570157504741</v>
      </c>
      <c r="W1553">
        <v>0.11826458303987081</v>
      </c>
      <c r="X1553">
        <v>2.1819884938912317E-2</v>
      </c>
      <c r="Y1553">
        <v>5.0350693381797686E-3</v>
      </c>
    </row>
    <row r="1554" spans="1:25" x14ac:dyDescent="0.25">
      <c r="A1554" s="881"/>
      <c r="B1554" s="1131">
        <v>1304</v>
      </c>
      <c r="C1554" s="885">
        <v>1.0194679306515404</v>
      </c>
      <c r="D1554" s="885">
        <v>0.98657179767661374</v>
      </c>
      <c r="E1554" s="885">
        <v>1.0415186382917156</v>
      </c>
      <c r="F1554" s="885">
        <v>0.97174130211888177</v>
      </c>
      <c r="G1554" s="885">
        <v>0.99971290833519588</v>
      </c>
      <c r="H1554" s="885">
        <v>1.0150134952513186</v>
      </c>
      <c r="I1554" s="885">
        <v>0.99172999453357402</v>
      </c>
      <c r="K1554">
        <v>1.9432038023753073</v>
      </c>
      <c r="L1554">
        <v>0</v>
      </c>
      <c r="M1554">
        <v>1.7933557391581593E-3</v>
      </c>
      <c r="N1554">
        <v>0.2055778379016743</v>
      </c>
      <c r="O1554">
        <v>2.4834414551240951E-2</v>
      </c>
      <c r="P1554">
        <v>2.1665082771980679E-2</v>
      </c>
      <c r="Q1554">
        <v>3.0375183625353437E-3</v>
      </c>
      <c r="R1554">
        <v>1.7828189123511142E-3</v>
      </c>
      <c r="S1554">
        <v>0.20297135855872744</v>
      </c>
      <c r="T1554">
        <v>1.0545921936298719</v>
      </c>
      <c r="U1554">
        <v>3.660763568802558E-2</v>
      </c>
      <c r="V1554">
        <v>0.2467745483849646</v>
      </c>
      <c r="W1554">
        <v>0.11948983777105528</v>
      </c>
      <c r="X1554">
        <v>2.2811666208713825E-2</v>
      </c>
      <c r="Y1554">
        <v>4.8522453733232255E-3</v>
      </c>
    </row>
    <row r="1555" spans="1:25" x14ac:dyDescent="0.25">
      <c r="A1555" s="881"/>
      <c r="B1555" s="1131">
        <v>1305</v>
      </c>
      <c r="C1555" s="885">
        <v>0.97973373603524916</v>
      </c>
      <c r="D1555" s="885">
        <v>1.020213232266425</v>
      </c>
      <c r="E1555" s="885">
        <v>1.018435706983837</v>
      </c>
      <c r="F1555" s="885">
        <v>0.99884110113242452</v>
      </c>
      <c r="G1555" s="885">
        <v>0.95686226437369015</v>
      </c>
      <c r="H1555" s="885">
        <v>0.99842274570985712</v>
      </c>
      <c r="I1555" s="885">
        <v>1.0468392149410355</v>
      </c>
      <c r="K1555">
        <v>1.9594141803957905</v>
      </c>
      <c r="L1555">
        <v>0</v>
      </c>
      <c r="M1555">
        <v>1.8957590612661724E-3</v>
      </c>
      <c r="N1555">
        <v>0.20226704536419571</v>
      </c>
      <c r="O1555">
        <v>2.541642451460353E-2</v>
      </c>
      <c r="P1555">
        <v>2.1578653913671326E-2</v>
      </c>
      <c r="Q1555">
        <v>3.0456603328967262E-3</v>
      </c>
      <c r="R1555">
        <v>1.8844091742637346E-3</v>
      </c>
      <c r="S1555">
        <v>0.21775729723273951</v>
      </c>
      <c r="T1555">
        <v>1.0566855000287374</v>
      </c>
      <c r="U1555">
        <v>3.8092299191353138E-2</v>
      </c>
      <c r="V1555">
        <v>0.24821373330887087</v>
      </c>
      <c r="W1555">
        <v>0.11939820100311539</v>
      </c>
      <c r="X1555">
        <v>2.184197481557841E-2</v>
      </c>
      <c r="Y1555">
        <v>5.1287405770285384E-3</v>
      </c>
    </row>
    <row r="1556" spans="1:25" x14ac:dyDescent="0.25">
      <c r="A1556" s="881"/>
      <c r="B1556" s="1131">
        <v>1306</v>
      </c>
      <c r="C1556" s="885">
        <v>1.0020337442067295</v>
      </c>
      <c r="D1556" s="885">
        <v>1.0203531532710262</v>
      </c>
      <c r="E1556" s="885">
        <v>0.96159424404604443</v>
      </c>
      <c r="F1556" s="885">
        <v>1.0107558252123248</v>
      </c>
      <c r="G1556" s="885">
        <v>0.98979264471254391</v>
      </c>
      <c r="H1556" s="885">
        <v>0.98835590000770179</v>
      </c>
      <c r="I1556" s="885">
        <v>0.9535726460902374</v>
      </c>
      <c r="K1556">
        <v>1.9074836277456848</v>
      </c>
      <c r="L1556">
        <v>0</v>
      </c>
      <c r="M1556">
        <v>2.0676784497241016E-3</v>
      </c>
      <c r="N1556">
        <v>0.18481647395983075</v>
      </c>
      <c r="O1556">
        <v>2.4849106183464528E-2</v>
      </c>
      <c r="P1556">
        <v>2.0361964411650189E-2</v>
      </c>
      <c r="Q1556">
        <v>2.8114404133553015E-3</v>
      </c>
      <c r="R1556">
        <v>2.0551730782604797E-3</v>
      </c>
      <c r="S1556">
        <v>0.19297009924422173</v>
      </c>
      <c r="T1556">
        <v>1.0619288268805331</v>
      </c>
      <c r="U1556">
        <v>3.7244564683260206E-2</v>
      </c>
      <c r="V1556">
        <v>0.24504395189028788</v>
      </c>
      <c r="W1556">
        <v>0.11345518955158945</v>
      </c>
      <c r="X1556">
        <v>1.8421012267551065E-2</v>
      </c>
      <c r="Y1556">
        <v>5.5935036314018549E-3</v>
      </c>
    </row>
    <row r="1557" spans="1:25" x14ac:dyDescent="0.25">
      <c r="A1557" s="881"/>
      <c r="B1557" s="1131">
        <v>1307</v>
      </c>
      <c r="C1557" s="885">
        <v>1.0145656478852214</v>
      </c>
      <c r="D1557" s="885">
        <v>0.98594851294594232</v>
      </c>
      <c r="E1557" s="885">
        <v>0.99556783612049371</v>
      </c>
      <c r="F1557" s="885">
        <v>0.98680847004458339</v>
      </c>
      <c r="G1557" s="885">
        <v>0.99651347401472745</v>
      </c>
      <c r="H1557" s="885">
        <v>1.0007560859931852</v>
      </c>
      <c r="I1557" s="885">
        <v>0.99184915588605471</v>
      </c>
      <c r="K1557">
        <v>1.9315046245357839</v>
      </c>
      <c r="L1557">
        <v>0</v>
      </c>
      <c r="M1557">
        <v>1.9583803639996308E-3</v>
      </c>
      <c r="N1557">
        <v>0.19461201466630307</v>
      </c>
      <c r="O1557">
        <v>2.4962234426215001E-2</v>
      </c>
      <c r="P1557">
        <v>2.1011144808457144E-2</v>
      </c>
      <c r="Q1557">
        <v>2.9165750964190401E-3</v>
      </c>
      <c r="R1557">
        <v>1.9467105245080608E-3</v>
      </c>
      <c r="S1557">
        <v>0.20261548777313965</v>
      </c>
      <c r="T1557">
        <v>1.0587798370070651</v>
      </c>
      <c r="U1557">
        <v>3.678452023159668E-2</v>
      </c>
      <c r="V1557">
        <v>0.24752696186271197</v>
      </c>
      <c r="W1557">
        <v>0.11668223936533111</v>
      </c>
      <c r="X1557">
        <v>2.0326974823276823E-2</v>
      </c>
      <c r="Y1557">
        <v>5.2983043147590081E-3</v>
      </c>
    </row>
    <row r="1558" spans="1:25" x14ac:dyDescent="0.25">
      <c r="A1558" s="881"/>
      <c r="B1558" s="1131">
        <v>1308</v>
      </c>
      <c r="C1558" s="885">
        <v>0.96129241888079253</v>
      </c>
      <c r="D1558" s="885">
        <v>0.99916543112320011</v>
      </c>
      <c r="E1558" s="885">
        <v>0.97397156554624031</v>
      </c>
      <c r="F1558" s="885">
        <v>1.0168600572576159</v>
      </c>
      <c r="G1558" s="885">
        <v>1.028371021250998</v>
      </c>
      <c r="H1558" s="885">
        <v>1.0080629155875016</v>
      </c>
      <c r="I1558" s="885">
        <v>0.98950861887078878</v>
      </c>
      <c r="K1558">
        <v>1.9653654781595171</v>
      </c>
      <c r="L1558">
        <v>0</v>
      </c>
      <c r="M1558">
        <v>2.1643258516818322E-3</v>
      </c>
      <c r="N1558">
        <v>0.20109404634667205</v>
      </c>
      <c r="O1558">
        <v>2.6172337154811556E-2</v>
      </c>
      <c r="P1558">
        <v>2.094204033877552E-2</v>
      </c>
      <c r="Q1558">
        <v>2.9945317137416078E-3</v>
      </c>
      <c r="R1558">
        <v>2.1515104226621177E-3</v>
      </c>
      <c r="S1558">
        <v>0.21279929205022771</v>
      </c>
      <c r="T1558">
        <v>1.0607764018277053</v>
      </c>
      <c r="U1558">
        <v>3.8823057238262661E-2</v>
      </c>
      <c r="V1558">
        <v>0.25359214515741074</v>
      </c>
      <c r="W1558">
        <v>0.12238290470828718</v>
      </c>
      <c r="X1558">
        <v>1.9945834927373726E-2</v>
      </c>
      <c r="Y1558">
        <v>5.8557021252660692E-3</v>
      </c>
    </row>
    <row r="1559" spans="1:25" x14ac:dyDescent="0.25">
      <c r="A1559" s="881"/>
      <c r="B1559" s="1131">
        <v>1309</v>
      </c>
      <c r="C1559" s="885">
        <v>1.0144491932266648</v>
      </c>
      <c r="D1559" s="885">
        <v>0.97404896742256475</v>
      </c>
      <c r="E1559" s="885">
        <v>0.99707182871693012</v>
      </c>
      <c r="F1559" s="885">
        <v>1.0184613464010013</v>
      </c>
      <c r="G1559" s="885">
        <v>1.0070285534099825</v>
      </c>
      <c r="H1559" s="885">
        <v>0.98884279977533496</v>
      </c>
      <c r="I1559" s="885">
        <v>1.0005641252073094</v>
      </c>
      <c r="K1559">
        <v>1.9334367036533049</v>
      </c>
      <c r="L1559">
        <v>0</v>
      </c>
      <c r="M1559">
        <v>1.9408258755549035E-3</v>
      </c>
      <c r="N1559">
        <v>0.19375936470679539</v>
      </c>
      <c r="O1559">
        <v>2.5116026844139008E-2</v>
      </c>
      <c r="P1559">
        <v>2.1077635724404398E-2</v>
      </c>
      <c r="Q1559">
        <v>2.9364840942808206E-3</v>
      </c>
      <c r="R1559">
        <v>1.9291312393576259E-3</v>
      </c>
      <c r="S1559">
        <v>0.20436065678716261</v>
      </c>
      <c r="T1559">
        <v>1.0586414686949819</v>
      </c>
      <c r="U1559">
        <v>3.6788742945530833E-2</v>
      </c>
      <c r="V1559">
        <v>0.24905992936437879</v>
      </c>
      <c r="W1559">
        <v>0.11605122488379481</v>
      </c>
      <c r="X1559">
        <v>2.0406404948443386E-2</v>
      </c>
      <c r="Y1559">
        <v>5.2504592955893142E-3</v>
      </c>
    </row>
    <row r="1560" spans="1:25" x14ac:dyDescent="0.25">
      <c r="A1560" s="881"/>
      <c r="B1560" s="1131">
        <v>1310</v>
      </c>
      <c r="C1560" s="885">
        <v>1.0165818038906409</v>
      </c>
      <c r="D1560" s="885">
        <v>1.0104805990569381</v>
      </c>
      <c r="E1560" s="885">
        <v>1.0182560232148419</v>
      </c>
      <c r="F1560" s="885">
        <v>1.0098968100252914</v>
      </c>
      <c r="G1560" s="885">
        <v>0.98630710557988277</v>
      </c>
      <c r="H1560" s="885">
        <v>0.95776745850037093</v>
      </c>
      <c r="I1560" s="885">
        <v>1.0406470749742234</v>
      </c>
      <c r="K1560">
        <v>1.9162582244037081</v>
      </c>
      <c r="L1560">
        <v>0</v>
      </c>
      <c r="M1560">
        <v>1.7616266423836351E-3</v>
      </c>
      <c r="N1560">
        <v>0.1878037077209769</v>
      </c>
      <c r="O1560">
        <v>2.4611410146929448E-2</v>
      </c>
      <c r="P1560">
        <v>2.1330251445890933E-2</v>
      </c>
      <c r="Q1560">
        <v>2.9467113240515888E-3</v>
      </c>
      <c r="R1560">
        <v>1.750639364438758E-3</v>
      </c>
      <c r="S1560">
        <v>0.20535078251534969</v>
      </c>
      <c r="T1560">
        <v>1.0567018766707179</v>
      </c>
      <c r="U1560">
        <v>3.671156660298789E-2</v>
      </c>
      <c r="V1560">
        <v>0.24423351831437834</v>
      </c>
      <c r="W1560">
        <v>0.11087395309240637</v>
      </c>
      <c r="X1560">
        <v>2.0940770596073102E-2</v>
      </c>
      <c r="Y1560">
        <v>4.7646632518909106E-3</v>
      </c>
    </row>
    <row r="1561" spans="1:25" x14ac:dyDescent="0.25">
      <c r="A1561" s="881"/>
      <c r="B1561" s="1131">
        <v>1311</v>
      </c>
      <c r="C1561" s="885">
        <v>0.99677111366684312</v>
      </c>
      <c r="D1561" s="885">
        <v>1.0051820831323555</v>
      </c>
      <c r="E1561" s="885">
        <v>0.98523770473788763</v>
      </c>
      <c r="F1561" s="885">
        <v>1.0300606671097923</v>
      </c>
      <c r="G1561" s="885">
        <v>0.98906479914285805</v>
      </c>
      <c r="H1561" s="885">
        <v>1.0043308705499696</v>
      </c>
      <c r="I1561" s="885">
        <v>0.95756582967746806</v>
      </c>
      <c r="K1561">
        <v>1.9292710674917735</v>
      </c>
      <c r="L1561">
        <v>0</v>
      </c>
      <c r="M1561">
        <v>2.0249381736682265E-3</v>
      </c>
      <c r="N1561">
        <v>0.19486004003733218</v>
      </c>
      <c r="O1561">
        <v>2.516589352630948E-2</v>
      </c>
      <c r="P1561">
        <v>2.0804934953133163E-2</v>
      </c>
      <c r="Q1561">
        <v>2.9137649351907657E-3</v>
      </c>
      <c r="R1561">
        <v>2.0128985309452925E-3</v>
      </c>
      <c r="S1561">
        <v>0.19769152994670999</v>
      </c>
      <c r="T1561">
        <v>1.0597325933204476</v>
      </c>
      <c r="U1561">
        <v>3.7441203992786137E-2</v>
      </c>
      <c r="V1561">
        <v>0.24762250244628645</v>
      </c>
      <c r="W1561">
        <v>0.11766526974202715</v>
      </c>
      <c r="X1561">
        <v>1.9906927984861982E-2</v>
      </c>
      <c r="Y1561">
        <v>5.478446249410694E-3</v>
      </c>
    </row>
    <row r="1562" spans="1:25" x14ac:dyDescent="0.25">
      <c r="A1562" s="881"/>
      <c r="B1562" s="1131">
        <v>1312</v>
      </c>
      <c r="C1562" s="885">
        <v>0.96952250134205886</v>
      </c>
      <c r="D1562" s="885">
        <v>1.0079613127743308</v>
      </c>
      <c r="E1562" s="885">
        <v>0.97319537323086869</v>
      </c>
      <c r="F1562" s="885">
        <v>1.0396372257741155</v>
      </c>
      <c r="G1562" s="885">
        <v>0.99804514293937274</v>
      </c>
      <c r="H1562" s="885">
        <v>1.006079090535323</v>
      </c>
      <c r="I1562" s="885">
        <v>0.98187653324981372</v>
      </c>
      <c r="K1562">
        <v>1.9525080994660526</v>
      </c>
      <c r="L1562">
        <v>0</v>
      </c>
      <c r="M1562">
        <v>2.1359448843885423E-3</v>
      </c>
      <c r="N1562">
        <v>0.19797444560758479</v>
      </c>
      <c r="O1562">
        <v>2.5837880515656008E-2</v>
      </c>
      <c r="P1562">
        <v>2.083468908296239E-2</v>
      </c>
      <c r="Q1562">
        <v>2.9557274467903964E-3</v>
      </c>
      <c r="R1562">
        <v>2.1232648796288074E-3</v>
      </c>
      <c r="S1562">
        <v>0.20832242973393669</v>
      </c>
      <c r="T1562">
        <v>1.0608484972325654</v>
      </c>
      <c r="U1562">
        <v>3.8493496075909857E-2</v>
      </c>
      <c r="V1562">
        <v>0.25122881334262526</v>
      </c>
      <c r="W1562">
        <v>0.12054956402935298</v>
      </c>
      <c r="X1562">
        <v>1.9696409335158867E-2</v>
      </c>
      <c r="Y1562">
        <v>5.7788270682701546E-3</v>
      </c>
    </row>
    <row r="1563" spans="1:25" x14ac:dyDescent="0.25">
      <c r="A1563" s="881"/>
      <c r="B1563" s="1131">
        <v>1313</v>
      </c>
      <c r="C1563" s="885">
        <v>0.97978871273873935</v>
      </c>
      <c r="D1563" s="885">
        <v>0.96836656523953224</v>
      </c>
      <c r="E1563" s="885">
        <v>1.0022137204970714</v>
      </c>
      <c r="F1563" s="885">
        <v>0.98426161911878163</v>
      </c>
      <c r="G1563" s="885">
        <v>1.0205324865550012</v>
      </c>
      <c r="H1563" s="885">
        <v>0.9778232403175473</v>
      </c>
      <c r="I1563" s="885">
        <v>0.98776004869055167</v>
      </c>
      <c r="K1563">
        <v>1.9556528320531046</v>
      </c>
      <c r="L1563">
        <v>0</v>
      </c>
      <c r="M1563">
        <v>1.9714095834009035E-3</v>
      </c>
      <c r="N1563">
        <v>0.1999732962637665</v>
      </c>
      <c r="O1563">
        <v>2.6080245969073306E-2</v>
      </c>
      <c r="P1563">
        <v>2.1303134237446859E-2</v>
      </c>
      <c r="Q1563">
        <v>3.063755377508027E-3</v>
      </c>
      <c r="R1563">
        <v>1.9594017249842458E-3</v>
      </c>
      <c r="S1563">
        <v>0.20830400295027213</v>
      </c>
      <c r="T1563">
        <v>1.0581690766130782</v>
      </c>
      <c r="U1563">
        <v>3.809016180294407E-2</v>
      </c>
      <c r="V1563">
        <v>0.25485284402011871</v>
      </c>
      <c r="W1563">
        <v>0.11935226758925217</v>
      </c>
      <c r="X1563">
        <v>2.1143209509260592E-2</v>
      </c>
      <c r="Y1563">
        <v>5.3328455788020715E-3</v>
      </c>
    </row>
    <row r="1564" spans="1:25" x14ac:dyDescent="0.25">
      <c r="A1564" s="881"/>
      <c r="B1564" s="1131">
        <v>1314</v>
      </c>
      <c r="C1564" s="885">
        <v>0.99184114992401684</v>
      </c>
      <c r="D1564" s="885">
        <v>1.011214906894073</v>
      </c>
      <c r="E1564" s="885">
        <v>0.98688895716283487</v>
      </c>
      <c r="F1564" s="885">
        <v>1.0187780709059855</v>
      </c>
      <c r="G1564" s="885">
        <v>1.0064468472976456</v>
      </c>
      <c r="H1564" s="885">
        <v>1.0126652164372953</v>
      </c>
      <c r="I1564" s="885">
        <v>1.0188854131836207</v>
      </c>
      <c r="K1564">
        <v>1.94743399252824</v>
      </c>
      <c r="L1564">
        <v>0</v>
      </c>
      <c r="M1564">
        <v>2.038747352152414E-3</v>
      </c>
      <c r="N1564">
        <v>0.19720963058025132</v>
      </c>
      <c r="O1564">
        <v>2.5216266056786823E-2</v>
      </c>
      <c r="P1564">
        <v>2.1019792290651519E-2</v>
      </c>
      <c r="Q1564">
        <v>2.9257006125782917E-3</v>
      </c>
      <c r="R1564">
        <v>2.0267203997210502E-3</v>
      </c>
      <c r="S1564">
        <v>0.21167900190625286</v>
      </c>
      <c r="T1564">
        <v>1.0595800184896766</v>
      </c>
      <c r="U1564">
        <v>3.7627306150562444E-2</v>
      </c>
      <c r="V1564">
        <v>0.24757745141561366</v>
      </c>
      <c r="W1564">
        <v>0.11894826988233144</v>
      </c>
      <c r="X1564">
        <v>2.0146517276125299E-2</v>
      </c>
      <c r="Y1564">
        <v>5.5160648198404882E-3</v>
      </c>
    </row>
    <row r="1565" spans="1:25" x14ac:dyDescent="0.25">
      <c r="A1565" s="881"/>
      <c r="B1565" s="1131">
        <v>1315</v>
      </c>
      <c r="C1565" s="885">
        <v>1.0103344197542747</v>
      </c>
      <c r="D1565" s="885">
        <v>0.96873590055732672</v>
      </c>
      <c r="E1565" s="885">
        <v>1.015661016620075</v>
      </c>
      <c r="F1565" s="885">
        <v>0.99761163542860354</v>
      </c>
      <c r="G1565" s="885">
        <v>0.98002409990981232</v>
      </c>
      <c r="H1565" s="885">
        <v>0.99492071760929635</v>
      </c>
      <c r="I1565" s="885">
        <v>1.0182659731254273</v>
      </c>
      <c r="K1565">
        <v>1.9488291924516512</v>
      </c>
      <c r="L1565">
        <v>0</v>
      </c>
      <c r="M1565">
        <v>1.8904895502662076E-3</v>
      </c>
      <c r="N1565">
        <v>0.19997339823108437</v>
      </c>
      <c r="O1565">
        <v>2.5286960374324045E-2</v>
      </c>
      <c r="P1565">
        <v>2.1444142778785164E-2</v>
      </c>
      <c r="Q1565">
        <v>3.0108710889865287E-3</v>
      </c>
      <c r="R1565">
        <v>1.8791721547287018E-3</v>
      </c>
      <c r="S1565">
        <v>0.20997996493028678</v>
      </c>
      <c r="T1565">
        <v>1.0569385300639502</v>
      </c>
      <c r="U1565">
        <v>3.693857189384249E-2</v>
      </c>
      <c r="V1565">
        <v>0.2503337710804695</v>
      </c>
      <c r="W1565">
        <v>0.11826593737952851</v>
      </c>
      <c r="X1565">
        <v>2.1553874889691221E-2</v>
      </c>
      <c r="Y1565">
        <v>5.1144871362372056E-3</v>
      </c>
    </row>
    <row r="1566" spans="1:25" x14ac:dyDescent="0.25">
      <c r="A1566" s="881"/>
      <c r="B1566" s="1131">
        <v>1316</v>
      </c>
      <c r="C1566" s="885">
        <v>0.98685883298763521</v>
      </c>
      <c r="D1566" s="885">
        <v>0.99412943966887357</v>
      </c>
      <c r="E1566" s="885">
        <v>0.98383528627293471</v>
      </c>
      <c r="F1566" s="885">
        <v>1.020720859638675</v>
      </c>
      <c r="G1566" s="885">
        <v>1.0199812655852147</v>
      </c>
      <c r="H1566" s="885">
        <v>1.0194037026204967</v>
      </c>
      <c r="I1566" s="885">
        <v>1.0079970981117725</v>
      </c>
      <c r="K1566">
        <v>1.9582084626040084</v>
      </c>
      <c r="L1566">
        <v>0</v>
      </c>
      <c r="M1566">
        <v>2.0935150697213552E-3</v>
      </c>
      <c r="N1566">
        <v>0.20059977590788536</v>
      </c>
      <c r="O1566">
        <v>2.5558169037914063E-2</v>
      </c>
      <c r="P1566">
        <v>2.1031623148949127E-2</v>
      </c>
      <c r="Q1566">
        <v>2.9527019774101453E-3</v>
      </c>
      <c r="R1566">
        <v>2.081261130101444E-3</v>
      </c>
      <c r="S1566">
        <v>0.21282583906508823</v>
      </c>
      <c r="T1566">
        <v>1.0598622591762172</v>
      </c>
      <c r="U1566">
        <v>3.7817273710701545E-2</v>
      </c>
      <c r="V1566">
        <v>0.25043177328249183</v>
      </c>
      <c r="W1566">
        <v>0.12124873892926591</v>
      </c>
      <c r="X1566">
        <v>2.0228055599114725E-2</v>
      </c>
      <c r="Y1566">
        <v>5.6645067085889815E-3</v>
      </c>
    </row>
    <row r="1567" spans="1:25" x14ac:dyDescent="0.25">
      <c r="A1567" s="881"/>
      <c r="B1567" s="1131">
        <v>1317</v>
      </c>
      <c r="C1567" s="885">
        <v>1.0001783442810714</v>
      </c>
      <c r="D1567" s="885">
        <v>0.99340341113251474</v>
      </c>
      <c r="E1567" s="885">
        <v>1.0003756326922559</v>
      </c>
      <c r="F1567" s="885">
        <v>0.99003170498282789</v>
      </c>
      <c r="G1567" s="885">
        <v>0.99300709360133899</v>
      </c>
      <c r="H1567" s="885">
        <v>0.99503315236260748</v>
      </c>
      <c r="I1567" s="885">
        <v>0.9853325613200542</v>
      </c>
      <c r="K1567">
        <v>1.9363128472241686</v>
      </c>
      <c r="L1567">
        <v>0</v>
      </c>
      <c r="M1567">
        <v>1.9480180584725705E-3</v>
      </c>
      <c r="N1567">
        <v>0.19649260416618045</v>
      </c>
      <c r="O1567">
        <v>2.5226936537289933E-2</v>
      </c>
      <c r="P1567">
        <v>2.1106683142703371E-2</v>
      </c>
      <c r="Q1567">
        <v>2.9633604980834087E-3</v>
      </c>
      <c r="R1567">
        <v>1.9363370797660135E-3</v>
      </c>
      <c r="S1567">
        <v>0.20290132379547207</v>
      </c>
      <c r="T1567">
        <v>1.0583378257803977</v>
      </c>
      <c r="U1567">
        <v>3.7313655923777084E-2</v>
      </c>
      <c r="V1567">
        <v>0.24860975668587815</v>
      </c>
      <c r="W1567">
        <v>0.11742230310817883</v>
      </c>
      <c r="X1567">
        <v>2.0680007347133787E-2</v>
      </c>
      <c r="Y1567">
        <v>5.2700712177762956E-3</v>
      </c>
    </row>
    <row r="1568" spans="1:25" x14ac:dyDescent="0.25">
      <c r="A1568" s="881"/>
      <c r="B1568" s="1131">
        <v>1318</v>
      </c>
      <c r="C1568" s="885">
        <v>1.0291066922452248</v>
      </c>
      <c r="D1568" s="885">
        <v>0.96738575066826082</v>
      </c>
      <c r="E1568" s="885">
        <v>0.95860161907118357</v>
      </c>
      <c r="F1568" s="885">
        <v>0.95982167467482249</v>
      </c>
      <c r="G1568" s="885">
        <v>1.0285316604203791</v>
      </c>
      <c r="H1568" s="885">
        <v>0.98413853394558704</v>
      </c>
      <c r="I1568" s="885">
        <v>0.99471883053457644</v>
      </c>
      <c r="K1568">
        <v>1.9149987717084196</v>
      </c>
      <c r="L1568">
        <v>0</v>
      </c>
      <c r="M1568">
        <v>2.0712269683458872E-3</v>
      </c>
      <c r="N1568">
        <v>0.18341228552173838</v>
      </c>
      <c r="O1568">
        <v>2.4842914570095447E-2</v>
      </c>
      <c r="P1568">
        <v>2.044204286865604E-2</v>
      </c>
      <c r="Q1568">
        <v>2.791685037572671E-3</v>
      </c>
      <c r="R1568">
        <v>2.0586929718361497E-3</v>
      </c>
      <c r="S1568">
        <v>0.20043989358617684</v>
      </c>
      <c r="T1568">
        <v>1.0622083519435248</v>
      </c>
      <c r="U1568">
        <v>3.6264763296305472E-2</v>
      </c>
      <c r="V1568">
        <v>0.24789106560471183</v>
      </c>
      <c r="W1568">
        <v>0.11283054055762022</v>
      </c>
      <c r="X1568">
        <v>1.8284679097142847E-2</v>
      </c>
      <c r="Y1568">
        <v>5.6030836213822269E-3</v>
      </c>
    </row>
    <row r="1569" spans="1:25" x14ac:dyDescent="0.25">
      <c r="A1569" s="881"/>
      <c r="B1569" s="1131">
        <v>1319</v>
      </c>
      <c r="C1569" s="885">
        <v>0.96771815794646232</v>
      </c>
      <c r="D1569" s="885">
        <v>0.98641036747497024</v>
      </c>
      <c r="E1569" s="885">
        <v>0.99410490822896724</v>
      </c>
      <c r="F1569" s="885">
        <v>1.0165189899117246</v>
      </c>
      <c r="G1569" s="885">
        <v>1.0378151861225007</v>
      </c>
      <c r="H1569" s="885">
        <v>0.97521175771628599</v>
      </c>
      <c r="I1569" s="885">
        <v>0.96710959849177314</v>
      </c>
      <c r="K1569">
        <v>1.9502859450609265</v>
      </c>
      <c r="L1569">
        <v>0</v>
      </c>
      <c r="M1569">
        <v>2.0064813398810864E-3</v>
      </c>
      <c r="N1569">
        <v>0.19845501005550509</v>
      </c>
      <c r="O1569">
        <v>2.6164584925987323E-2</v>
      </c>
      <c r="P1569">
        <v>2.1131255454518681E-2</v>
      </c>
      <c r="Q1569">
        <v>3.0526524335058544E-3</v>
      </c>
      <c r="R1569">
        <v>1.9942112864622459E-3</v>
      </c>
      <c r="S1569">
        <v>0.20448006306316172</v>
      </c>
      <c r="T1569">
        <v>1.0589145118021133</v>
      </c>
      <c r="U1569">
        <v>3.8565268507632533E-2</v>
      </c>
      <c r="V1569">
        <v>0.25428167796816131</v>
      </c>
      <c r="W1569">
        <v>0.11910595407073693</v>
      </c>
      <c r="X1569">
        <v>2.0719651102845561E-2</v>
      </c>
      <c r="Y1569">
        <v>5.4275857301763287E-3</v>
      </c>
    </row>
    <row r="1570" spans="1:25" x14ac:dyDescent="0.25">
      <c r="A1570" s="881"/>
      <c r="B1570" s="1131">
        <v>1320</v>
      </c>
      <c r="C1570" s="885">
        <v>1.0470207675718282</v>
      </c>
      <c r="D1570" s="885">
        <v>1.0019337852003505</v>
      </c>
      <c r="E1570" s="885">
        <v>0.9758894762733934</v>
      </c>
      <c r="F1570" s="885">
        <v>1.0262153706473043</v>
      </c>
      <c r="G1570" s="885">
        <v>0.99280343924575709</v>
      </c>
      <c r="H1570" s="885">
        <v>0.97678172221182025</v>
      </c>
      <c r="I1570" s="885">
        <v>1.0242144383125376</v>
      </c>
      <c r="K1570">
        <v>1.8952289043362374</v>
      </c>
      <c r="L1570">
        <v>0</v>
      </c>
      <c r="M1570">
        <v>1.9150993651397131E-3</v>
      </c>
      <c r="N1570">
        <v>0.17897018982561722</v>
      </c>
      <c r="O1570">
        <v>2.3996504284220819E-2</v>
      </c>
      <c r="P1570">
        <v>2.0575498256184967E-2</v>
      </c>
      <c r="Q1570">
        <v>2.7514848510612777E-3</v>
      </c>
      <c r="R1570">
        <v>1.9033942638872964E-3</v>
      </c>
      <c r="S1570">
        <v>0.19887770561440374</v>
      </c>
      <c r="T1570">
        <v>1.0605983597539268</v>
      </c>
      <c r="U1570">
        <v>3.5644288782797885E-2</v>
      </c>
      <c r="V1570">
        <v>0.24123168215019641</v>
      </c>
      <c r="W1570">
        <v>0.1087732769956313</v>
      </c>
      <c r="X1570">
        <v>1.8641207190896462E-2</v>
      </c>
      <c r="Y1570">
        <v>5.1804117325507616E-3</v>
      </c>
    </row>
    <row r="1571" spans="1:25" x14ac:dyDescent="0.25">
      <c r="A1571" s="881"/>
      <c r="B1571" s="1131">
        <v>1321</v>
      </c>
      <c r="C1571" s="885">
        <v>1.00665603268143</v>
      </c>
      <c r="D1571" s="885">
        <v>1.0256463508563967</v>
      </c>
      <c r="E1571" s="885">
        <v>0.96873307223785388</v>
      </c>
      <c r="F1571" s="885">
        <v>1.005232322031443</v>
      </c>
      <c r="G1571" s="885">
        <v>1.0050727297136848</v>
      </c>
      <c r="H1571" s="885">
        <v>0.98282463501038864</v>
      </c>
      <c r="I1571" s="885">
        <v>1.0381967632623816</v>
      </c>
      <c r="K1571">
        <v>1.9185397530057131</v>
      </c>
      <c r="L1571">
        <v>0</v>
      </c>
      <c r="M1571">
        <v>2.0111566269730811E-3</v>
      </c>
      <c r="N1571">
        <v>0.1838053958588087</v>
      </c>
      <c r="O1571">
        <v>2.4671933934834449E-2</v>
      </c>
      <c r="P1571">
        <v>2.064750620230309E-2</v>
      </c>
      <c r="Q1571">
        <v>2.8128965665791691E-3</v>
      </c>
      <c r="R1571">
        <v>1.9989203027234595E-3</v>
      </c>
      <c r="S1571">
        <v>0.2080659703471221</v>
      </c>
      <c r="T1571">
        <v>1.0612634234186535</v>
      </c>
      <c r="U1571">
        <v>3.7073547854778892E-2</v>
      </c>
      <c r="V1571">
        <v>0.24378258096744679</v>
      </c>
      <c r="W1571">
        <v>0.11227112157308218</v>
      </c>
      <c r="X1571">
        <v>1.8717210486240962E-2</v>
      </c>
      <c r="Y1571">
        <v>5.4404021201125592E-3</v>
      </c>
    </row>
    <row r="1572" spans="1:25" x14ac:dyDescent="0.25">
      <c r="A1572" s="881"/>
      <c r="B1572" s="1131">
        <v>1322</v>
      </c>
      <c r="C1572" s="885">
        <v>0.95911255273945617</v>
      </c>
      <c r="D1572" s="885">
        <v>1.0281383184429398</v>
      </c>
      <c r="E1572" s="885">
        <v>1.0024623958887695</v>
      </c>
      <c r="F1572" s="885">
        <v>1.0070338717934821</v>
      </c>
      <c r="G1572" s="885">
        <v>0.97388734316649139</v>
      </c>
      <c r="H1572" s="885">
        <v>0.98927602910562729</v>
      </c>
      <c r="I1572" s="885">
        <v>0.99589630917394389</v>
      </c>
      <c r="K1572">
        <v>1.9543813731987809</v>
      </c>
      <c r="L1572">
        <v>0</v>
      </c>
      <c r="M1572">
        <v>1.97697226067304E-3</v>
      </c>
      <c r="N1572">
        <v>0.20070191398469425</v>
      </c>
      <c r="O1572">
        <v>2.586395588373688E-2</v>
      </c>
      <c r="P1572">
        <v>2.1277479153780213E-2</v>
      </c>
      <c r="Q1572">
        <v>3.0518336083902001E-3</v>
      </c>
      <c r="R1572">
        <v>1.9650203761968285E-3</v>
      </c>
      <c r="S1572">
        <v>0.20991866851286312</v>
      </c>
      <c r="T1572">
        <v>1.0581462566037241</v>
      </c>
      <c r="U1572">
        <v>3.8911294085684812E-2</v>
      </c>
      <c r="V1572">
        <v>0.25027494928933369</v>
      </c>
      <c r="W1572">
        <v>0.11976678925720773</v>
      </c>
      <c r="X1572">
        <v>2.1132047008627385E-2</v>
      </c>
      <c r="Y1572">
        <v>5.348137695214846E-3</v>
      </c>
    </row>
    <row r="1573" spans="1:25" x14ac:dyDescent="0.25">
      <c r="A1573" s="881"/>
      <c r="B1573" s="1131">
        <v>1323</v>
      </c>
      <c r="C1573" s="885">
        <v>0.96651851524057686</v>
      </c>
      <c r="D1573" s="885">
        <v>1.0093795571698427</v>
      </c>
      <c r="E1573" s="885">
        <v>1.0191862469787716</v>
      </c>
      <c r="F1573" s="885">
        <v>1.0317918348675723</v>
      </c>
      <c r="G1573" s="885">
        <v>1.0049433722851069</v>
      </c>
      <c r="H1573" s="885">
        <v>1.0147266497628471</v>
      </c>
      <c r="I1573" s="885">
        <v>1.0232982985561627</v>
      </c>
      <c r="K1573">
        <v>1.9769324314534824</v>
      </c>
      <c r="L1573">
        <v>0</v>
      </c>
      <c r="M1573">
        <v>1.960268903850565E-3</v>
      </c>
      <c r="N1573">
        <v>0.20965934770650069</v>
      </c>
      <c r="O1573">
        <v>2.5900174985309853E-2</v>
      </c>
      <c r="P1573">
        <v>2.1653513275882216E-2</v>
      </c>
      <c r="Q1573">
        <v>3.1036506967329642E-3</v>
      </c>
      <c r="R1573">
        <v>1.9487298490553895E-3</v>
      </c>
      <c r="S1573">
        <v>0.21856746820277592</v>
      </c>
      <c r="T1573">
        <v>1.056617108358298</v>
      </c>
      <c r="U1573">
        <v>3.8613135715902448E-2</v>
      </c>
      <c r="V1573">
        <v>0.25150009168394594</v>
      </c>
      <c r="W1573">
        <v>0.12369916092735503</v>
      </c>
      <c r="X1573">
        <v>2.2326518705065208E-2</v>
      </c>
      <c r="Y1573">
        <v>5.3038002505066762E-3</v>
      </c>
    </row>
    <row r="1574" spans="1:25" x14ac:dyDescent="0.25">
      <c r="A1574" s="881"/>
      <c r="B1574" s="1131">
        <v>1324</v>
      </c>
      <c r="C1574" s="885">
        <v>1.0044331741781372</v>
      </c>
      <c r="D1574" s="885">
        <v>0.98355215321959788</v>
      </c>
      <c r="E1574" s="885">
        <v>1.0097001124550091</v>
      </c>
      <c r="F1574" s="885">
        <v>0.96921661242748225</v>
      </c>
      <c r="G1574" s="885">
        <v>0.9842809530006299</v>
      </c>
      <c r="H1574" s="885">
        <v>1.0392925465411791</v>
      </c>
      <c r="I1574" s="885">
        <v>1.0017122744338693</v>
      </c>
      <c r="K1574">
        <v>1.9618039443576627</v>
      </c>
      <c r="L1574">
        <v>0</v>
      </c>
      <c r="M1574">
        <v>1.9964525037727966E-3</v>
      </c>
      <c r="N1574">
        <v>0.20735736830457516</v>
      </c>
      <c r="O1574">
        <v>2.5244501832341198E-2</v>
      </c>
      <c r="P1574">
        <v>2.1357578886754765E-2</v>
      </c>
      <c r="Q1574">
        <v>2.9911812910996503E-3</v>
      </c>
      <c r="R1574">
        <v>1.9849988640712303E-3</v>
      </c>
      <c r="S1574">
        <v>0.21084753435143846</v>
      </c>
      <c r="T1574">
        <v>1.0574831348160398</v>
      </c>
      <c r="U1574">
        <v>3.7155593383754619E-2</v>
      </c>
      <c r="V1574">
        <v>0.24925401171496275</v>
      </c>
      <c r="W1574">
        <v>0.12312966359140882</v>
      </c>
      <c r="X1574">
        <v>2.1592317271687027E-2</v>
      </c>
      <c r="Y1574">
        <v>5.4025125533022095E-3</v>
      </c>
    </row>
    <row r="1575" spans="1:25" x14ac:dyDescent="0.25">
      <c r="A1575" s="881"/>
      <c r="B1575" s="1131">
        <v>1325</v>
      </c>
      <c r="C1575" s="885">
        <v>0.98514945612159432</v>
      </c>
      <c r="D1575" s="885">
        <v>0.98303763755308327</v>
      </c>
      <c r="E1575" s="885">
        <v>0.97561043727807617</v>
      </c>
      <c r="F1575" s="885">
        <v>0.98865391952920412</v>
      </c>
      <c r="G1575" s="885">
        <v>0.95777251958513587</v>
      </c>
      <c r="H1575" s="885">
        <v>1.0157483049384228</v>
      </c>
      <c r="I1575" s="885">
        <v>0.99229814533115013</v>
      </c>
      <c r="K1575">
        <v>1.95746441161471</v>
      </c>
      <c r="L1575">
        <v>0</v>
      </c>
      <c r="M1575">
        <v>2.1378694312546476E-3</v>
      </c>
      <c r="N1575">
        <v>0.19966351189859699</v>
      </c>
      <c r="O1575">
        <v>2.5745330963383651E-2</v>
      </c>
      <c r="P1575">
        <v>2.0904094757855794E-2</v>
      </c>
      <c r="Q1575">
        <v>2.9472420653498576E-3</v>
      </c>
      <c r="R1575">
        <v>2.1253206498333794E-3</v>
      </c>
      <c r="S1575">
        <v>0.2105853978304903</v>
      </c>
      <c r="T1575">
        <v>1.0606242544390296</v>
      </c>
      <c r="U1575">
        <v>3.7882892153077108E-2</v>
      </c>
      <c r="V1575">
        <v>0.25210949560751195</v>
      </c>
      <c r="W1575">
        <v>0.12137369130155182</v>
      </c>
      <c r="X1575">
        <v>1.9856627182199445E-2</v>
      </c>
      <c r="Y1575">
        <v>5.7844221970825343E-3</v>
      </c>
    </row>
    <row r="1576" spans="1:25" x14ac:dyDescent="0.25">
      <c r="A1576" s="881"/>
      <c r="B1576" s="1131">
        <v>1326</v>
      </c>
      <c r="C1576" s="885">
        <v>0.97067301876301626</v>
      </c>
      <c r="D1576" s="885">
        <v>0.99019488030319669</v>
      </c>
      <c r="E1576" s="885">
        <v>0.99192601508163536</v>
      </c>
      <c r="F1576" s="885">
        <v>1.0154273616845295</v>
      </c>
      <c r="G1576" s="885">
        <v>1.0205987755968196</v>
      </c>
      <c r="H1576" s="885">
        <v>1.0375540451315115</v>
      </c>
      <c r="I1576" s="885">
        <v>1.001171096588293</v>
      </c>
      <c r="K1576">
        <v>1.9810493936581681</v>
      </c>
      <c r="L1576">
        <v>0</v>
      </c>
      <c r="M1576">
        <v>2.1339766117415455E-3</v>
      </c>
      <c r="N1576">
        <v>0.20971570063974199</v>
      </c>
      <c r="O1576">
        <v>2.6035459393672411E-2</v>
      </c>
      <c r="P1576">
        <v>2.1257646017600926E-2</v>
      </c>
      <c r="Q1576">
        <v>3.0317292782902623E-3</v>
      </c>
      <c r="R1576">
        <v>2.1217077288265586E-3</v>
      </c>
      <c r="S1576">
        <v>0.21720554176942117</v>
      </c>
      <c r="T1576">
        <v>1.0591152515699525</v>
      </c>
      <c r="U1576">
        <v>3.8447870580019104E-2</v>
      </c>
      <c r="V1576">
        <v>0.25333664299255482</v>
      </c>
      <c r="W1576">
        <v>0.12605294706254361</v>
      </c>
      <c r="X1576">
        <v>2.1088284220184467E-2</v>
      </c>
      <c r="Y1576">
        <v>5.7745890171010585E-3</v>
      </c>
    </row>
    <row r="1577" spans="1:25" x14ac:dyDescent="0.25">
      <c r="A1577" s="881"/>
      <c r="B1577" s="1131">
        <v>1327</v>
      </c>
      <c r="C1577" s="885">
        <v>0.98895083542998119</v>
      </c>
      <c r="D1577" s="885">
        <v>0.96249313998104724</v>
      </c>
      <c r="E1577" s="885">
        <v>1.0078594028809256</v>
      </c>
      <c r="F1577" s="885">
        <v>0.98564494194881347</v>
      </c>
      <c r="G1577" s="885">
        <v>0.99792226004465201</v>
      </c>
      <c r="H1577" s="885">
        <v>0.97162866091953104</v>
      </c>
      <c r="I1577" s="885">
        <v>0.97588623864851254</v>
      </c>
      <c r="K1577">
        <v>1.946895899436806</v>
      </c>
      <c r="L1577">
        <v>0</v>
      </c>
      <c r="M1577">
        <v>1.9236238395390814E-3</v>
      </c>
      <c r="N1577">
        <v>0.19857506985337961</v>
      </c>
      <c r="O1577">
        <v>2.5916935177898358E-2</v>
      </c>
      <c r="P1577">
        <v>2.1311483471797409E-2</v>
      </c>
      <c r="Q1577">
        <v>3.0605306623261767E-3</v>
      </c>
      <c r="R1577">
        <v>1.9118373912970809E-3</v>
      </c>
      <c r="S1577">
        <v>0.20383562991690296</v>
      </c>
      <c r="T1577">
        <v>1.05765158744178</v>
      </c>
      <c r="U1577">
        <v>3.7737275973573112E-2</v>
      </c>
      <c r="V1577">
        <v>0.25427705213879426</v>
      </c>
      <c r="W1577">
        <v>0.11806239654377974</v>
      </c>
      <c r="X1577">
        <v>2.1276333562732088E-2</v>
      </c>
      <c r="Y1577">
        <v>5.2033911420839921E-3</v>
      </c>
    </row>
    <row r="1578" spans="1:25" x14ac:dyDescent="0.25">
      <c r="A1578" s="881"/>
      <c r="B1578" s="1131">
        <v>1328</v>
      </c>
      <c r="C1578" s="885">
        <v>0.9793732703492114</v>
      </c>
      <c r="D1578" s="885">
        <v>1.0077375517334695</v>
      </c>
      <c r="E1578" s="885">
        <v>0.98926829608847722</v>
      </c>
      <c r="F1578" s="885">
        <v>1.0122291479483148</v>
      </c>
      <c r="G1578" s="885">
        <v>0.97327712325003168</v>
      </c>
      <c r="H1578" s="885">
        <v>1.0272619996290788</v>
      </c>
      <c r="I1578" s="885">
        <v>0.96255908093601283</v>
      </c>
      <c r="K1578">
        <v>1.9532552103108616</v>
      </c>
      <c r="L1578">
        <v>0</v>
      </c>
      <c r="M1578">
        <v>2.0875623947506799E-3</v>
      </c>
      <c r="N1578">
        <v>0.20345063729259194</v>
      </c>
      <c r="O1578">
        <v>2.5580805046574021E-2</v>
      </c>
      <c r="P1578">
        <v>2.0991194724414009E-2</v>
      </c>
      <c r="Q1578">
        <v>2.9744387334809494E-3</v>
      </c>
      <c r="R1578">
        <v>2.0754253464307115E-3</v>
      </c>
      <c r="S1578">
        <v>0.20428923251571846</v>
      </c>
      <c r="T1578">
        <v>1.0593603551371504</v>
      </c>
      <c r="U1578">
        <v>3.8106319348096683E-2</v>
      </c>
      <c r="V1578">
        <v>0.24980634218091782</v>
      </c>
      <c r="W1578">
        <v>0.12251128502959527</v>
      </c>
      <c r="X1578">
        <v>2.0548113721438228E-2</v>
      </c>
      <c r="Y1578">
        <v>5.6486236292028202E-3</v>
      </c>
    </row>
    <row r="1579" spans="1:25" x14ac:dyDescent="0.25">
      <c r="A1579" s="881"/>
      <c r="B1579" s="1131">
        <v>1329</v>
      </c>
      <c r="C1579" s="885">
        <v>1.0271747850369304</v>
      </c>
      <c r="D1579" s="885">
        <v>0.95421903772164962</v>
      </c>
      <c r="E1579" s="885">
        <v>0.99087744106324549</v>
      </c>
      <c r="F1579" s="885">
        <v>0.97454909836815995</v>
      </c>
      <c r="G1579" s="885">
        <v>1.0036721188556765</v>
      </c>
      <c r="H1579" s="885">
        <v>1.0076110706533099</v>
      </c>
      <c r="I1579" s="885">
        <v>0.97272801585657032</v>
      </c>
      <c r="K1579">
        <v>1.9333880735696798</v>
      </c>
      <c r="L1579">
        <v>0</v>
      </c>
      <c r="M1579">
        <v>1.9991186222981156E-3</v>
      </c>
      <c r="N1579">
        <v>0.19579169024095575</v>
      </c>
      <c r="O1579">
        <v>2.5059994627677704E-2</v>
      </c>
      <c r="P1579">
        <v>2.0932429558458719E-2</v>
      </c>
      <c r="Q1579">
        <v>2.9074467506536579E-3</v>
      </c>
      <c r="R1579">
        <v>1.9873142188304195E-3</v>
      </c>
      <c r="S1579">
        <v>0.19992562661041427</v>
      </c>
      <c r="T1579">
        <v>1.0592119217068685</v>
      </c>
      <c r="U1579">
        <v>3.6332969952699072E-2</v>
      </c>
      <c r="V1579">
        <v>0.24987885477491556</v>
      </c>
      <c r="W1579">
        <v>0.1177686749488288</v>
      </c>
      <c r="X1579">
        <v>2.0181454615973742E-2</v>
      </c>
      <c r="Y1579">
        <v>5.4088141857002309E-3</v>
      </c>
    </row>
    <row r="1580" spans="1:25" x14ac:dyDescent="0.25">
      <c r="A1580" s="881"/>
      <c r="B1580" s="1131">
        <v>1330</v>
      </c>
      <c r="C1580" s="885">
        <v>0.99548478718337929</v>
      </c>
      <c r="D1580" s="885">
        <v>1.0023547054550539</v>
      </c>
      <c r="E1580" s="885">
        <v>0.99406099214933119</v>
      </c>
      <c r="F1580" s="885">
        <v>0.99552133970051204</v>
      </c>
      <c r="G1580" s="885">
        <v>1.0078357897721339</v>
      </c>
      <c r="H1580" s="885">
        <v>0.99197941144691082</v>
      </c>
      <c r="I1580" s="885">
        <v>0.9505179746159762</v>
      </c>
      <c r="K1580">
        <v>1.9263661899273528</v>
      </c>
      <c r="L1580">
        <v>0</v>
      </c>
      <c r="M1580">
        <v>1.968549865047992E-3</v>
      </c>
      <c r="N1580">
        <v>0.19469564519604046</v>
      </c>
      <c r="O1580">
        <v>2.5233551667384928E-2</v>
      </c>
      <c r="P1580">
        <v>2.0911443481868429E-2</v>
      </c>
      <c r="Q1580">
        <v>2.9471980449101163E-3</v>
      </c>
      <c r="R1580">
        <v>1.9567020633373114E-3</v>
      </c>
      <c r="S1580">
        <v>0.19555208761251069</v>
      </c>
      <c r="T1580">
        <v>1.0589185559334322</v>
      </c>
      <c r="U1580">
        <v>3.7489584051315208E-2</v>
      </c>
      <c r="V1580">
        <v>0.24815501057490133</v>
      </c>
      <c r="W1580">
        <v>0.11685323685533916</v>
      </c>
      <c r="X1580">
        <v>2.029622632161527E-2</v>
      </c>
      <c r="Y1580">
        <v>5.3254979897423378E-3</v>
      </c>
    </row>
    <row r="1581" spans="1:25" x14ac:dyDescent="0.25">
      <c r="A1581" s="881"/>
      <c r="B1581" s="1131">
        <v>1331</v>
      </c>
      <c r="C1581" s="885">
        <v>1.0391734705007039</v>
      </c>
      <c r="D1581" s="885">
        <v>0.98839325703195346</v>
      </c>
      <c r="E1581" s="885">
        <v>1.037318657090786</v>
      </c>
      <c r="F1581" s="885">
        <v>0.99705857460695413</v>
      </c>
      <c r="G1581" s="885">
        <v>1.0452530659075454</v>
      </c>
      <c r="H1581" s="885">
        <v>0.98524776356217658</v>
      </c>
      <c r="I1581" s="885">
        <v>1.0251336473067763</v>
      </c>
      <c r="K1581">
        <v>1.9211847479299649</v>
      </c>
      <c r="L1581">
        <v>0</v>
      </c>
      <c r="M1581">
        <v>1.7214437493303398E-3</v>
      </c>
      <c r="N1581">
        <v>0.19474510767593381</v>
      </c>
      <c r="O1581">
        <v>2.4341213511824462E-2</v>
      </c>
      <c r="P1581">
        <v>2.1550426899428536E-2</v>
      </c>
      <c r="Q1581">
        <v>2.965304139385568E-3</v>
      </c>
      <c r="R1581">
        <v>1.7110225330841699E-3</v>
      </c>
      <c r="S1581">
        <v>0.20266591336529005</v>
      </c>
      <c r="T1581">
        <v>1.0549715214736834</v>
      </c>
      <c r="U1581">
        <v>3.591345589580424E-2</v>
      </c>
      <c r="V1581">
        <v>0.24388907107049504</v>
      </c>
      <c r="W1581">
        <v>0.11351038842409598</v>
      </c>
      <c r="X1581">
        <v>2.1985927393641354E-2</v>
      </c>
      <c r="Y1581">
        <v>4.6568392966286681E-3</v>
      </c>
    </row>
    <row r="1582" spans="1:25" x14ac:dyDescent="0.25">
      <c r="A1582" s="881"/>
      <c r="B1582" s="1131">
        <v>1332</v>
      </c>
      <c r="C1582" s="885">
        <v>1.0458159101542941</v>
      </c>
      <c r="D1582" s="885">
        <v>1.0081839327983551</v>
      </c>
      <c r="E1582" s="885">
        <v>1.0054882787221338</v>
      </c>
      <c r="F1582" s="885">
        <v>1.012830819579505</v>
      </c>
      <c r="G1582" s="885">
        <v>1.0325802470549379</v>
      </c>
      <c r="H1582" s="885">
        <v>1.0005109016683846</v>
      </c>
      <c r="I1582" s="885">
        <v>0.9979523750756617</v>
      </c>
      <c r="K1582">
        <v>1.9036838675766472</v>
      </c>
      <c r="L1582">
        <v>0</v>
      </c>
      <c r="M1582">
        <v>1.8397101500476957E-3</v>
      </c>
      <c r="N1582">
        <v>0.18854746746982573</v>
      </c>
      <c r="O1582">
        <v>2.3950363698476865E-2</v>
      </c>
      <c r="P1582">
        <v>2.0951054013586191E-2</v>
      </c>
      <c r="Q1582">
        <v>2.8307880073354893E-3</v>
      </c>
      <c r="R1582">
        <v>1.828727789447435E-3</v>
      </c>
      <c r="S1582">
        <v>0.19573160889251337</v>
      </c>
      <c r="T1582">
        <v>1.0578687757875729</v>
      </c>
      <c r="U1582">
        <v>3.5685353644515569E-2</v>
      </c>
      <c r="V1582">
        <v>0.24064739606177049</v>
      </c>
      <c r="W1582">
        <v>0.11228168193644196</v>
      </c>
      <c r="X1582">
        <v>2.022316622228558E-2</v>
      </c>
      <c r="Y1582">
        <v>4.9771942029221425E-3</v>
      </c>
    </row>
    <row r="1583" spans="1:25" x14ac:dyDescent="0.25">
      <c r="A1583" s="881"/>
      <c r="B1583" s="1131">
        <v>1333</v>
      </c>
      <c r="C1583" s="885">
        <v>0.98525393991272936</v>
      </c>
      <c r="D1583" s="885">
        <v>1.0143167179504209</v>
      </c>
      <c r="E1583" s="885">
        <v>0.98970681820062179</v>
      </c>
      <c r="F1583" s="885">
        <v>0.98158611369551707</v>
      </c>
      <c r="G1583" s="885">
        <v>0.99986690123033162</v>
      </c>
      <c r="H1583" s="885">
        <v>0.99662069132606712</v>
      </c>
      <c r="I1583" s="885">
        <v>1.0065130630346717</v>
      </c>
      <c r="K1583">
        <v>1.9422566555795719</v>
      </c>
      <c r="L1583">
        <v>0</v>
      </c>
      <c r="M1583">
        <v>2.004897460286377E-3</v>
      </c>
      <c r="N1583">
        <v>0.19562549504343685</v>
      </c>
      <c r="O1583">
        <v>2.5346469432984752E-2</v>
      </c>
      <c r="P1583">
        <v>2.1029808378461388E-2</v>
      </c>
      <c r="Q1583">
        <v>2.9498294838278031E-3</v>
      </c>
      <c r="R1583">
        <v>1.9928772518288057E-3</v>
      </c>
      <c r="S1583">
        <v>0.20856415388172073</v>
      </c>
      <c r="T1583">
        <v>1.0593198942728388</v>
      </c>
      <c r="U1583">
        <v>3.7878874764228382E-2</v>
      </c>
      <c r="V1583">
        <v>0.24813830793891045</v>
      </c>
      <c r="W1583">
        <v>0.11776363999575887</v>
      </c>
      <c r="X1583">
        <v>2.0228247668193543E-2</v>
      </c>
      <c r="Y1583">
        <v>5.4239549276685036E-3</v>
      </c>
    </row>
    <row r="1584" spans="1:25" x14ac:dyDescent="0.25">
      <c r="A1584" s="881"/>
      <c r="B1584" s="1131">
        <v>1334</v>
      </c>
      <c r="C1584" s="885">
        <v>0.95939738851992606</v>
      </c>
      <c r="D1584" s="885">
        <v>0.96106749060189467</v>
      </c>
      <c r="E1584" s="885">
        <v>1.0054279301742992</v>
      </c>
      <c r="F1584" s="885">
        <v>1.0397788150974943</v>
      </c>
      <c r="G1584" s="885">
        <v>0.98339774613580333</v>
      </c>
      <c r="H1584" s="885">
        <v>0.98826640560491863</v>
      </c>
      <c r="I1584" s="885">
        <v>0.98027873189489967</v>
      </c>
      <c r="K1584">
        <v>1.9790372080749743</v>
      </c>
      <c r="L1584">
        <v>0</v>
      </c>
      <c r="M1584">
        <v>2.028692534926962E-3</v>
      </c>
      <c r="N1584">
        <v>0.20786554678884825</v>
      </c>
      <c r="O1584">
        <v>2.6735000167895869E-2</v>
      </c>
      <c r="P1584">
        <v>2.1481872336665368E-2</v>
      </c>
      <c r="Q1584">
        <v>3.1491263300257272E-3</v>
      </c>
      <c r="R1584">
        <v>2.0164728518679885E-3</v>
      </c>
      <c r="S1584">
        <v>0.21295928602402009</v>
      </c>
      <c r="T1584">
        <v>1.0578743064073797</v>
      </c>
      <c r="U1584">
        <v>3.8899741699830341E-2</v>
      </c>
      <c r="V1584">
        <v>0.25900547830667509</v>
      </c>
      <c r="W1584">
        <v>0.12379086092362164</v>
      </c>
      <c r="X1584">
        <v>2.1800034400383091E-2</v>
      </c>
      <c r="Y1584">
        <v>5.4881743726876977E-3</v>
      </c>
    </row>
    <row r="1585" spans="1:25" x14ac:dyDescent="0.25">
      <c r="A1585" s="881"/>
      <c r="B1585" s="1131">
        <v>1335</v>
      </c>
      <c r="C1585" s="885">
        <v>1.0289854230774493</v>
      </c>
      <c r="D1585" s="885">
        <v>0.9859832433971184</v>
      </c>
      <c r="E1585" s="885">
        <v>0.99698047485297558</v>
      </c>
      <c r="F1585" s="885">
        <v>0.974474960170579</v>
      </c>
      <c r="G1585" s="885">
        <v>1.0106558676938615</v>
      </c>
      <c r="H1585" s="885">
        <v>0.99977043338193095</v>
      </c>
      <c r="I1585" s="885">
        <v>0.99632995845124372</v>
      </c>
      <c r="K1585">
        <v>1.921830155329517</v>
      </c>
      <c r="L1585">
        <v>0</v>
      </c>
      <c r="M1585">
        <v>1.9232741759560178E-3</v>
      </c>
      <c r="N1585">
        <v>0.19196428126773987</v>
      </c>
      <c r="O1585">
        <v>2.4611994042024122E-2</v>
      </c>
      <c r="P1585">
        <v>2.0969862748542064E-2</v>
      </c>
      <c r="Q1585">
        <v>2.8797549430177052E-3</v>
      </c>
      <c r="R1585">
        <v>1.9118022045822619E-3</v>
      </c>
      <c r="S1585">
        <v>0.2005781205988918</v>
      </c>
      <c r="T1585">
        <v>1.0586498707990102</v>
      </c>
      <c r="U1585">
        <v>3.6269037212695185E-2</v>
      </c>
      <c r="V1585">
        <v>0.245545104450937</v>
      </c>
      <c r="W1585">
        <v>0.11498327052907162</v>
      </c>
      <c r="X1585">
        <v>2.0187035333512876E-2</v>
      </c>
      <c r="Y1585">
        <v>5.2032953754455533E-3</v>
      </c>
    </row>
    <row r="1586" spans="1:25" x14ac:dyDescent="0.25">
      <c r="A1586" s="881"/>
      <c r="B1586" s="1131">
        <v>1336</v>
      </c>
      <c r="C1586" s="885">
        <v>0.99827704386325067</v>
      </c>
      <c r="D1586" s="885">
        <v>0.99476607928702698</v>
      </c>
      <c r="E1586" s="885">
        <v>0.99949721465308627</v>
      </c>
      <c r="F1586" s="885">
        <v>1.0106807863120626</v>
      </c>
      <c r="G1586" s="885">
        <v>0.96455427248012671</v>
      </c>
      <c r="H1586" s="885">
        <v>1.0094661451265616</v>
      </c>
      <c r="I1586" s="885">
        <v>0.99000233104312163</v>
      </c>
      <c r="K1586">
        <v>1.9442448248755126</v>
      </c>
      <c r="L1586">
        <v>0</v>
      </c>
      <c r="M1586">
        <v>1.9823588085449164E-3</v>
      </c>
      <c r="N1586">
        <v>0.19942786304543117</v>
      </c>
      <c r="O1586">
        <v>2.5257825389548131E-2</v>
      </c>
      <c r="P1586">
        <v>2.1132682328621526E-2</v>
      </c>
      <c r="Q1586">
        <v>2.9646542838708892E-3</v>
      </c>
      <c r="R1586">
        <v>1.970640749790995E-3</v>
      </c>
      <c r="S1586">
        <v>0.2055748962080283</v>
      </c>
      <c r="T1586">
        <v>1.058418517112885</v>
      </c>
      <c r="U1586">
        <v>3.7384722838552167E-2</v>
      </c>
      <c r="V1586">
        <v>0.24870410294514644</v>
      </c>
      <c r="W1586">
        <v>0.11924804439519811</v>
      </c>
      <c r="X1586">
        <v>2.0779799887603829E-2</v>
      </c>
      <c r="Y1586">
        <v>5.3634344993825078E-3</v>
      </c>
    </row>
    <row r="1587" spans="1:25" x14ac:dyDescent="0.25">
      <c r="A1587" s="881"/>
      <c r="B1587" s="1131">
        <v>1337</v>
      </c>
      <c r="C1587" s="885">
        <v>0.96847841662042322</v>
      </c>
      <c r="D1587" s="885">
        <v>0.97505418172010605</v>
      </c>
      <c r="E1587" s="885">
        <v>1.0115214555928909</v>
      </c>
      <c r="F1587" s="885">
        <v>1.0133046028684962</v>
      </c>
      <c r="G1587" s="885">
        <v>0.99587780426850936</v>
      </c>
      <c r="H1587" s="885">
        <v>0.9599325558266667</v>
      </c>
      <c r="I1587" s="885">
        <v>0.99903588918353037</v>
      </c>
      <c r="K1587">
        <v>1.9580096135135625</v>
      </c>
      <c r="L1587">
        <v>0</v>
      </c>
      <c r="M1587">
        <v>1.9133471031890312E-3</v>
      </c>
      <c r="N1587">
        <v>0.19975958788656847</v>
      </c>
      <c r="O1587">
        <v>2.629473294708061E-2</v>
      </c>
      <c r="P1587">
        <v>2.1487650761253523E-2</v>
      </c>
      <c r="Q1587">
        <v>3.1193923784458085E-3</v>
      </c>
      <c r="R1587">
        <v>1.901469964319661E-3</v>
      </c>
      <c r="S1587">
        <v>0.21057654512592031</v>
      </c>
      <c r="T1587">
        <v>1.057316584661504</v>
      </c>
      <c r="U1587">
        <v>3.8534994647737054E-2</v>
      </c>
      <c r="V1587">
        <v>0.25567108734307153</v>
      </c>
      <c r="W1587">
        <v>0.11847142414185405</v>
      </c>
      <c r="X1587">
        <v>2.1614316335524228E-2</v>
      </c>
      <c r="Y1587">
        <v>5.1751744234728413E-3</v>
      </c>
    </row>
    <row r="1588" spans="1:25" x14ac:dyDescent="0.25">
      <c r="A1588" s="881"/>
      <c r="B1588" s="1131">
        <v>1338</v>
      </c>
      <c r="C1588" s="885">
        <v>1.0056131672940436</v>
      </c>
      <c r="D1588" s="885">
        <v>1.0102210264343239</v>
      </c>
      <c r="E1588" s="885">
        <v>0.99978977645137712</v>
      </c>
      <c r="F1588" s="885">
        <v>1.0333773834470958</v>
      </c>
      <c r="G1588" s="885">
        <v>0.99194475034187546</v>
      </c>
      <c r="H1588" s="885">
        <v>0.98702500898365575</v>
      </c>
      <c r="I1588" s="885">
        <v>1.020132729945761</v>
      </c>
      <c r="K1588">
        <v>1.9292508619525457</v>
      </c>
      <c r="L1588">
        <v>0</v>
      </c>
      <c r="M1588">
        <v>1.9083628736166721E-3</v>
      </c>
      <c r="N1588">
        <v>0.19213137560099811</v>
      </c>
      <c r="O1588">
        <v>2.4883016599232269E-2</v>
      </c>
      <c r="P1588">
        <v>2.1105946075701452E-2</v>
      </c>
      <c r="Q1588">
        <v>2.9246581516215063E-3</v>
      </c>
      <c r="R1588">
        <v>1.8968134204058321E-3</v>
      </c>
      <c r="S1588">
        <v>0.20651085127102042</v>
      </c>
      <c r="T1588">
        <v>1.0583916390972512</v>
      </c>
      <c r="U1588">
        <v>3.7111994765681493E-2</v>
      </c>
      <c r="V1588">
        <v>0.24577016145718256</v>
      </c>
      <c r="W1588">
        <v>0.11486210266431419</v>
      </c>
      <c r="X1588">
        <v>2.0408164876781973E-2</v>
      </c>
      <c r="Y1588">
        <v>5.162500845968687E-3</v>
      </c>
    </row>
    <row r="1589" spans="1:25" x14ac:dyDescent="0.25">
      <c r="A1589" s="881"/>
      <c r="B1589" s="1131">
        <v>1339</v>
      </c>
      <c r="C1589" s="885">
        <v>0.97680308422577744</v>
      </c>
      <c r="D1589" s="885">
        <v>1.0047132579223732</v>
      </c>
      <c r="E1589" s="885">
        <v>1.0317553419051153</v>
      </c>
      <c r="F1589" s="885">
        <v>0.98090566789280886</v>
      </c>
      <c r="G1589" s="885">
        <v>0.95262183798102118</v>
      </c>
      <c r="H1589" s="885">
        <v>0.99596143784209135</v>
      </c>
      <c r="I1589" s="885">
        <v>0.98306966211610103</v>
      </c>
      <c r="K1589">
        <v>1.9561548920475431</v>
      </c>
      <c r="L1589">
        <v>0</v>
      </c>
      <c r="M1589">
        <v>1.8580885101949257E-3</v>
      </c>
      <c r="N1589">
        <v>0.2066179117266024</v>
      </c>
      <c r="O1589">
        <v>2.5686267209981829E-2</v>
      </c>
      <c r="P1589">
        <v>2.1646855330478089E-2</v>
      </c>
      <c r="Q1589">
        <v>3.1156001585570881E-3</v>
      </c>
      <c r="R1589">
        <v>1.8469484250823677E-3</v>
      </c>
      <c r="S1589">
        <v>0.20629963830381023</v>
      </c>
      <c r="T1589">
        <v>1.0554750452345094</v>
      </c>
      <c r="U1589">
        <v>3.8206585547891948E-2</v>
      </c>
      <c r="V1589">
        <v>0.2505606037993664</v>
      </c>
      <c r="W1589">
        <v>0.12087904655104494</v>
      </c>
      <c r="X1589">
        <v>2.2651693503722762E-2</v>
      </c>
      <c r="Y1589">
        <v>5.0267847666895073E-3</v>
      </c>
    </row>
    <row r="1590" spans="1:25" x14ac:dyDescent="0.25">
      <c r="A1590" s="881"/>
      <c r="B1590" s="1131">
        <v>1340</v>
      </c>
      <c r="C1590" s="885">
        <v>1.0027533754320093</v>
      </c>
      <c r="D1590" s="885">
        <v>1.0045648893871788</v>
      </c>
      <c r="E1590" s="885">
        <v>0.97889183007615765</v>
      </c>
      <c r="F1590" s="885">
        <v>0.96831971139886075</v>
      </c>
      <c r="G1590" s="885">
        <v>0.96852954665808366</v>
      </c>
      <c r="H1590" s="885">
        <v>0.99223806924511049</v>
      </c>
      <c r="I1590" s="885">
        <v>0.95681243577944763</v>
      </c>
      <c r="K1590">
        <v>1.918585265745131</v>
      </c>
      <c r="L1590">
        <v>0</v>
      </c>
      <c r="M1590">
        <v>2.0159121064894378E-3</v>
      </c>
      <c r="N1590">
        <v>0.1901802893336679</v>
      </c>
      <c r="O1590">
        <v>2.5023359386718846E-2</v>
      </c>
      <c r="P1590">
        <v>2.0666783490470578E-2</v>
      </c>
      <c r="Q1590">
        <v>2.8785333046904339E-3</v>
      </c>
      <c r="R1590">
        <v>2.0037805672676176E-3</v>
      </c>
      <c r="S1590">
        <v>0.19524777341604377</v>
      </c>
      <c r="T1590">
        <v>1.0603199336476925</v>
      </c>
      <c r="U1590">
        <v>3.7217835925846113E-2</v>
      </c>
      <c r="V1590">
        <v>0.24685494947688169</v>
      </c>
      <c r="W1590">
        <v>0.11534548256430631</v>
      </c>
      <c r="X1590">
        <v>1.9408826580018128E-2</v>
      </c>
      <c r="Y1590">
        <v>5.4536301580159815E-3</v>
      </c>
    </row>
    <row r="1591" spans="1:25" x14ac:dyDescent="0.25">
      <c r="A1591" s="881"/>
      <c r="B1591" s="1131">
        <v>1341</v>
      </c>
      <c r="C1591" s="885">
        <v>1.0295965776835843</v>
      </c>
      <c r="D1591" s="885">
        <v>0.99969768299076311</v>
      </c>
      <c r="E1591" s="885">
        <v>1.0136969360927675</v>
      </c>
      <c r="F1591" s="885">
        <v>1.0028945136430658</v>
      </c>
      <c r="G1591" s="885">
        <v>1.0235669567889463</v>
      </c>
      <c r="H1591" s="885">
        <v>1.0055670076364529</v>
      </c>
      <c r="I1591" s="885">
        <v>1.0111507818141718</v>
      </c>
      <c r="K1591">
        <v>1.9247356936226501</v>
      </c>
      <c r="L1591">
        <v>0</v>
      </c>
      <c r="M1591">
        <v>1.85362864654271E-3</v>
      </c>
      <c r="N1591">
        <v>0.19489101589131533</v>
      </c>
      <c r="O1591">
        <v>2.4429604710985264E-2</v>
      </c>
      <c r="P1591">
        <v>2.121578025857291E-2</v>
      </c>
      <c r="Q1591">
        <v>2.9095156214545416E-3</v>
      </c>
      <c r="R1591">
        <v>1.842625272191339E-3</v>
      </c>
      <c r="S1591">
        <v>0.20272979078022502</v>
      </c>
      <c r="T1591">
        <v>1.057117820642441</v>
      </c>
      <c r="U1591">
        <v>3.6247508402641744E-2</v>
      </c>
      <c r="V1591">
        <v>0.24378075247626144</v>
      </c>
      <c r="W1591">
        <v>0.11541359837753862</v>
      </c>
      <c r="X1591">
        <v>2.0996291265917264E-2</v>
      </c>
      <c r="Y1591">
        <v>5.0150185696470947E-3</v>
      </c>
    </row>
    <row r="1592" spans="1:25" x14ac:dyDescent="0.25">
      <c r="A1592" s="881"/>
      <c r="B1592" s="1131">
        <v>1342</v>
      </c>
      <c r="C1592" s="885">
        <v>0.9873868478721306</v>
      </c>
      <c r="D1592" s="885">
        <v>1.008631540780812</v>
      </c>
      <c r="E1592" s="885">
        <v>1.0034268617442788</v>
      </c>
      <c r="F1592" s="885">
        <v>1.0320862922016558</v>
      </c>
      <c r="G1592" s="885">
        <v>1.0157157538311536</v>
      </c>
      <c r="H1592" s="885">
        <v>1.0370234437452259</v>
      </c>
      <c r="I1592" s="885">
        <v>0.98054571900034038</v>
      </c>
      <c r="K1592">
        <v>1.9577698949456293</v>
      </c>
      <c r="L1592">
        <v>0</v>
      </c>
      <c r="M1592">
        <v>2.0280351925989681E-3</v>
      </c>
      <c r="N1592">
        <v>0.20656378790097071</v>
      </c>
      <c r="O1592">
        <v>2.536207068181234E-2</v>
      </c>
      <c r="P1592">
        <v>2.1216733975310244E-2</v>
      </c>
      <c r="Q1592">
        <v>2.991545750712091E-3</v>
      </c>
      <c r="R1592">
        <v>2.0163545068058591E-3</v>
      </c>
      <c r="S1592">
        <v>0.20731050950998783</v>
      </c>
      <c r="T1592">
        <v>1.0580577739856427</v>
      </c>
      <c r="U1592">
        <v>3.7797050549482326E-2</v>
      </c>
      <c r="V1592">
        <v>0.24852952205691667</v>
      </c>
      <c r="W1592">
        <v>0.12318364979068269</v>
      </c>
      <c r="X1592">
        <v>2.1281079153460818E-2</v>
      </c>
      <c r="Y1592">
        <v>5.487852276441019E-3</v>
      </c>
    </row>
    <row r="1593" spans="1:25" x14ac:dyDescent="0.25">
      <c r="A1593" s="881"/>
      <c r="B1593" s="1131">
        <v>1343</v>
      </c>
      <c r="C1593" s="885">
        <v>1.0100708637713949</v>
      </c>
      <c r="D1593" s="885">
        <v>0.96047634249664093</v>
      </c>
      <c r="E1593" s="885">
        <v>0.99443693047992909</v>
      </c>
      <c r="F1593" s="885">
        <v>1.0071083199900526</v>
      </c>
      <c r="G1593" s="885">
        <v>0.97731046068525618</v>
      </c>
      <c r="H1593" s="885">
        <v>1.0110494209927856</v>
      </c>
      <c r="I1593" s="885">
        <v>1.0062889359105245</v>
      </c>
      <c r="K1593">
        <v>1.9527090585171352</v>
      </c>
      <c r="L1593">
        <v>0</v>
      </c>
      <c r="M1593">
        <v>2.0181170754501078E-3</v>
      </c>
      <c r="N1593">
        <v>0.19985803524366916</v>
      </c>
      <c r="O1593">
        <v>2.5401530456968996E-2</v>
      </c>
      <c r="P1593">
        <v>2.1151443459293408E-2</v>
      </c>
      <c r="Q1593">
        <v>2.9590518565283785E-3</v>
      </c>
      <c r="R1593">
        <v>2.0062355316983788E-3</v>
      </c>
      <c r="S1593">
        <v>0.21004494563794315</v>
      </c>
      <c r="T1593">
        <v>1.0588839390607665</v>
      </c>
      <c r="U1593">
        <v>3.6948210209302182E-2</v>
      </c>
      <c r="V1593">
        <v>0.25146249043530244</v>
      </c>
      <c r="W1593">
        <v>0.11992064574864705</v>
      </c>
      <c r="X1593">
        <v>2.0630336190546422E-2</v>
      </c>
      <c r="Y1593">
        <v>5.4603117619177058E-3</v>
      </c>
    </row>
    <row r="1594" spans="1:25" x14ac:dyDescent="0.25">
      <c r="A1594" s="881"/>
      <c r="B1594" s="1131">
        <v>1344</v>
      </c>
      <c r="C1594" s="885">
        <v>0.99226813381707657</v>
      </c>
      <c r="D1594" s="885">
        <v>1.0201043473799274</v>
      </c>
      <c r="E1594" s="885">
        <v>1.0136620767106361</v>
      </c>
      <c r="F1594" s="885">
        <v>1.0173878184243907</v>
      </c>
      <c r="G1594" s="885">
        <v>1.0150867094630533</v>
      </c>
      <c r="H1594" s="885">
        <v>1.007108970887588</v>
      </c>
      <c r="I1594" s="885">
        <v>1.0250140007753286</v>
      </c>
      <c r="K1594">
        <v>1.9479328512487224</v>
      </c>
      <c r="L1594">
        <v>0</v>
      </c>
      <c r="M1594">
        <v>1.9073205350745755E-3</v>
      </c>
      <c r="N1594">
        <v>0.20051463554350202</v>
      </c>
      <c r="O1594">
        <v>2.5096684758600329E-2</v>
      </c>
      <c r="P1594">
        <v>2.1390654460967544E-2</v>
      </c>
      <c r="Q1594">
        <v>2.9930546897679513E-3</v>
      </c>
      <c r="R1594">
        <v>1.8960000014273625E-3</v>
      </c>
      <c r="S1594">
        <v>0.21143342266956205</v>
      </c>
      <c r="T1594">
        <v>1.0571210041328742</v>
      </c>
      <c r="U1594">
        <v>3.7611114706820645E-2</v>
      </c>
      <c r="V1594">
        <v>0.24643415762225243</v>
      </c>
      <c r="W1594">
        <v>0.11874668654873596</v>
      </c>
      <c r="X1594">
        <v>2.1442469661631255E-2</v>
      </c>
      <c r="Y1594">
        <v>5.1602869876527886E-3</v>
      </c>
    </row>
    <row r="1595" spans="1:25" x14ac:dyDescent="0.25">
      <c r="A1595" s="881"/>
      <c r="B1595" s="1131">
        <v>1345</v>
      </c>
      <c r="C1595" s="885">
        <v>1.0173974358292146</v>
      </c>
      <c r="D1595" s="885">
        <v>1.0177091115624937</v>
      </c>
      <c r="E1595" s="885">
        <v>0.99378079085060211</v>
      </c>
      <c r="F1595" s="885">
        <v>1.0019783827886084</v>
      </c>
      <c r="G1595" s="885">
        <v>1.0202467882100579</v>
      </c>
      <c r="H1595" s="885">
        <v>0.97586529028755764</v>
      </c>
      <c r="I1595" s="885">
        <v>0.98566024711453293</v>
      </c>
      <c r="K1595">
        <v>1.904941813864546</v>
      </c>
      <c r="L1595">
        <v>0</v>
      </c>
      <c r="M1595">
        <v>1.8817972400246058E-3</v>
      </c>
      <c r="N1595">
        <v>0.18593350378048623</v>
      </c>
      <c r="O1595">
        <v>2.4505231570456854E-2</v>
      </c>
      <c r="P1595">
        <v>2.0828828825480282E-2</v>
      </c>
      <c r="Q1595">
        <v>2.8643445229839604E-3</v>
      </c>
      <c r="R1595">
        <v>1.8702724645935553E-3</v>
      </c>
      <c r="S1595">
        <v>0.19547077474061289</v>
      </c>
      <c r="T1595">
        <v>1.0589443607967848</v>
      </c>
      <c r="U1595">
        <v>3.6682135502434751E-2</v>
      </c>
      <c r="V1595">
        <v>0.24326013174084385</v>
      </c>
      <c r="W1595">
        <v>0.11161582721799182</v>
      </c>
      <c r="X1595">
        <v>1.9757934828428792E-2</v>
      </c>
      <c r="Y1595">
        <v>5.0902651134714007E-3</v>
      </c>
    </row>
    <row r="1596" spans="1:25" x14ac:dyDescent="0.25">
      <c r="A1596" s="881"/>
      <c r="B1596" s="1131">
        <v>1346</v>
      </c>
      <c r="C1596" s="885">
        <v>0.99209767709020669</v>
      </c>
      <c r="D1596" s="885">
        <v>0.96367153523952265</v>
      </c>
      <c r="E1596" s="885">
        <v>1.0199385898378119</v>
      </c>
      <c r="F1596" s="885">
        <v>1.0057607110154989</v>
      </c>
      <c r="G1596" s="885">
        <v>1.0410711846417042</v>
      </c>
      <c r="H1596" s="885">
        <v>1.0413123891237253</v>
      </c>
      <c r="I1596" s="885">
        <v>1.0363547218785276</v>
      </c>
      <c r="K1596">
        <v>1.9908819720090152</v>
      </c>
      <c r="L1596">
        <v>0</v>
      </c>
      <c r="M1596">
        <v>2.0021004487468181E-3</v>
      </c>
      <c r="N1596">
        <v>0.21467092281290376</v>
      </c>
      <c r="O1596">
        <v>2.5819005158036402E-2</v>
      </c>
      <c r="P1596">
        <v>2.1744095119579299E-2</v>
      </c>
      <c r="Q1596">
        <v>3.0861926409164035E-3</v>
      </c>
      <c r="R1596">
        <v>1.9906530876802786E-3</v>
      </c>
      <c r="S1596">
        <v>0.22316046755821037</v>
      </c>
      <c r="T1596">
        <v>1.0565485745039966</v>
      </c>
      <c r="U1596">
        <v>3.7617576840192082E-2</v>
      </c>
      <c r="V1596">
        <v>0.25364835343752301</v>
      </c>
      <c r="W1596">
        <v>0.12659169175630702</v>
      </c>
      <c r="X1596">
        <v>2.2588638056363436E-2</v>
      </c>
      <c r="Y1596">
        <v>5.4179014860517259E-3</v>
      </c>
    </row>
    <row r="1597" spans="1:25" x14ac:dyDescent="0.25">
      <c r="A1597" s="881"/>
      <c r="B1597" s="1131">
        <v>1347</v>
      </c>
      <c r="C1597" s="885">
        <v>0.9809059241337087</v>
      </c>
      <c r="D1597" s="885">
        <v>1.0032491990156958</v>
      </c>
      <c r="E1597" s="885">
        <v>0.97383556517401815</v>
      </c>
      <c r="F1597" s="885">
        <v>1.0250688320362313</v>
      </c>
      <c r="G1597" s="885">
        <v>0.9847327844896997</v>
      </c>
      <c r="H1597" s="885">
        <v>0.97961073978653179</v>
      </c>
      <c r="I1597" s="885">
        <v>1.0073080861052013</v>
      </c>
      <c r="K1597">
        <v>1.9396199558624119</v>
      </c>
      <c r="L1597">
        <v>0</v>
      </c>
      <c r="M1597">
        <v>2.0576174011122388E-3</v>
      </c>
      <c r="N1597">
        <v>0.19106502093347136</v>
      </c>
      <c r="O1597">
        <v>2.5597289063099798E-2</v>
      </c>
      <c r="P1597">
        <v>2.0831979944508666E-2</v>
      </c>
      <c r="Q1597">
        <v>2.9291631943822245E-3</v>
      </c>
      <c r="R1597">
        <v>2.0450764084885189E-3</v>
      </c>
      <c r="S1597">
        <v>0.20894633118579092</v>
      </c>
      <c r="T1597">
        <v>1.0607890323231672</v>
      </c>
      <c r="U1597">
        <v>3.804677867949114E-2</v>
      </c>
      <c r="V1597">
        <v>0.25014646789044342</v>
      </c>
      <c r="W1597">
        <v>0.11629040690214855</v>
      </c>
      <c r="X1597">
        <v>1.9424002913880075E-2</v>
      </c>
      <c r="Y1597">
        <v>5.5660238246488724E-3</v>
      </c>
    </row>
    <row r="1598" spans="1:25" x14ac:dyDescent="0.25">
      <c r="A1598" s="881"/>
      <c r="B1598" s="1131">
        <v>1348</v>
      </c>
      <c r="C1598" s="885">
        <v>1.0182350361290391</v>
      </c>
      <c r="D1598" s="885">
        <v>0.99678333825134657</v>
      </c>
      <c r="E1598" s="885">
        <v>0.99362512220160149</v>
      </c>
      <c r="F1598" s="885">
        <v>1.0445822932558839</v>
      </c>
      <c r="G1598" s="885">
        <v>0.96628689275936652</v>
      </c>
      <c r="H1598" s="885">
        <v>0.99349052738713217</v>
      </c>
      <c r="I1598" s="885">
        <v>1.0042757950232133</v>
      </c>
      <c r="K1598">
        <v>1.923596421616723</v>
      </c>
      <c r="L1598">
        <v>0</v>
      </c>
      <c r="M1598">
        <v>1.93459303519638E-3</v>
      </c>
      <c r="N1598">
        <v>0.19108001282221218</v>
      </c>
      <c r="O1598">
        <v>2.473792420169078E-2</v>
      </c>
      <c r="P1598">
        <v>2.095667157902641E-2</v>
      </c>
      <c r="Q1598">
        <v>2.8869182585775973E-3</v>
      </c>
      <c r="R1598">
        <v>1.9229718042150248E-3</v>
      </c>
      <c r="S1598">
        <v>0.20266397166161496</v>
      </c>
      <c r="T1598">
        <v>1.058958698267974</v>
      </c>
      <c r="U1598">
        <v>3.6651960772038694E-2</v>
      </c>
      <c r="V1598">
        <v>0.24567385976966036</v>
      </c>
      <c r="W1598">
        <v>0.11471754743018485</v>
      </c>
      <c r="X1598">
        <v>2.004678274113442E-2</v>
      </c>
      <c r="Y1598">
        <v>5.2336953435884034E-3</v>
      </c>
    </row>
    <row r="1599" spans="1:25" x14ac:dyDescent="0.25">
      <c r="A1599" s="881"/>
      <c r="B1599" s="1131">
        <v>1349</v>
      </c>
      <c r="C1599" s="885">
        <v>0.9892192689556234</v>
      </c>
      <c r="D1599" s="885">
        <v>1.0196641425699229</v>
      </c>
      <c r="E1599" s="885">
        <v>1.019739577368183</v>
      </c>
      <c r="F1599" s="885">
        <v>0.99173272003894308</v>
      </c>
      <c r="G1599" s="885">
        <v>1.0007847902376965</v>
      </c>
      <c r="H1599" s="885">
        <v>1.0042761518643661</v>
      </c>
      <c r="I1599" s="885">
        <v>1.0171614675948579</v>
      </c>
      <c r="K1599">
        <v>1.9488203534219699</v>
      </c>
      <c r="L1599">
        <v>0</v>
      </c>
      <c r="M1599">
        <v>1.8838948014543912E-3</v>
      </c>
      <c r="N1599">
        <v>0.20182418230365126</v>
      </c>
      <c r="O1599">
        <v>2.5179399443790371E-2</v>
      </c>
      <c r="P1599">
        <v>2.1470156442574159E-2</v>
      </c>
      <c r="Q1599">
        <v>3.0210607023679454E-3</v>
      </c>
      <c r="R1599">
        <v>1.8726820989278194E-3</v>
      </c>
      <c r="S1599">
        <v>0.21020995728697614</v>
      </c>
      <c r="T1599">
        <v>1.0565667011759974</v>
      </c>
      <c r="U1599">
        <v>3.7727035625092685E-2</v>
      </c>
      <c r="V1599">
        <v>0.24691903214059593</v>
      </c>
      <c r="W1599">
        <v>0.11903193942704642</v>
      </c>
      <c r="X1599">
        <v>2.1785278232607969E-2</v>
      </c>
      <c r="Y1599">
        <v>5.0968233437935235E-3</v>
      </c>
    </row>
    <row r="1600" spans="1:25" x14ac:dyDescent="0.25">
      <c r="A1600" s="881"/>
      <c r="B1600" s="1131">
        <v>1350</v>
      </c>
      <c r="C1600" s="885">
        <v>0.99083041679872386</v>
      </c>
      <c r="D1600" s="885">
        <v>1.016195457531238</v>
      </c>
      <c r="E1600" s="885">
        <v>1.0215510932303165</v>
      </c>
      <c r="F1600" s="885">
        <v>0.99577291215549646</v>
      </c>
      <c r="G1600" s="885">
        <v>0.97142206497233119</v>
      </c>
      <c r="H1600" s="885">
        <v>1.0098474625677338</v>
      </c>
      <c r="I1600" s="885">
        <v>1.0136064369009827</v>
      </c>
      <c r="K1600">
        <v>1.9510439847994943</v>
      </c>
      <c r="L1600">
        <v>0</v>
      </c>
      <c r="M1600">
        <v>1.8872116960692241E-3</v>
      </c>
      <c r="N1600">
        <v>0.20332744163381244</v>
      </c>
      <c r="O1600">
        <v>2.5180789757592983E-2</v>
      </c>
      <c r="P1600">
        <v>2.1495785436843794E-2</v>
      </c>
      <c r="Q1600">
        <v>3.0259581429699085E-3</v>
      </c>
      <c r="R1600">
        <v>1.8760438377970006E-3</v>
      </c>
      <c r="S1600">
        <v>0.21003347072014455</v>
      </c>
      <c r="T1600">
        <v>1.0564017598048092</v>
      </c>
      <c r="U1600">
        <v>3.7665689272534823E-2</v>
      </c>
      <c r="V1600">
        <v>0.24711356110702462</v>
      </c>
      <c r="W1600">
        <v>0.11977210240642958</v>
      </c>
      <c r="X1600">
        <v>2.193262148680469E-2</v>
      </c>
      <c r="Y1600">
        <v>5.1059728887985151E-3</v>
      </c>
    </row>
    <row r="1601" spans="1:25" x14ac:dyDescent="0.25">
      <c r="A1601" s="881"/>
      <c r="B1601" s="1131">
        <v>1351</v>
      </c>
      <c r="C1601" s="885">
        <v>0.97170733152178779</v>
      </c>
      <c r="D1601" s="885">
        <v>0.96783749929621909</v>
      </c>
      <c r="E1601" s="885">
        <v>0.96850224612453906</v>
      </c>
      <c r="F1601" s="885">
        <v>1.0158197522936288</v>
      </c>
      <c r="G1601" s="885">
        <v>1.008746738999168</v>
      </c>
      <c r="H1601" s="885">
        <v>0.99088523310416565</v>
      </c>
      <c r="I1601" s="885">
        <v>1.0087316127848238</v>
      </c>
      <c r="K1601">
        <v>1.9656863641171634</v>
      </c>
      <c r="L1601">
        <v>0</v>
      </c>
      <c r="M1601">
        <v>2.1627993825532048E-3</v>
      </c>
      <c r="N1601">
        <v>0.19753689184191586</v>
      </c>
      <c r="O1601">
        <v>2.6304293767453621E-2</v>
      </c>
      <c r="P1601">
        <v>2.0931761442600158E-2</v>
      </c>
      <c r="Q1601">
        <v>2.9861762051494401E-3</v>
      </c>
      <c r="R1601">
        <v>2.1497999244361444E-3</v>
      </c>
      <c r="S1601">
        <v>0.21594445855252825</v>
      </c>
      <c r="T1601">
        <v>1.0612849076933619</v>
      </c>
      <c r="U1601">
        <v>3.8406945579457202E-2</v>
      </c>
      <c r="V1601">
        <v>0.25615331320043905</v>
      </c>
      <c r="W1601">
        <v>0.1206780099469022</v>
      </c>
      <c r="X1601">
        <v>1.9621558632510559E-2</v>
      </c>
      <c r="Y1601">
        <v>5.8510467129605573E-3</v>
      </c>
    </row>
    <row r="1602" spans="1:25" x14ac:dyDescent="0.25">
      <c r="A1602" s="881"/>
      <c r="B1602" s="1131">
        <v>1352</v>
      </c>
      <c r="C1602" s="885">
        <v>0.98414235990520382</v>
      </c>
      <c r="D1602" s="885">
        <v>0.97718235812125787</v>
      </c>
      <c r="E1602" s="885">
        <v>0.98848839824164869</v>
      </c>
      <c r="F1602" s="885">
        <v>1.0002224770410157</v>
      </c>
      <c r="G1602" s="885">
        <v>1.01768931166649</v>
      </c>
      <c r="H1602" s="885">
        <v>0.99652766853277785</v>
      </c>
      <c r="I1602" s="885">
        <v>1.0256034309101689</v>
      </c>
      <c r="K1602">
        <v>1.9621150580860147</v>
      </c>
      <c r="L1602">
        <v>0</v>
      </c>
      <c r="M1602">
        <v>2.0496060370574576E-3</v>
      </c>
      <c r="N1602">
        <v>0.19923361993075145</v>
      </c>
      <c r="O1602">
        <v>2.5848212929387417E-2</v>
      </c>
      <c r="P1602">
        <v>2.1185111093751877E-2</v>
      </c>
      <c r="Q1602">
        <v>2.9967013445279488E-3</v>
      </c>
      <c r="R1602">
        <v>2.0373484175966344E-3</v>
      </c>
      <c r="S1602">
        <v>0.21642627789935728</v>
      </c>
      <c r="T1602">
        <v>1.0594323319833228</v>
      </c>
      <c r="U1602">
        <v>3.7921658615031821E-2</v>
      </c>
      <c r="V1602">
        <v>0.25302531791363497</v>
      </c>
      <c r="W1602">
        <v>0.12003647464102156</v>
      </c>
      <c r="X1602">
        <v>2.04766185737125E-2</v>
      </c>
      <c r="Y1602">
        <v>5.5449907809726777E-3</v>
      </c>
    </row>
    <row r="1603" spans="1:25" x14ac:dyDescent="0.25">
      <c r="A1603" s="881"/>
      <c r="B1603" s="1131">
        <v>1353</v>
      </c>
      <c r="C1603" s="885">
        <v>0.98332966126511423</v>
      </c>
      <c r="D1603" s="885">
        <v>1.0021491307902299</v>
      </c>
      <c r="E1603" s="885">
        <v>1.0211695152554492</v>
      </c>
      <c r="F1603" s="885">
        <v>1.0017810937353331</v>
      </c>
      <c r="G1603" s="885">
        <v>1.0043661447558641</v>
      </c>
      <c r="H1603" s="885">
        <v>1.0035428956096903</v>
      </c>
      <c r="I1603" s="885">
        <v>0.97783986027076375</v>
      </c>
      <c r="K1603">
        <v>1.9520914054893228</v>
      </c>
      <c r="L1603">
        <v>0</v>
      </c>
      <c r="M1603">
        <v>1.9043071803224296E-3</v>
      </c>
      <c r="N1603">
        <v>0.2049197831299234</v>
      </c>
      <c r="O1603">
        <v>2.5548061358268072E-2</v>
      </c>
      <c r="P1603">
        <v>2.1461296609089405E-2</v>
      </c>
      <c r="Q1603">
        <v>3.0659649451514571E-3</v>
      </c>
      <c r="R1603">
        <v>1.8929782498165989E-3</v>
      </c>
      <c r="S1603">
        <v>0.20484143371469601</v>
      </c>
      <c r="T1603">
        <v>1.0564364924130711</v>
      </c>
      <c r="U1603">
        <v>3.7952999966361201E-2</v>
      </c>
      <c r="V1603">
        <v>0.24992888543491296</v>
      </c>
      <c r="W1603">
        <v>0.12074114254739474</v>
      </c>
      <c r="X1603">
        <v>2.2054611525071762E-2</v>
      </c>
      <c r="Y1603">
        <v>5.1520627758884392E-3</v>
      </c>
    </row>
    <row r="1604" spans="1:25" x14ac:dyDescent="0.25">
      <c r="A1604" s="881"/>
      <c r="B1604" s="1131">
        <v>1354</v>
      </c>
      <c r="C1604" s="885">
        <v>1.0211094312506226</v>
      </c>
      <c r="D1604" s="885">
        <v>0.99648810376930008</v>
      </c>
      <c r="E1604" s="885">
        <v>0.98407776368409583</v>
      </c>
      <c r="F1604" s="885">
        <v>0.98729859134834741</v>
      </c>
      <c r="G1604" s="885">
        <v>0.99810138432241491</v>
      </c>
      <c r="H1604" s="885">
        <v>1.0174259562781933</v>
      </c>
      <c r="I1604" s="885">
        <v>1.009615521505834</v>
      </c>
      <c r="K1604">
        <v>1.9309686589968076</v>
      </c>
      <c r="L1604">
        <v>0</v>
      </c>
      <c r="M1604">
        <v>2.015973834313926E-3</v>
      </c>
      <c r="N1604">
        <v>0.19331335639884431</v>
      </c>
      <c r="O1604">
        <v>2.4671906732375955E-2</v>
      </c>
      <c r="P1604">
        <v>2.0851554849940706E-2</v>
      </c>
      <c r="Q1604">
        <v>2.8514862583390124E-3</v>
      </c>
      <c r="R1604">
        <v>2.0041488821151217E-3</v>
      </c>
      <c r="S1604">
        <v>0.20559480697387461</v>
      </c>
      <c r="T1604">
        <v>1.0598398345586404</v>
      </c>
      <c r="U1604">
        <v>3.6548786504898033E-2</v>
      </c>
      <c r="V1604">
        <v>0.24531492188780429</v>
      </c>
      <c r="W1604">
        <v>0.11682499725602562</v>
      </c>
      <c r="X1604">
        <v>1.9714199938648227E-2</v>
      </c>
      <c r="Y1604">
        <v>5.4546325896159299E-3</v>
      </c>
    </row>
    <row r="1605" spans="1:25" x14ac:dyDescent="0.25">
      <c r="A1605" s="881"/>
      <c r="B1605" s="1131">
        <v>1355</v>
      </c>
      <c r="C1605" s="885">
        <v>1.0345967661081268</v>
      </c>
      <c r="D1605" s="885">
        <v>0.99201506627050351</v>
      </c>
      <c r="E1605" s="885">
        <v>1.031905824125628</v>
      </c>
      <c r="F1605" s="885">
        <v>0.99956482459310692</v>
      </c>
      <c r="G1605" s="885">
        <v>0.99327057618883086</v>
      </c>
      <c r="H1605" s="885">
        <v>0.95550627286760037</v>
      </c>
      <c r="I1605" s="885">
        <v>0.96301141489641207</v>
      </c>
      <c r="K1605">
        <v>1.8967618880712473</v>
      </c>
      <c r="L1605">
        <v>0</v>
      </c>
      <c r="M1605">
        <v>1.6931195466972286E-3</v>
      </c>
      <c r="N1605">
        <v>0.18831439720595081</v>
      </c>
      <c r="O1605">
        <v>2.440460580303528E-2</v>
      </c>
      <c r="P1605">
        <v>2.1273925094911574E-2</v>
      </c>
      <c r="Q1605">
        <v>2.9579560317477089E-3</v>
      </c>
      <c r="R1605">
        <v>1.6825480698779433E-3</v>
      </c>
      <c r="S1605">
        <v>0.18809291244419379</v>
      </c>
      <c r="T1605">
        <v>1.0554614094568924</v>
      </c>
      <c r="U1605">
        <v>3.6072324816271914E-2</v>
      </c>
      <c r="V1605">
        <v>0.2440539689095336</v>
      </c>
      <c r="W1605">
        <v>0.11015972506638767</v>
      </c>
      <c r="X1605">
        <v>2.1401893524756594E-2</v>
      </c>
      <c r="Y1605">
        <v>4.5793411943855942E-3</v>
      </c>
    </row>
    <row r="1606" spans="1:25" x14ac:dyDescent="0.25">
      <c r="A1606" s="881"/>
      <c r="B1606" s="1131">
        <v>1356</v>
      </c>
      <c r="C1606" s="885">
        <v>1.0069311238366303</v>
      </c>
      <c r="D1606" s="885">
        <v>1.0057097399639763</v>
      </c>
      <c r="E1606" s="885">
        <v>0.95961688784346866</v>
      </c>
      <c r="F1606" s="885">
        <v>0.9906901790241065</v>
      </c>
      <c r="G1606" s="885">
        <v>0.99397812704397848</v>
      </c>
      <c r="H1606" s="885">
        <v>0.98680808064146475</v>
      </c>
      <c r="I1606" s="885">
        <v>1.0055170111719713</v>
      </c>
      <c r="K1606">
        <v>1.919225251141361</v>
      </c>
      <c r="L1606">
        <v>0</v>
      </c>
      <c r="M1606">
        <v>2.0776932953784134E-3</v>
      </c>
      <c r="N1606">
        <v>0.18456872246468389</v>
      </c>
      <c r="O1606">
        <v>2.4905502066565961E-2</v>
      </c>
      <c r="P1606">
        <v>2.0487106440671889E-2</v>
      </c>
      <c r="Q1606">
        <v>2.8092858158011193E-3</v>
      </c>
      <c r="R1606">
        <v>2.0651201730581734E-3</v>
      </c>
      <c r="S1606">
        <v>0.20368124214866959</v>
      </c>
      <c r="T1606">
        <v>1.0621134824067135</v>
      </c>
      <c r="U1606">
        <v>3.7063419450893739E-2</v>
      </c>
      <c r="V1606">
        <v>0.24613539416364713</v>
      </c>
      <c r="W1606">
        <v>0.11346080607499787</v>
      </c>
      <c r="X1606">
        <v>1.8392286886654084E-2</v>
      </c>
      <c r="Y1606">
        <v>5.6205763443822592E-3</v>
      </c>
    </row>
    <row r="1607" spans="1:25" x14ac:dyDescent="0.25">
      <c r="A1607" s="881"/>
      <c r="B1607" s="1131">
        <v>1357</v>
      </c>
      <c r="C1607" s="885">
        <v>0.9970207712584489</v>
      </c>
      <c r="D1607" s="885">
        <v>0.9594396221399405</v>
      </c>
      <c r="E1607" s="885">
        <v>0.99235309192042009</v>
      </c>
      <c r="F1607" s="885">
        <v>0.97580451309083349</v>
      </c>
      <c r="G1607" s="885">
        <v>1.000266092022295</v>
      </c>
      <c r="H1607" s="885">
        <v>1.036773271266213</v>
      </c>
      <c r="I1607" s="885">
        <v>1.0127272968208672</v>
      </c>
      <c r="K1607">
        <v>1.9755007639603972</v>
      </c>
      <c r="L1607">
        <v>0</v>
      </c>
      <c r="M1607">
        <v>2.1068935599248772E-3</v>
      </c>
      <c r="N1607">
        <v>0.20733132437288485</v>
      </c>
      <c r="O1607">
        <v>2.5747851880735743E-2</v>
      </c>
      <c r="P1607">
        <v>2.1248941378224334E-2</v>
      </c>
      <c r="Q1607">
        <v>2.9928667909830905E-3</v>
      </c>
      <c r="R1607">
        <v>2.0947980379375022E-3</v>
      </c>
      <c r="S1607">
        <v>0.21696173034675165</v>
      </c>
      <c r="T1607">
        <v>1.059075890755351</v>
      </c>
      <c r="U1607">
        <v>3.7431828580472642E-2</v>
      </c>
      <c r="V1607">
        <v>0.25349148358299933</v>
      </c>
      <c r="W1607">
        <v>0.1245831678113824</v>
      </c>
      <c r="X1607">
        <v>2.094642427332026E-2</v>
      </c>
      <c r="Y1607">
        <v>5.7013497092782651E-3</v>
      </c>
    </row>
    <row r="1608" spans="1:25" x14ac:dyDescent="0.25">
      <c r="A1608" s="881"/>
      <c r="B1608" s="1131">
        <v>1358</v>
      </c>
      <c r="C1608" s="885">
        <v>1.035204972387642</v>
      </c>
      <c r="D1608" s="885">
        <v>0.97157976742921925</v>
      </c>
      <c r="E1608" s="885">
        <v>0.95103555796452499</v>
      </c>
      <c r="F1608" s="885">
        <v>0.97848514073087678</v>
      </c>
      <c r="G1608" s="885">
        <v>1.009307828368541</v>
      </c>
      <c r="H1608" s="885">
        <v>1.0042072603477352</v>
      </c>
      <c r="I1608" s="885">
        <v>1.0094381571209534</v>
      </c>
      <c r="K1608">
        <v>1.9189272872592544</v>
      </c>
      <c r="L1608">
        <v>0</v>
      </c>
      <c r="M1608">
        <v>2.1299319868741625E-3</v>
      </c>
      <c r="N1608">
        <v>0.18423044172987085</v>
      </c>
      <c r="O1608">
        <v>2.4643513118090796E-2</v>
      </c>
      <c r="P1608">
        <v>2.035498243192093E-2</v>
      </c>
      <c r="Q1608">
        <v>2.7486040876590679E-3</v>
      </c>
      <c r="R1608">
        <v>2.1172964859840432E-3</v>
      </c>
      <c r="S1608">
        <v>0.20381378785065446</v>
      </c>
      <c r="T1608">
        <v>1.0629165967231136</v>
      </c>
      <c r="U1608">
        <v>3.6051131511510889E-2</v>
      </c>
      <c r="V1608">
        <v>0.2465231548009193</v>
      </c>
      <c r="W1608">
        <v>0.11394112589488764</v>
      </c>
      <c r="X1608">
        <v>1.7954001543267629E-2</v>
      </c>
      <c r="Y1608">
        <v>5.762583068249544E-3</v>
      </c>
    </row>
    <row r="1609" spans="1:25" x14ac:dyDescent="0.25">
      <c r="A1609" s="881"/>
      <c r="B1609" s="1131">
        <v>1359</v>
      </c>
      <c r="C1609" s="885">
        <v>0.98736133711838558</v>
      </c>
      <c r="D1609" s="885">
        <v>0.99136020445267881</v>
      </c>
      <c r="E1609" s="885">
        <v>0.9999966896883532</v>
      </c>
      <c r="F1609" s="885">
        <v>0.99114979916991219</v>
      </c>
      <c r="G1609" s="885">
        <v>0.96642527592573502</v>
      </c>
      <c r="H1609" s="885">
        <v>0.99369896691377402</v>
      </c>
      <c r="I1609" s="885">
        <v>0.97235485464913973</v>
      </c>
      <c r="K1609">
        <v>1.9434573844845549</v>
      </c>
      <c r="L1609">
        <v>0</v>
      </c>
      <c r="M1609">
        <v>1.9742442647701364E-3</v>
      </c>
      <c r="N1609">
        <v>0.19890192007308183</v>
      </c>
      <c r="O1609">
        <v>2.5580493433367105E-2</v>
      </c>
      <c r="P1609">
        <v>2.1136232802092328E-2</v>
      </c>
      <c r="Q1609">
        <v>3.0033153754869956E-3</v>
      </c>
      <c r="R1609">
        <v>1.9623918270565872E-3</v>
      </c>
      <c r="S1609">
        <v>0.20288655853571974</v>
      </c>
      <c r="T1609">
        <v>1.0583726317341313</v>
      </c>
      <c r="U1609">
        <v>3.7798027123318659E-2</v>
      </c>
      <c r="V1609">
        <v>0.25070773135543822</v>
      </c>
      <c r="W1609">
        <v>0.11889290927043544</v>
      </c>
      <c r="X1609">
        <v>2.084843356823932E-2</v>
      </c>
      <c r="Y1609">
        <v>5.3409836509560995E-3</v>
      </c>
    </row>
    <row r="1610" spans="1:25" x14ac:dyDescent="0.25">
      <c r="A1610" s="881"/>
      <c r="B1610" s="1131">
        <v>1360</v>
      </c>
      <c r="C1610" s="885">
        <v>0.99039887667963078</v>
      </c>
      <c r="D1610" s="885">
        <v>1.0096244978525204</v>
      </c>
      <c r="E1610" s="885">
        <v>0.98218046126160197</v>
      </c>
      <c r="F1610" s="885">
        <v>0.98606645495165712</v>
      </c>
      <c r="G1610" s="885">
        <v>1.0241539047746613</v>
      </c>
      <c r="H1610" s="885">
        <v>0.97777246864879963</v>
      </c>
      <c r="I1610" s="885">
        <v>1.0023933518494905</v>
      </c>
      <c r="K1610">
        <v>1.9297090523069158</v>
      </c>
      <c r="L1610">
        <v>0</v>
      </c>
      <c r="M1610">
        <v>1.9925116071699295E-3</v>
      </c>
      <c r="N1610">
        <v>0.18989116297469122</v>
      </c>
      <c r="O1610">
        <v>2.5272642005403967E-2</v>
      </c>
      <c r="P1610">
        <v>2.0869091431703374E-2</v>
      </c>
      <c r="Q1610">
        <v>2.9179587078250837E-3</v>
      </c>
      <c r="R1610">
        <v>1.9803392698659063E-3</v>
      </c>
      <c r="S1610">
        <v>0.20514953502867264</v>
      </c>
      <c r="T1610">
        <v>1.0600153604173501</v>
      </c>
      <c r="U1610">
        <v>3.7682101100553964E-2</v>
      </c>
      <c r="V1610">
        <v>0.24797819923720474</v>
      </c>
      <c r="W1610">
        <v>0.11490771155778852</v>
      </c>
      <c r="X1610">
        <v>1.9647631509113077E-2</v>
      </c>
      <c r="Y1610">
        <v>5.3898306739101343E-3</v>
      </c>
    </row>
    <row r="1611" spans="1:25" x14ac:dyDescent="0.25">
      <c r="A1611" s="881"/>
      <c r="B1611" s="1131">
        <v>1361</v>
      </c>
      <c r="C1611" s="885">
        <v>0.98438240588813475</v>
      </c>
      <c r="D1611" s="885">
        <v>0.96417329053007217</v>
      </c>
      <c r="E1611" s="885">
        <v>1.0418862499966453</v>
      </c>
      <c r="F1611" s="885">
        <v>0.98149649563869668</v>
      </c>
      <c r="G1611" s="885">
        <v>1.0297732494234038</v>
      </c>
      <c r="H1611" s="885">
        <v>0.98563103818578723</v>
      </c>
      <c r="I1611" s="885">
        <v>0.99002899920364851</v>
      </c>
      <c r="K1611">
        <v>1.9662532944233326</v>
      </c>
      <c r="L1611">
        <v>0</v>
      </c>
      <c r="M1611">
        <v>1.8227629081857687E-3</v>
      </c>
      <c r="N1611">
        <v>0.20915243265991701</v>
      </c>
      <c r="O1611">
        <v>2.6014628156180386E-2</v>
      </c>
      <c r="P1611">
        <v>2.1885943560018561E-2</v>
      </c>
      <c r="Q1611">
        <v>3.1778728699158381E-3</v>
      </c>
      <c r="R1611">
        <v>1.8117517681900605E-3</v>
      </c>
      <c r="S1611">
        <v>0.20903352857128732</v>
      </c>
      <c r="T1611">
        <v>1.0545590251204899</v>
      </c>
      <c r="U1611">
        <v>3.7912411251647245E-2</v>
      </c>
      <c r="V1611">
        <v>0.25472814148407508</v>
      </c>
      <c r="W1611">
        <v>0.12153782898587996</v>
      </c>
      <c r="X1611">
        <v>2.3331501834712741E-2</v>
      </c>
      <c r="Y1611">
        <v>4.9309910692034737E-3</v>
      </c>
    </row>
    <row r="1612" spans="1:25" x14ac:dyDescent="0.25">
      <c r="A1612" s="881"/>
      <c r="B1612" s="1131">
        <v>1362</v>
      </c>
      <c r="C1612" s="885">
        <v>1.0074821612609595</v>
      </c>
      <c r="D1612" s="885">
        <v>0.97052090913950317</v>
      </c>
      <c r="E1612" s="885">
        <v>1.0162412988309062</v>
      </c>
      <c r="F1612" s="885">
        <v>1.0122068445461636</v>
      </c>
      <c r="G1612" s="885">
        <v>1.0127647548357039</v>
      </c>
      <c r="H1612" s="885">
        <v>0.99645889338030669</v>
      </c>
      <c r="I1612" s="885">
        <v>1.0249112266896165</v>
      </c>
      <c r="K1612">
        <v>1.9524365751909909</v>
      </c>
      <c r="L1612">
        <v>0</v>
      </c>
      <c r="M1612">
        <v>1.8947148290795819E-3</v>
      </c>
      <c r="N1612">
        <v>0.20078377527656999</v>
      </c>
      <c r="O1612">
        <v>2.5335353645406646E-2</v>
      </c>
      <c r="P1612">
        <v>2.1483345954750415E-2</v>
      </c>
      <c r="Q1612">
        <v>3.0187704686890611E-3</v>
      </c>
      <c r="R1612">
        <v>1.8833881835441458E-3</v>
      </c>
      <c r="S1612">
        <v>0.21192955197230137</v>
      </c>
      <c r="T1612">
        <v>1.0568855879917758</v>
      </c>
      <c r="U1612">
        <v>3.7043147795497409E-2</v>
      </c>
      <c r="V1612">
        <v>0.25050774413919819</v>
      </c>
      <c r="W1612">
        <v>0.11869858322884751</v>
      </c>
      <c r="X1612">
        <v>2.1636079586629529E-2</v>
      </c>
      <c r="Y1612">
        <v>5.12596177685932E-3</v>
      </c>
    </row>
    <row r="1613" spans="1:25" x14ac:dyDescent="0.25">
      <c r="A1613" s="881"/>
      <c r="B1613" s="1131">
        <v>1363</v>
      </c>
      <c r="C1613" s="885">
        <v>1.0153788419274934</v>
      </c>
      <c r="D1613" s="885">
        <v>0.96697093021550939</v>
      </c>
      <c r="E1613" s="885">
        <v>1.0037946172697265</v>
      </c>
      <c r="F1613" s="885">
        <v>1.0197830229600751</v>
      </c>
      <c r="G1613" s="885">
        <v>1.0143998319310146</v>
      </c>
      <c r="H1613" s="885">
        <v>0.96860278118304466</v>
      </c>
      <c r="I1613" s="885">
        <v>0.98658852403143449</v>
      </c>
      <c r="K1613">
        <v>1.9253481717219048</v>
      </c>
      <c r="L1613">
        <v>0</v>
      </c>
      <c r="M1613">
        <v>1.8794517886611989E-3</v>
      </c>
      <c r="N1613">
        <v>0.19157410388937252</v>
      </c>
      <c r="O1613">
        <v>2.5184159836609116E-2</v>
      </c>
      <c r="P1613">
        <v>2.1125526615118139E-2</v>
      </c>
      <c r="Q1613">
        <v>2.9628833797879415E-3</v>
      </c>
      <c r="R1613">
        <v>1.8678962420224882E-3</v>
      </c>
      <c r="S1613">
        <v>0.1999759536249183</v>
      </c>
      <c r="T1613">
        <v>1.0580240446813187</v>
      </c>
      <c r="U1613">
        <v>3.6755060337944234E-2</v>
      </c>
      <c r="V1613">
        <v>0.24985159925958222</v>
      </c>
      <c r="W1613">
        <v>0.11421592819047433</v>
      </c>
      <c r="X1613">
        <v>2.0606669634459833E-2</v>
      </c>
      <c r="Y1613">
        <v>5.0837978189545181E-3</v>
      </c>
    </row>
    <row r="1614" spans="1:25" x14ac:dyDescent="0.25">
      <c r="A1614" s="881"/>
      <c r="B1614" s="1131">
        <v>1364</v>
      </c>
      <c r="C1614" s="885">
        <v>0.96510497006558049</v>
      </c>
      <c r="D1614" s="885">
        <v>0.98614512942340293</v>
      </c>
      <c r="E1614" s="885">
        <v>0.97264793100416491</v>
      </c>
      <c r="F1614" s="885">
        <v>1.0042924595620677</v>
      </c>
      <c r="G1614" s="885">
        <v>0.99874985291167184</v>
      </c>
      <c r="H1614" s="885">
        <v>0.98337436807909473</v>
      </c>
      <c r="I1614" s="885">
        <v>0.99977449519028672</v>
      </c>
      <c r="K1614">
        <v>1.9587591301797924</v>
      </c>
      <c r="L1614">
        <v>0</v>
      </c>
      <c r="M1614">
        <v>2.1225631558383822E-3</v>
      </c>
      <c r="N1614">
        <v>0.19637341736076902</v>
      </c>
      <c r="O1614">
        <v>2.6238929350736875E-2</v>
      </c>
      <c r="P1614">
        <v>2.0936087515757689E-2</v>
      </c>
      <c r="Q1614">
        <v>2.9953505989295283E-3</v>
      </c>
      <c r="R1614">
        <v>2.1096912204296076E-3</v>
      </c>
      <c r="S1614">
        <v>0.21284676106847275</v>
      </c>
      <c r="T1614">
        <v>1.0608993595718634</v>
      </c>
      <c r="U1614">
        <v>3.8669690612391026E-2</v>
      </c>
      <c r="V1614">
        <v>0.25471430447128646</v>
      </c>
      <c r="W1614">
        <v>0.11962033173019082</v>
      </c>
      <c r="X1614">
        <v>1.9735885792316579E-2</v>
      </c>
      <c r="Y1614">
        <v>5.7418840424854891E-3</v>
      </c>
    </row>
    <row r="1615" spans="1:25" x14ac:dyDescent="0.25">
      <c r="A1615" s="881"/>
      <c r="B1615" s="1131">
        <v>1365</v>
      </c>
      <c r="C1615" s="885">
        <v>0.95652899463737606</v>
      </c>
      <c r="D1615" s="885">
        <v>0.9510540039109695</v>
      </c>
      <c r="E1615" s="885">
        <v>1.0091622951945631</v>
      </c>
      <c r="F1615" s="885">
        <v>1.0046202169985483</v>
      </c>
      <c r="G1615" s="885">
        <v>0.98458615032523589</v>
      </c>
      <c r="H1615" s="885">
        <v>1.0447903112387495</v>
      </c>
      <c r="I1615" s="885">
        <v>1.0001441406229732</v>
      </c>
      <c r="K1615">
        <v>2.017528905300543</v>
      </c>
      <c r="L1615">
        <v>0</v>
      </c>
      <c r="M1615">
        <v>2.1454390462547455E-3</v>
      </c>
      <c r="N1615">
        <v>0.22246903969036827</v>
      </c>
      <c r="O1615">
        <v>2.6955427735362521E-2</v>
      </c>
      <c r="P1615">
        <v>2.1731100447361172E-2</v>
      </c>
      <c r="Q1615">
        <v>3.184610953452109E-3</v>
      </c>
      <c r="R1615">
        <v>2.1332243316460327E-3</v>
      </c>
      <c r="S1615">
        <v>0.22511518850182308</v>
      </c>
      <c r="T1615">
        <v>1.0575323395172733</v>
      </c>
      <c r="U1615">
        <v>3.9016392404356927E-2</v>
      </c>
      <c r="V1615">
        <v>0.26087782425239048</v>
      </c>
      <c r="W1615">
        <v>0.13215134023818137</v>
      </c>
      <c r="X1615">
        <v>2.2701922861053322E-2</v>
      </c>
      <c r="Y1615">
        <v>5.8059334135285691E-3</v>
      </c>
    </row>
    <row r="1616" spans="1:25" x14ac:dyDescent="0.25">
      <c r="A1616" s="881"/>
      <c r="B1616" s="1131">
        <v>1366</v>
      </c>
      <c r="C1616" s="885">
        <v>1.0061991693627248</v>
      </c>
      <c r="D1616" s="885">
        <v>0.99559559800476094</v>
      </c>
      <c r="E1616" s="885">
        <v>0.99707322221167183</v>
      </c>
      <c r="F1616" s="885">
        <v>0.97702332489848809</v>
      </c>
      <c r="G1616" s="885">
        <v>0.9779923918518576</v>
      </c>
      <c r="H1616" s="885">
        <v>1.000050487185276</v>
      </c>
      <c r="I1616" s="885">
        <v>0.98768310608526333</v>
      </c>
      <c r="K1616">
        <v>1.9329272908537189</v>
      </c>
      <c r="L1616">
        <v>0</v>
      </c>
      <c r="M1616">
        <v>1.9575676868909212E-3</v>
      </c>
      <c r="N1616">
        <v>0.19544309307724506</v>
      </c>
      <c r="O1616">
        <v>2.5048618577014389E-2</v>
      </c>
      <c r="P1616">
        <v>2.1034453277608868E-2</v>
      </c>
      <c r="Q1616">
        <v>2.9331075274012198E-3</v>
      </c>
      <c r="R1616">
        <v>1.9458865486252971E-3</v>
      </c>
      <c r="S1616">
        <v>0.20246324147187669</v>
      </c>
      <c r="T1616">
        <v>1.0586413405333734</v>
      </c>
      <c r="U1616">
        <v>3.7090381047078014E-2</v>
      </c>
      <c r="V1616">
        <v>0.24748327059156527</v>
      </c>
      <c r="W1616">
        <v>0.11705957392223809</v>
      </c>
      <c r="X1616">
        <v>2.0445830242553954E-2</v>
      </c>
      <c r="Y1616">
        <v>5.2960617240297011E-3</v>
      </c>
    </row>
    <row r="1617" spans="1:25" x14ac:dyDescent="0.25">
      <c r="A1617" s="881"/>
      <c r="B1617" s="1131">
        <v>1367</v>
      </c>
      <c r="C1617" s="885">
        <v>0.99865239300385167</v>
      </c>
      <c r="D1617" s="885">
        <v>0.97015352483778383</v>
      </c>
      <c r="E1617" s="885">
        <v>1.0037247843924477</v>
      </c>
      <c r="F1617" s="885">
        <v>0.97521232778851141</v>
      </c>
      <c r="G1617" s="885">
        <v>1.0307004329362366</v>
      </c>
      <c r="H1617" s="885">
        <v>1.02590203977038</v>
      </c>
      <c r="I1617" s="885">
        <v>0.99615237588355421</v>
      </c>
      <c r="K1617">
        <v>1.9636250741044572</v>
      </c>
      <c r="L1617">
        <v>0</v>
      </c>
      <c r="M1617">
        <v>2.0209712332241213E-3</v>
      </c>
      <c r="N1617">
        <v>0.20602544730846983</v>
      </c>
      <c r="O1617">
        <v>2.5564171402625437E-2</v>
      </c>
      <c r="P1617">
        <v>2.1308830360693982E-2</v>
      </c>
      <c r="Q1617">
        <v>3.0080792328964902E-3</v>
      </c>
      <c r="R1617">
        <v>2.0092368697639455E-3</v>
      </c>
      <c r="S1617">
        <v>0.21085750007781709</v>
      </c>
      <c r="T1617">
        <v>1.0580304491132728</v>
      </c>
      <c r="U1617">
        <v>3.7370671579388018E-2</v>
      </c>
      <c r="V1617">
        <v>0.25182195731655765</v>
      </c>
      <c r="W1617">
        <v>0.12283763142645109</v>
      </c>
      <c r="X1617">
        <v>2.1343590235003231E-2</v>
      </c>
      <c r="Y1617">
        <v>5.4684804147413528E-3</v>
      </c>
    </row>
    <row r="1618" spans="1:25" x14ac:dyDescent="0.25">
      <c r="A1618" s="881"/>
      <c r="B1618" s="1131">
        <v>1368</v>
      </c>
      <c r="C1618" s="885">
        <v>1.0433245163495175</v>
      </c>
      <c r="D1618" s="885">
        <v>1.0464757959010027</v>
      </c>
      <c r="E1618" s="885">
        <v>0.98873068902120009</v>
      </c>
      <c r="F1618" s="885">
        <v>1.0154787209564629</v>
      </c>
      <c r="G1618" s="885">
        <v>1.0249561493587014</v>
      </c>
      <c r="H1618" s="885">
        <v>1.0100935780976563</v>
      </c>
      <c r="I1618" s="885">
        <v>1.0344818203921371</v>
      </c>
      <c r="K1618">
        <v>1.8992890064630841</v>
      </c>
      <c r="L1618">
        <v>0</v>
      </c>
      <c r="M1618">
        <v>1.8935078656302138E-3</v>
      </c>
      <c r="N1618">
        <v>0.1842085896036629</v>
      </c>
      <c r="O1618">
        <v>2.3570232699923473E-2</v>
      </c>
      <c r="P1618">
        <v>2.0727266199920217E-2</v>
      </c>
      <c r="Q1618">
        <v>2.7462955464814033E-3</v>
      </c>
      <c r="R1618">
        <v>1.8822829703097482E-3</v>
      </c>
      <c r="S1618">
        <v>0.20088348646680432</v>
      </c>
      <c r="T1618">
        <v>1.0594099684132601</v>
      </c>
      <c r="U1618">
        <v>3.5770568040993399E-2</v>
      </c>
      <c r="V1618">
        <v>0.23662435936760307</v>
      </c>
      <c r="W1618">
        <v>0.11096548308573004</v>
      </c>
      <c r="X1618">
        <v>1.9271028183254674E-2</v>
      </c>
      <c r="Y1618">
        <v>5.1229537507687332E-3</v>
      </c>
    </row>
    <row r="1619" spans="1:25" x14ac:dyDescent="0.25">
      <c r="A1619" s="881"/>
      <c r="B1619" s="1131">
        <v>1369</v>
      </c>
      <c r="C1619" s="885">
        <v>0.96625928410905415</v>
      </c>
      <c r="D1619" s="885">
        <v>0.96581829131802843</v>
      </c>
      <c r="E1619" s="885">
        <v>1.0010829697670682</v>
      </c>
      <c r="F1619" s="885">
        <v>0.98928713963765735</v>
      </c>
      <c r="G1619" s="885">
        <v>1.0053352334375087</v>
      </c>
      <c r="H1619" s="885">
        <v>0.97606064380443114</v>
      </c>
      <c r="I1619" s="885">
        <v>1.0018205829227698</v>
      </c>
      <c r="K1619">
        <v>1.9695491671248171</v>
      </c>
      <c r="L1619">
        <v>0</v>
      </c>
      <c r="M1619">
        <v>2.0027885616406694E-3</v>
      </c>
      <c r="N1619">
        <v>0.20244092726667687</v>
      </c>
      <c r="O1619">
        <v>2.6480093572549854E-2</v>
      </c>
      <c r="P1619">
        <v>2.1408833199160919E-2</v>
      </c>
      <c r="Q1619">
        <v>3.1066175793486115E-3</v>
      </c>
      <c r="R1619">
        <v>1.990569808754498E-3</v>
      </c>
      <c r="S1619">
        <v>0.21429952066210578</v>
      </c>
      <c r="T1619">
        <v>1.0582728717648184</v>
      </c>
      <c r="U1619">
        <v>3.8623494971464466E-2</v>
      </c>
      <c r="V1619">
        <v>0.2572723279858859</v>
      </c>
      <c r="W1619">
        <v>0.12091846265777154</v>
      </c>
      <c r="X1619">
        <v>2.1320561389650799E-2</v>
      </c>
      <c r="Y1619">
        <v>5.4176748282686428E-3</v>
      </c>
    </row>
    <row r="1620" spans="1:25" x14ac:dyDescent="0.25">
      <c r="A1620" s="881"/>
      <c r="B1620" s="1131">
        <v>1370</v>
      </c>
      <c r="C1620" s="885">
        <v>0.98308507224220765</v>
      </c>
      <c r="D1620" s="885">
        <v>1.0056498269523171</v>
      </c>
      <c r="E1620" s="885">
        <v>0.9628226976011931</v>
      </c>
      <c r="F1620" s="885">
        <v>0.99433196044400307</v>
      </c>
      <c r="G1620" s="885">
        <v>1.0132145464360522</v>
      </c>
      <c r="H1620" s="885">
        <v>1.0185686631612623</v>
      </c>
      <c r="I1620" s="885">
        <v>1.0096626281339329</v>
      </c>
      <c r="K1620">
        <v>1.9520940309462884</v>
      </c>
      <c r="L1620">
        <v>0</v>
      </c>
      <c r="M1620">
        <v>2.1819587102865851E-3</v>
      </c>
      <c r="N1620">
        <v>0.1958166506179066</v>
      </c>
      <c r="O1620">
        <v>2.5510370215082959E-2</v>
      </c>
      <c r="P1620">
        <v>2.0711562424129481E-2</v>
      </c>
      <c r="Q1620">
        <v>2.8869920326203189E-3</v>
      </c>
      <c r="R1620">
        <v>2.1691664046112925E-3</v>
      </c>
      <c r="S1620">
        <v>0.21277951745266258</v>
      </c>
      <c r="T1620">
        <v>1.0618141836620427</v>
      </c>
      <c r="U1620">
        <v>3.7962442574575136E-2</v>
      </c>
      <c r="V1620">
        <v>0.24952178730720326</v>
      </c>
      <c r="W1620">
        <v>0.12010426803012636</v>
      </c>
      <c r="X1620">
        <v>1.9095293047776376E-2</v>
      </c>
      <c r="Y1620">
        <v>5.9037558878388338E-3</v>
      </c>
    </row>
    <row r="1621" spans="1:25" x14ac:dyDescent="0.25">
      <c r="A1621" s="881"/>
      <c r="B1621" s="1131">
        <v>1371</v>
      </c>
      <c r="C1621" s="885">
        <v>1.0114481007045912</v>
      </c>
      <c r="D1621" s="885">
        <v>1.0048152345133652</v>
      </c>
      <c r="E1621" s="885">
        <v>1.0211524864410824</v>
      </c>
      <c r="F1621" s="885">
        <v>0.99338016109958405</v>
      </c>
      <c r="G1621" s="885">
        <v>1.0166598079395206</v>
      </c>
      <c r="H1621" s="885">
        <v>0.9682615892800247</v>
      </c>
      <c r="I1621" s="885">
        <v>1.0289609160434148</v>
      </c>
      <c r="K1621">
        <v>1.9249282185803578</v>
      </c>
      <c r="L1621">
        <v>0</v>
      </c>
      <c r="M1621">
        <v>1.7839986978196425E-3</v>
      </c>
      <c r="N1621">
        <v>0.19192132411090265</v>
      </c>
      <c r="O1621">
        <v>2.4805193045574776E-2</v>
      </c>
      <c r="P1621">
        <v>2.1398268288201197E-2</v>
      </c>
      <c r="Q1621">
        <v>2.9773151810037648E-3</v>
      </c>
      <c r="R1621">
        <v>1.7729967517476197E-3</v>
      </c>
      <c r="S1621">
        <v>0.20567911400318728</v>
      </c>
      <c r="T1621">
        <v>1.0564380425700974</v>
      </c>
      <c r="U1621">
        <v>3.6897899729031042E-2</v>
      </c>
      <c r="V1621">
        <v>0.24561743609666287</v>
      </c>
      <c r="W1621">
        <v>0.11308359620752975</v>
      </c>
      <c r="X1621">
        <v>2.1295518604202836E-2</v>
      </c>
      <c r="Y1621">
        <v>4.8255126900348857E-3</v>
      </c>
    </row>
    <row r="1622" spans="1:25" x14ac:dyDescent="0.25">
      <c r="A1622" s="881"/>
      <c r="B1622" s="1131">
        <v>1372</v>
      </c>
      <c r="C1622" s="885">
        <v>0.97001646703917055</v>
      </c>
      <c r="D1622" s="885">
        <v>1.0333762632515129</v>
      </c>
      <c r="E1622" s="885">
        <v>0.96547176155338033</v>
      </c>
      <c r="F1622" s="885">
        <v>0.98685431977163984</v>
      </c>
      <c r="G1622" s="885">
        <v>1.0181721013171199</v>
      </c>
      <c r="H1622" s="885">
        <v>0.99941604109992344</v>
      </c>
      <c r="I1622" s="885">
        <v>0.98065374792705984</v>
      </c>
      <c r="K1622">
        <v>1.937412770561239</v>
      </c>
      <c r="L1622">
        <v>0</v>
      </c>
      <c r="M1622">
        <v>2.129017100665031E-3</v>
      </c>
      <c r="N1622">
        <v>0.1926269528733992</v>
      </c>
      <c r="O1622">
        <v>2.5509242325628151E-2</v>
      </c>
      <c r="P1622">
        <v>2.0633223124522131E-2</v>
      </c>
      <c r="Q1622">
        <v>2.9001640877411553E-3</v>
      </c>
      <c r="R1622">
        <v>2.1162721831054165E-3</v>
      </c>
      <c r="S1622">
        <v>0.20492902726155054</v>
      </c>
      <c r="T1622">
        <v>1.0615671628433438</v>
      </c>
      <c r="U1622">
        <v>3.8473893865772761E-2</v>
      </c>
      <c r="V1622">
        <v>0.24803080087498272</v>
      </c>
      <c r="W1622">
        <v>0.11792845815950369</v>
      </c>
      <c r="X1622">
        <v>1.9066794808876974E-2</v>
      </c>
      <c r="Y1622">
        <v>5.7597952534752753E-3</v>
      </c>
    </row>
    <row r="1623" spans="1:25" x14ac:dyDescent="0.25">
      <c r="A1623" s="881"/>
      <c r="B1623" s="1131">
        <v>1373</v>
      </c>
      <c r="C1623" s="885">
        <v>1.0135652971308704</v>
      </c>
      <c r="D1623" s="885">
        <v>1.0072541331812528</v>
      </c>
      <c r="E1623" s="885">
        <v>0.9886818434761977</v>
      </c>
      <c r="F1623" s="885">
        <v>0.98908477934987971</v>
      </c>
      <c r="G1623" s="885">
        <v>1.0169729524663924</v>
      </c>
      <c r="H1623" s="885">
        <v>1.0030890198713689</v>
      </c>
      <c r="I1623" s="885">
        <v>0.99105923050953648</v>
      </c>
      <c r="K1623">
        <v>1.923246339745712</v>
      </c>
      <c r="L1623">
        <v>0</v>
      </c>
      <c r="M1623">
        <v>1.9725709495675156E-3</v>
      </c>
      <c r="N1623">
        <v>0.19186602319999385</v>
      </c>
      <c r="O1623">
        <v>2.4723717021231873E-2</v>
      </c>
      <c r="P1623">
        <v>2.0854835417830179E-2</v>
      </c>
      <c r="Q1623">
        <v>2.87297947679127E-3</v>
      </c>
      <c r="R1623">
        <v>1.9608264746982262E-3</v>
      </c>
      <c r="S1623">
        <v>0.20090367518513916</v>
      </c>
      <c r="T1623">
        <v>1.0594144766998987</v>
      </c>
      <c r="U1623">
        <v>3.6820825166923789E-2</v>
      </c>
      <c r="V1623">
        <v>0.24503253588425283</v>
      </c>
      <c r="W1623">
        <v>0.11558214101924658</v>
      </c>
      <c r="X1623">
        <v>1.9850151871416269E-2</v>
      </c>
      <c r="Y1623">
        <v>5.3367232778549082E-3</v>
      </c>
    </row>
    <row r="1624" spans="1:25" x14ac:dyDescent="0.25">
      <c r="A1624" s="881"/>
      <c r="B1624" s="1131">
        <v>1374</v>
      </c>
      <c r="C1624" s="885">
        <v>1.0419504625981786</v>
      </c>
      <c r="D1624" s="885">
        <v>1.0305608145303293</v>
      </c>
      <c r="E1624" s="885">
        <v>1.0154639191778245</v>
      </c>
      <c r="F1624" s="885">
        <v>0.99457595455142278</v>
      </c>
      <c r="G1624" s="885">
        <v>1.0154905049791676</v>
      </c>
      <c r="H1624" s="885">
        <v>1.0038708061189161</v>
      </c>
      <c r="I1624" s="885">
        <v>1.0233827047116237</v>
      </c>
      <c r="K1624">
        <v>1.9063179282977785</v>
      </c>
      <c r="L1624">
        <v>0</v>
      </c>
      <c r="M1624">
        <v>1.7946196944888396E-3</v>
      </c>
      <c r="N1624">
        <v>0.189721501820901</v>
      </c>
      <c r="O1624">
        <v>2.3780092972500392E-2</v>
      </c>
      <c r="P1624">
        <v>2.112251773603593E-2</v>
      </c>
      <c r="Q1624">
        <v>2.8431350975925383E-3</v>
      </c>
      <c r="R1624">
        <v>1.7839262448386148E-3</v>
      </c>
      <c r="S1624">
        <v>0.19977848661129852</v>
      </c>
      <c r="T1624">
        <v>1.0569565152504607</v>
      </c>
      <c r="U1624">
        <v>3.5817739845190009E-2</v>
      </c>
      <c r="V1624">
        <v>0.23856565207464486</v>
      </c>
      <c r="W1624">
        <v>0.11221784997506012</v>
      </c>
      <c r="X1624">
        <v>2.0669871196419127E-2</v>
      </c>
      <c r="Y1624">
        <v>4.8552591673221472E-3</v>
      </c>
    </row>
    <row r="1625" spans="1:25" x14ac:dyDescent="0.25">
      <c r="A1625" s="881"/>
      <c r="B1625" s="1131">
        <v>1375</v>
      </c>
      <c r="C1625" s="885">
        <v>1.0180148314170256</v>
      </c>
      <c r="D1625" s="885">
        <v>1.0146777385148704</v>
      </c>
      <c r="E1625" s="885">
        <v>1.0057886073630282</v>
      </c>
      <c r="F1625" s="885">
        <v>0.98604042944498183</v>
      </c>
      <c r="G1625" s="885">
        <v>1.0142865542544088</v>
      </c>
      <c r="H1625" s="885">
        <v>0.96861083099695777</v>
      </c>
      <c r="I1625" s="885">
        <v>1.0043447815375397</v>
      </c>
      <c r="K1625">
        <v>1.9086160799505674</v>
      </c>
      <c r="L1625">
        <v>0</v>
      </c>
      <c r="M1625">
        <v>1.8227463020022276E-3</v>
      </c>
      <c r="N1625">
        <v>0.18694594235353698</v>
      </c>
      <c r="O1625">
        <v>2.4526478706723726E-2</v>
      </c>
      <c r="P1625">
        <v>2.1047723860260853E-2</v>
      </c>
      <c r="Q1625">
        <v>2.9010455211515131E-3</v>
      </c>
      <c r="R1625">
        <v>1.811501876285158E-3</v>
      </c>
      <c r="S1625">
        <v>0.19860818747741044</v>
      </c>
      <c r="T1625">
        <v>1.0578412543951443</v>
      </c>
      <c r="U1625">
        <v>3.6659888882924124E-2</v>
      </c>
      <c r="V1625">
        <v>0.24353560224367077</v>
      </c>
      <c r="W1625">
        <v>0.11130517416297539</v>
      </c>
      <c r="X1625">
        <v>2.0325715826670584E-2</v>
      </c>
      <c r="Y1625">
        <v>4.9303109458151738E-3</v>
      </c>
    </row>
    <row r="1626" spans="1:25" x14ac:dyDescent="0.25">
      <c r="A1626" s="881"/>
      <c r="B1626" s="1131">
        <v>1376</v>
      </c>
      <c r="C1626" s="885">
        <v>1.0129253028813185</v>
      </c>
      <c r="D1626" s="885">
        <v>1.0027396349626865</v>
      </c>
      <c r="E1626" s="885">
        <v>1.0114859489756396</v>
      </c>
      <c r="F1626" s="885">
        <v>0.9677739273756063</v>
      </c>
      <c r="G1626" s="885">
        <v>1.0129596533453031</v>
      </c>
      <c r="H1626" s="885">
        <v>0.99504521190760253</v>
      </c>
      <c r="I1626" s="885">
        <v>1.0061479689464228</v>
      </c>
      <c r="K1626">
        <v>1.9296785946340378</v>
      </c>
      <c r="L1626">
        <v>0</v>
      </c>
      <c r="M1626">
        <v>1.8703280401653609E-3</v>
      </c>
      <c r="N1626">
        <v>0.1952874479947008</v>
      </c>
      <c r="O1626">
        <v>2.4794370143814286E-2</v>
      </c>
      <c r="P1626">
        <v>2.1231558953293549E-2</v>
      </c>
      <c r="Q1626">
        <v>2.9470721378261197E-3</v>
      </c>
      <c r="R1626">
        <v>1.8591057749620982E-3</v>
      </c>
      <c r="S1626">
        <v>0.20370483299068101</v>
      </c>
      <c r="T1626">
        <v>1.057319830276455</v>
      </c>
      <c r="U1626">
        <v>3.6844089583661616E-2</v>
      </c>
      <c r="V1626">
        <v>0.24566630307781118</v>
      </c>
      <c r="W1626">
        <v>0.11582192340948676</v>
      </c>
      <c r="X1626">
        <v>2.1012515266118897E-2</v>
      </c>
      <c r="Y1626">
        <v>5.0598730653928234E-3</v>
      </c>
    </row>
    <row r="1627" spans="1:25" x14ac:dyDescent="0.25">
      <c r="A1627" s="881"/>
      <c r="B1627" s="1131">
        <v>1377</v>
      </c>
      <c r="C1627" s="885">
        <v>1.0187273399501358</v>
      </c>
      <c r="D1627" s="885">
        <v>1.040889900952362</v>
      </c>
      <c r="E1627" s="885">
        <v>1.0375105953204189</v>
      </c>
      <c r="F1627" s="885">
        <v>1.0215169510340332</v>
      </c>
      <c r="G1627" s="885">
        <v>1.0339313603383327</v>
      </c>
      <c r="H1627" s="885">
        <v>0.99917403586729236</v>
      </c>
      <c r="I1627" s="885">
        <v>0.98038861392844423</v>
      </c>
      <c r="K1627">
        <v>1.9125489527268442</v>
      </c>
      <c r="L1627">
        <v>0</v>
      </c>
      <c r="M1627">
        <v>1.7351945461090107E-3</v>
      </c>
      <c r="N1627">
        <v>0.19643011331450488</v>
      </c>
      <c r="O1627">
        <v>2.4202995244667142E-2</v>
      </c>
      <c r="P1627">
        <v>2.1398574155911371E-2</v>
      </c>
      <c r="Q1627">
        <v>2.9596150589010334E-3</v>
      </c>
      <c r="R1627">
        <v>1.7247995154624123E-3</v>
      </c>
      <c r="S1627">
        <v>0.19441014357924247</v>
      </c>
      <c r="T1627">
        <v>1.0549541711961465</v>
      </c>
      <c r="U1627">
        <v>3.6634248574052883E-2</v>
      </c>
      <c r="V1627">
        <v>0.24040371896599322</v>
      </c>
      <c r="W1627">
        <v>0.11447787181283767</v>
      </c>
      <c r="X1627">
        <v>2.1993560154149175E-2</v>
      </c>
      <c r="Y1627">
        <v>4.6943357010812217E-3</v>
      </c>
    </row>
    <row r="1628" spans="1:25" x14ac:dyDescent="0.25">
      <c r="A1628" s="881"/>
      <c r="B1628" s="1131">
        <v>1378</v>
      </c>
      <c r="C1628" s="885">
        <v>0.97651316623255791</v>
      </c>
      <c r="D1628" s="885">
        <v>0.97858160086153179</v>
      </c>
      <c r="E1628" s="885">
        <v>1.0274926690600901</v>
      </c>
      <c r="F1628" s="885">
        <v>1.0044618593677501</v>
      </c>
      <c r="G1628" s="885">
        <v>1.0138751185043247</v>
      </c>
      <c r="H1628" s="885">
        <v>0.99973307042087112</v>
      </c>
      <c r="I1628" s="885">
        <v>0.97666209014951855</v>
      </c>
      <c r="K1628">
        <v>1.9667287230852986</v>
      </c>
      <c r="L1628">
        <v>0</v>
      </c>
      <c r="M1628">
        <v>1.9073047661013259E-3</v>
      </c>
      <c r="N1628">
        <v>0.20930975768989638</v>
      </c>
      <c r="O1628">
        <v>2.6031655549825485E-2</v>
      </c>
      <c r="P1628">
        <v>2.1655370506717713E-2</v>
      </c>
      <c r="Q1628">
        <v>3.1384194319078211E-3</v>
      </c>
      <c r="R1628">
        <v>1.8959336098809392E-3</v>
      </c>
      <c r="S1628">
        <v>0.20789980263694685</v>
      </c>
      <c r="T1628">
        <v>1.0558616708423187</v>
      </c>
      <c r="U1628">
        <v>3.8217928740173324E-2</v>
      </c>
      <c r="V1628">
        <v>0.25398280033622722</v>
      </c>
      <c r="W1628">
        <v>0.12280425411597101</v>
      </c>
      <c r="X1628">
        <v>2.2678328099781403E-2</v>
      </c>
      <c r="Y1628">
        <v>5.1601062917493914E-3</v>
      </c>
    </row>
    <row r="1629" spans="1:25" x14ac:dyDescent="0.25">
      <c r="A1629" s="881"/>
      <c r="B1629" s="1131">
        <v>1379</v>
      </c>
      <c r="C1629" s="885">
        <v>0.97537069408306587</v>
      </c>
      <c r="D1629" s="885">
        <v>0.96725863186380179</v>
      </c>
      <c r="E1629" s="885">
        <v>1.0296239041244533</v>
      </c>
      <c r="F1629" s="885">
        <v>1.0051633377364793</v>
      </c>
      <c r="G1629" s="885">
        <v>1.0319669541287129</v>
      </c>
      <c r="H1629" s="885">
        <v>1.0177136379997047</v>
      </c>
      <c r="I1629" s="885">
        <v>1.0081807626461827</v>
      </c>
      <c r="K1629">
        <v>1.9881751631864832</v>
      </c>
      <c r="L1629">
        <v>0</v>
      </c>
      <c r="M1629">
        <v>1.946353281568712E-3</v>
      </c>
      <c r="N1629">
        <v>0.21503674229567832</v>
      </c>
      <c r="O1629">
        <v>2.6213295669808789E-2</v>
      </c>
      <c r="P1629">
        <v>2.1850431660913522E-2</v>
      </c>
      <c r="Q1629">
        <v>3.1643903509439922E-3</v>
      </c>
      <c r="R1629">
        <v>1.9349636368105494E-3</v>
      </c>
      <c r="S1629">
        <v>0.21792829650647549</v>
      </c>
      <c r="T1629">
        <v>1.055668278308183</v>
      </c>
      <c r="U1629">
        <v>3.8262694201614537E-2</v>
      </c>
      <c r="V1629">
        <v>0.25567795410705818</v>
      </c>
      <c r="W1629">
        <v>0.12598410093786172</v>
      </c>
      <c r="X1629">
        <v>2.3134035633897061E-2</v>
      </c>
      <c r="Y1629">
        <v>5.2663331588068693E-3</v>
      </c>
    </row>
    <row r="1630" spans="1:25" x14ac:dyDescent="0.25">
      <c r="A1630" s="881"/>
      <c r="B1630" s="1131">
        <v>1380</v>
      </c>
      <c r="C1630" s="885">
        <v>0.99204547583935732</v>
      </c>
      <c r="D1630" s="885">
        <v>1.0238670445929323</v>
      </c>
      <c r="E1630" s="885">
        <v>1.0356883504134522</v>
      </c>
      <c r="F1630" s="885">
        <v>0.99652012648049682</v>
      </c>
      <c r="G1630" s="885">
        <v>0.98952250210459369</v>
      </c>
      <c r="H1630" s="885">
        <v>1.0023314073272314</v>
      </c>
      <c r="I1630" s="885">
        <v>0.99961111442520445</v>
      </c>
      <c r="K1630">
        <v>1.9437691359661531</v>
      </c>
      <c r="L1630">
        <v>0</v>
      </c>
      <c r="M1630">
        <v>1.8090345416728914E-3</v>
      </c>
      <c r="N1630">
        <v>0.20363971813108861</v>
      </c>
      <c r="O1630">
        <v>2.5056748631641413E-2</v>
      </c>
      <c r="P1630">
        <v>2.1619295076233124E-2</v>
      </c>
      <c r="Q1630">
        <v>3.0550544123898486E-3</v>
      </c>
      <c r="R1630">
        <v>1.798243460895177E-3</v>
      </c>
      <c r="S1630">
        <v>0.20541094482331712</v>
      </c>
      <c r="T1630">
        <v>1.05511895143732</v>
      </c>
      <c r="U1630">
        <v>3.7619556270180689E-2</v>
      </c>
      <c r="V1630">
        <v>0.24601722043065935</v>
      </c>
      <c r="W1630">
        <v>0.11882391988008864</v>
      </c>
      <c r="X1630">
        <v>2.2524292044252429E-2</v>
      </c>
      <c r="Y1630">
        <v>4.8942259097591043E-3</v>
      </c>
    </row>
    <row r="1631" spans="1:25" x14ac:dyDescent="0.25">
      <c r="A1631" s="881"/>
      <c r="B1631" s="1131">
        <v>1381</v>
      </c>
      <c r="C1631" s="885">
        <v>0.99851474587395961</v>
      </c>
      <c r="D1631" s="885">
        <v>0.97852795491120892</v>
      </c>
      <c r="E1631" s="885">
        <v>1.0299470880165082</v>
      </c>
      <c r="F1631" s="885">
        <v>1.008257593609782</v>
      </c>
      <c r="G1631" s="885">
        <v>0.96837839236817469</v>
      </c>
      <c r="H1631" s="885">
        <v>1.0095447330203446</v>
      </c>
      <c r="I1631" s="885">
        <v>0.97977982339358405</v>
      </c>
      <c r="K1631">
        <v>1.9550570061875598</v>
      </c>
      <c r="L1631">
        <v>0</v>
      </c>
      <c r="M1631">
        <v>1.8738828858870763E-3</v>
      </c>
      <c r="N1631">
        <v>0.20722701432060095</v>
      </c>
      <c r="O1631">
        <v>2.5458759002681741E-2</v>
      </c>
      <c r="P1631">
        <v>2.1593080636788282E-2</v>
      </c>
      <c r="Q1631">
        <v>3.0768008022623349E-3</v>
      </c>
      <c r="R1631">
        <v>1.8628196084767977E-3</v>
      </c>
      <c r="S1631">
        <v>0.20495790317007065</v>
      </c>
      <c r="T1631">
        <v>1.0556389674816788</v>
      </c>
      <c r="U1631">
        <v>3.7375823196533681E-2</v>
      </c>
      <c r="V1631">
        <v>0.25075080135871436</v>
      </c>
      <c r="W1631">
        <v>0.12138230196406127</v>
      </c>
      <c r="X1631">
        <v>2.2536636635623251E-2</v>
      </c>
      <c r="Y1631">
        <v>5.0699808959549474E-3</v>
      </c>
    </row>
    <row r="1632" spans="1:25" x14ac:dyDescent="0.25">
      <c r="A1632" s="881"/>
      <c r="B1632" s="1131">
        <v>1382</v>
      </c>
      <c r="C1632" s="885">
        <v>0.98486937326241974</v>
      </c>
      <c r="D1632" s="885">
        <v>1.0217775063072232</v>
      </c>
      <c r="E1632" s="885">
        <v>1.0153021997161136</v>
      </c>
      <c r="F1632" s="885">
        <v>1.0054904752479383</v>
      </c>
      <c r="G1632" s="885">
        <v>1.0294757256849794</v>
      </c>
      <c r="H1632" s="885">
        <v>0.98445741348279814</v>
      </c>
      <c r="I1632" s="885">
        <v>0.99872389573766562</v>
      </c>
      <c r="K1632">
        <v>1.9378394554305822</v>
      </c>
      <c r="L1632">
        <v>0</v>
      </c>
      <c r="M1632">
        <v>1.8704245048990738E-3</v>
      </c>
      <c r="N1632">
        <v>0.19761334422691484</v>
      </c>
      <c r="O1632">
        <v>2.5264776981646943E-2</v>
      </c>
      <c r="P1632">
        <v>2.1342695694378275E-2</v>
      </c>
      <c r="Q1632">
        <v>3.0183751181528402E-3</v>
      </c>
      <c r="R1632">
        <v>1.8590662450225935E-3</v>
      </c>
      <c r="S1632">
        <v>0.20510246465358128</v>
      </c>
      <c r="T1632">
        <v>1.0569712733216357</v>
      </c>
      <c r="U1632">
        <v>3.7893665509459246E-2</v>
      </c>
      <c r="V1632">
        <v>0.24728423029164387</v>
      </c>
      <c r="W1632">
        <v>0.11689857097714521</v>
      </c>
      <c r="X1632">
        <v>2.1401651437970824E-2</v>
      </c>
      <c r="Y1632">
        <v>5.0597654779285326E-3</v>
      </c>
    </row>
    <row r="1633" spans="1:25" x14ac:dyDescent="0.25">
      <c r="A1633" s="881"/>
      <c r="B1633" s="1131">
        <v>1383</v>
      </c>
      <c r="C1633" s="885">
        <v>1.0246580486467474</v>
      </c>
      <c r="D1633" s="885">
        <v>1.0020826895634982</v>
      </c>
      <c r="E1633" s="885">
        <v>1.0150040741738147</v>
      </c>
      <c r="F1633" s="885">
        <v>1.0016244531264877</v>
      </c>
      <c r="G1633" s="885">
        <v>1.0040257354135829</v>
      </c>
      <c r="H1633" s="885">
        <v>0.96700788486210854</v>
      </c>
      <c r="I1633" s="885">
        <v>0.98853868707386727</v>
      </c>
      <c r="K1633">
        <v>1.9066103394450391</v>
      </c>
      <c r="L1633">
        <v>0</v>
      </c>
      <c r="M1633">
        <v>1.784103208008791E-3</v>
      </c>
      <c r="N1633">
        <v>0.18829961870674844</v>
      </c>
      <c r="O1633">
        <v>2.4518414506392975E-2</v>
      </c>
      <c r="P1633">
        <v>2.1137878092058589E-2</v>
      </c>
      <c r="Q1633">
        <v>2.9243871558260704E-3</v>
      </c>
      <c r="R1633">
        <v>1.7730884283472818E-3</v>
      </c>
      <c r="S1633">
        <v>0.19517294426114259</v>
      </c>
      <c r="T1633">
        <v>1.0569984821124803</v>
      </c>
      <c r="U1633">
        <v>3.6422209975518455E-2</v>
      </c>
      <c r="V1633">
        <v>0.2441559096628525</v>
      </c>
      <c r="W1633">
        <v>0.11141150375907664</v>
      </c>
      <c r="X1633">
        <v>2.0754243789087624E-2</v>
      </c>
      <c r="Y1633">
        <v>4.8257622035179828E-3</v>
      </c>
    </row>
    <row r="1634" spans="1:25" x14ac:dyDescent="0.25">
      <c r="A1634" s="881"/>
      <c r="B1634" s="1131">
        <v>1384</v>
      </c>
      <c r="C1634" s="885">
        <v>0.99531082515929448</v>
      </c>
      <c r="D1634" s="885">
        <v>1.0229948045134896</v>
      </c>
      <c r="E1634" s="885">
        <v>1.0199145912355929</v>
      </c>
      <c r="F1634" s="885">
        <v>0.9739693473088562</v>
      </c>
      <c r="G1634" s="885">
        <v>1.011069119422924</v>
      </c>
      <c r="H1634" s="885">
        <v>0.96707535104064368</v>
      </c>
      <c r="I1634" s="885">
        <v>0.98002218300588873</v>
      </c>
      <c r="K1634">
        <v>1.9189942128502524</v>
      </c>
      <c r="L1634">
        <v>0</v>
      </c>
      <c r="M1634">
        <v>1.7994454141692998E-3</v>
      </c>
      <c r="N1634">
        <v>0.19283715142714516</v>
      </c>
      <c r="O1634">
        <v>2.4985048640096399E-2</v>
      </c>
      <c r="P1634">
        <v>2.1273694751619818E-2</v>
      </c>
      <c r="Q1634">
        <v>2.9989392636728253E-3</v>
      </c>
      <c r="R1634">
        <v>1.7883208655642305E-3</v>
      </c>
      <c r="S1634">
        <v>0.19732932186686797</v>
      </c>
      <c r="T1634">
        <v>1.0565507602889022</v>
      </c>
      <c r="U1634">
        <v>3.7496136541008675E-2</v>
      </c>
      <c r="V1634">
        <v>0.24566271421574154</v>
      </c>
      <c r="W1634">
        <v>0.1137181330881776</v>
      </c>
      <c r="X1634">
        <v>2.1286217439372146E-2</v>
      </c>
      <c r="Y1634">
        <v>4.8672198762509397E-3</v>
      </c>
    </row>
    <row r="1635" spans="1:25" x14ac:dyDescent="0.25">
      <c r="A1635" s="881"/>
      <c r="B1635" s="1131">
        <v>1385</v>
      </c>
      <c r="C1635" s="885">
        <v>0.96956469920836563</v>
      </c>
      <c r="D1635" s="885">
        <v>0.97563930343691685</v>
      </c>
      <c r="E1635" s="885">
        <v>0.99949524976542681</v>
      </c>
      <c r="F1635" s="885">
        <v>0.99067393411137827</v>
      </c>
      <c r="G1635" s="885">
        <v>0.97999969913805085</v>
      </c>
      <c r="H1635" s="885">
        <v>0.98590458658335978</v>
      </c>
      <c r="I1635" s="885">
        <v>1.0326893907868895</v>
      </c>
      <c r="K1635">
        <v>1.9734750262989096</v>
      </c>
      <c r="L1635">
        <v>0</v>
      </c>
      <c r="M1635">
        <v>2.0127053969443806E-3</v>
      </c>
      <c r="N1635">
        <v>0.20245242574565409</v>
      </c>
      <c r="O1635">
        <v>2.6257447469483153E-2</v>
      </c>
      <c r="P1635">
        <v>2.1439016238014356E-2</v>
      </c>
      <c r="Q1635">
        <v>3.0777837267522402E-3</v>
      </c>
      <c r="R1635">
        <v>2.0005401096743606E-3</v>
      </c>
      <c r="S1635">
        <v>0.22020004614728239</v>
      </c>
      <c r="T1635">
        <v>1.0584186976408272</v>
      </c>
      <c r="U1635">
        <v>3.8491820743255564E-2</v>
      </c>
      <c r="V1635">
        <v>0.25542787524706639</v>
      </c>
      <c r="W1635">
        <v>0.12105674680534349</v>
      </c>
      <c r="X1635">
        <v>2.122052112183611E-2</v>
      </c>
      <c r="Y1635">
        <v>5.444810700663695E-3</v>
      </c>
    </row>
    <row r="1636" spans="1:25" x14ac:dyDescent="0.25">
      <c r="A1636" s="881"/>
      <c r="B1636" s="1131">
        <v>1386</v>
      </c>
      <c r="C1636" s="885">
        <v>1.0125757646851314</v>
      </c>
      <c r="D1636" s="885">
        <v>0.95388449392092101</v>
      </c>
      <c r="E1636" s="885">
        <v>0.98976300419329744</v>
      </c>
      <c r="F1636" s="885">
        <v>1.0115946661443318</v>
      </c>
      <c r="G1636" s="885">
        <v>0.98832899290243303</v>
      </c>
      <c r="H1636" s="885">
        <v>1.0112167367691902</v>
      </c>
      <c r="I1636" s="885">
        <v>0.98926443961118171</v>
      </c>
      <c r="K1636">
        <v>1.9491375358141825</v>
      </c>
      <c r="L1636">
        <v>0</v>
      </c>
      <c r="M1636">
        <v>2.0403291577535611E-3</v>
      </c>
      <c r="N1636">
        <v>0.1991399298642032</v>
      </c>
      <c r="O1636">
        <v>2.5425743949584897E-2</v>
      </c>
      <c r="P1636">
        <v>2.1043090274191507E-2</v>
      </c>
      <c r="Q1636">
        <v>2.9464868761776689E-3</v>
      </c>
      <c r="R1636">
        <v>2.0283246702046086E-3</v>
      </c>
      <c r="S1636">
        <v>0.20665422926181271</v>
      </c>
      <c r="T1636">
        <v>1.0593147107327761</v>
      </c>
      <c r="U1636">
        <v>3.6856808055762622E-2</v>
      </c>
      <c r="V1636">
        <v>0.25199043391267067</v>
      </c>
      <c r="W1636">
        <v>0.11987463567539712</v>
      </c>
      <c r="X1636">
        <v>2.0383040583902723E-2</v>
      </c>
      <c r="Y1636">
        <v>5.5204311152491133E-3</v>
      </c>
    </row>
    <row r="1637" spans="1:25" x14ac:dyDescent="0.25">
      <c r="A1637" s="881"/>
      <c r="B1637" s="1131">
        <v>1387</v>
      </c>
      <c r="C1637" s="885">
        <v>0.97160103833905442</v>
      </c>
      <c r="D1637" s="885">
        <v>0.98884652367789183</v>
      </c>
      <c r="E1637" s="885">
        <v>1.0013036341793351</v>
      </c>
      <c r="F1637" s="885">
        <v>0.99713096165841408</v>
      </c>
      <c r="G1637" s="885">
        <v>0.99752256150160956</v>
      </c>
      <c r="H1637" s="885">
        <v>0.98999990180131325</v>
      </c>
      <c r="I1637" s="885">
        <v>0.97813539533485627</v>
      </c>
      <c r="K1637">
        <v>1.9566599931225614</v>
      </c>
      <c r="L1637">
        <v>0</v>
      </c>
      <c r="M1637">
        <v>1.9958135399162024E-3</v>
      </c>
      <c r="N1637">
        <v>0.20188985549883642</v>
      </c>
      <c r="O1637">
        <v>2.602816726392115E-2</v>
      </c>
      <c r="P1637">
        <v>2.1259841132405984E-2</v>
      </c>
      <c r="Q1637">
        <v>3.0593470477136152E-3</v>
      </c>
      <c r="R1637">
        <v>1.9837889656248876E-3</v>
      </c>
      <c r="S1637">
        <v>0.20726647986575936</v>
      </c>
      <c r="T1637">
        <v>1.0582526123744402</v>
      </c>
      <c r="U1637">
        <v>3.8411147300455438E-2</v>
      </c>
      <c r="V1637">
        <v>0.25337390211872102</v>
      </c>
      <c r="W1637">
        <v>0.12057111517970524</v>
      </c>
      <c r="X1637">
        <v>2.1160330306320318E-2</v>
      </c>
      <c r="Y1637">
        <v>5.3992196085741791E-3</v>
      </c>
    </row>
    <row r="1638" spans="1:25" x14ac:dyDescent="0.25">
      <c r="A1638" s="881"/>
      <c r="B1638" s="1131">
        <v>1388</v>
      </c>
      <c r="C1638" s="885">
        <v>0.97480197056080953</v>
      </c>
      <c r="D1638" s="885">
        <v>1.0084959803677118</v>
      </c>
      <c r="E1638" s="885">
        <v>0.984988478258086</v>
      </c>
      <c r="F1638" s="885">
        <v>0.99439619827704606</v>
      </c>
      <c r="G1638" s="885">
        <v>1.0192082426060283</v>
      </c>
      <c r="H1638" s="885">
        <v>1.0126569524149884</v>
      </c>
      <c r="I1638" s="885">
        <v>1.0259237002038402</v>
      </c>
      <c r="K1638">
        <v>1.96294484185</v>
      </c>
      <c r="L1638">
        <v>0</v>
      </c>
      <c r="M1638">
        <v>2.0854388619544234E-3</v>
      </c>
      <c r="N1638">
        <v>0.20053590495589588</v>
      </c>
      <c r="O1638">
        <v>2.5691207004551637E-2</v>
      </c>
      <c r="P1638">
        <v>2.1112346129935823E-2</v>
      </c>
      <c r="Q1638">
        <v>2.9745160382534468E-3</v>
      </c>
      <c r="R1638">
        <v>2.0731386523291546E-3</v>
      </c>
      <c r="S1638">
        <v>0.21713395483290207</v>
      </c>
      <c r="T1638">
        <v>1.0597556309094238</v>
      </c>
      <c r="U1638">
        <v>3.8285017601519922E-2</v>
      </c>
      <c r="V1638">
        <v>0.25038332065410118</v>
      </c>
      <c r="W1638">
        <v>0.12111348071041844</v>
      </c>
      <c r="X1638">
        <v>2.0329363220955028E-2</v>
      </c>
      <c r="Y1638">
        <v>5.6424000016668894E-3</v>
      </c>
    </row>
    <row r="1639" spans="1:25" x14ac:dyDescent="0.25">
      <c r="A1639" s="881"/>
      <c r="B1639" s="1131">
        <v>1389</v>
      </c>
      <c r="C1639" s="885">
        <v>1.0361518043442783</v>
      </c>
      <c r="D1639" s="885">
        <v>0.98170915589289021</v>
      </c>
      <c r="E1639" s="885">
        <v>0.99590408112568241</v>
      </c>
      <c r="F1639" s="885">
        <v>1.0008978309421497</v>
      </c>
      <c r="G1639" s="885">
        <v>0.982978577176845</v>
      </c>
      <c r="H1639" s="885">
        <v>0.9884601098907172</v>
      </c>
      <c r="I1639" s="885">
        <v>0.96198312025764354</v>
      </c>
      <c r="K1639">
        <v>1.9065201044290845</v>
      </c>
      <c r="L1639">
        <v>0</v>
      </c>
      <c r="M1639">
        <v>1.8967278854769504E-3</v>
      </c>
      <c r="N1639">
        <v>0.18866897704842159</v>
      </c>
      <c r="O1639">
        <v>2.4494503493808047E-2</v>
      </c>
      <c r="P1639">
        <v>2.0823405536115846E-2</v>
      </c>
      <c r="Q1639">
        <v>2.8620293724410544E-3</v>
      </c>
      <c r="R1639">
        <v>1.8852882720449516E-3</v>
      </c>
      <c r="S1639">
        <v>0.19163650624461728</v>
      </c>
      <c r="T1639">
        <v>1.0587488946027179</v>
      </c>
      <c r="U1639">
        <v>3.6018188111475391E-2</v>
      </c>
      <c r="V1639">
        <v>0.24511614040787175</v>
      </c>
      <c r="W1639">
        <v>0.11309291135729428</v>
      </c>
      <c r="X1639">
        <v>1.9938854676359908E-2</v>
      </c>
      <c r="Y1639">
        <v>5.1311331913945065E-3</v>
      </c>
    </row>
    <row r="1640" spans="1:25" x14ac:dyDescent="0.25">
      <c r="A1640" s="881"/>
      <c r="B1640" s="1131">
        <v>1390</v>
      </c>
      <c r="C1640" s="885">
        <v>0.96970564758599842</v>
      </c>
      <c r="D1640" s="885">
        <v>0.96642044865788224</v>
      </c>
      <c r="E1640" s="885">
        <v>1.0032609430036148</v>
      </c>
      <c r="F1640" s="885">
        <v>1.0287196606242273</v>
      </c>
      <c r="G1640" s="885">
        <v>0.96695081288526907</v>
      </c>
      <c r="H1640" s="885">
        <v>0.98158730501834057</v>
      </c>
      <c r="I1640" s="885">
        <v>1.0176576066020842</v>
      </c>
      <c r="K1640">
        <v>1.972924267421355</v>
      </c>
      <c r="L1640">
        <v>0</v>
      </c>
      <c r="M1640">
        <v>1.9971645269151006E-3</v>
      </c>
      <c r="N1640">
        <v>0.20325171655233051</v>
      </c>
      <c r="O1640">
        <v>2.6377804333819563E-2</v>
      </c>
      <c r="P1640">
        <v>2.1473641144731166E-2</v>
      </c>
      <c r="Q1640">
        <v>3.1015280820138485E-3</v>
      </c>
      <c r="R1640">
        <v>1.985048156718293E-3</v>
      </c>
      <c r="S1640">
        <v>0.21744821545782067</v>
      </c>
      <c r="T1640">
        <v>1.0580729932223278</v>
      </c>
      <c r="U1640">
        <v>3.8486225891148189E-2</v>
      </c>
      <c r="V1640">
        <v>0.25665717701952129</v>
      </c>
      <c r="W1640">
        <v>0.12122223601431999</v>
      </c>
      <c r="X1640">
        <v>2.144219936188007E-2</v>
      </c>
      <c r="Y1640">
        <v>5.4026467116381977E-3</v>
      </c>
    </row>
    <row r="1641" spans="1:25" x14ac:dyDescent="0.25">
      <c r="A1641" s="881"/>
      <c r="B1641" s="1131">
        <v>1391</v>
      </c>
      <c r="C1641" s="885">
        <v>1.0123479782655427</v>
      </c>
      <c r="D1641" s="885">
        <v>1.0292973948370241</v>
      </c>
      <c r="E1641" s="885">
        <v>1.0070357212494634</v>
      </c>
      <c r="F1641" s="885">
        <v>1.00611234819097</v>
      </c>
      <c r="G1641" s="885">
        <v>0.97987192926074596</v>
      </c>
      <c r="H1641" s="885">
        <v>1.0341130530709028</v>
      </c>
      <c r="I1641" s="885">
        <v>0.99939837282251132</v>
      </c>
      <c r="K1641">
        <v>1.9341184974977079</v>
      </c>
      <c r="L1641">
        <v>0</v>
      </c>
      <c r="M1641">
        <v>1.9380456171565451E-3</v>
      </c>
      <c r="N1641">
        <v>0.19962102308021321</v>
      </c>
      <c r="O1641">
        <v>2.449026232177923E-2</v>
      </c>
      <c r="P1641">
        <v>2.1127924216725737E-2</v>
      </c>
      <c r="Q1641">
        <v>2.9032487414881844E-3</v>
      </c>
      <c r="R1641">
        <v>1.926836207031699E-3</v>
      </c>
      <c r="S1641">
        <v>0.20389254328444428</v>
      </c>
      <c r="T1641">
        <v>1.0577270095186122</v>
      </c>
      <c r="U1641">
        <v>3.686510113336508E-2</v>
      </c>
      <c r="V1641">
        <v>0.24258563225545468</v>
      </c>
      <c r="W1641">
        <v>0.11875082800224114</v>
      </c>
      <c r="X1641">
        <v>2.0921921379352153E-2</v>
      </c>
      <c r="Y1641">
        <v>5.2442129741553456E-3</v>
      </c>
    </row>
    <row r="1642" spans="1:25" x14ac:dyDescent="0.25">
      <c r="A1642" s="881"/>
      <c r="B1642" s="1131">
        <v>1392</v>
      </c>
      <c r="C1642" s="885">
        <v>0.98578411098555963</v>
      </c>
      <c r="D1642" s="885">
        <v>0.98015973197513662</v>
      </c>
      <c r="E1642" s="885">
        <v>0.97980186708742945</v>
      </c>
      <c r="F1642" s="885">
        <v>0.98351291400677798</v>
      </c>
      <c r="G1642" s="885">
        <v>0.97581453222712744</v>
      </c>
      <c r="H1642" s="885">
        <v>0.98227992349736626</v>
      </c>
      <c r="I1642" s="885">
        <v>0.99638062779231096</v>
      </c>
      <c r="K1642">
        <v>1.9452972235160433</v>
      </c>
      <c r="L1642">
        <v>0</v>
      </c>
      <c r="M1642">
        <v>2.0509825369762623E-3</v>
      </c>
      <c r="N1642">
        <v>0.19402836537687834</v>
      </c>
      <c r="O1642">
        <v>2.5766218017656588E-2</v>
      </c>
      <c r="P1642">
        <v>2.0936348462028798E-2</v>
      </c>
      <c r="Q1642">
        <v>2.9616316726476678E-3</v>
      </c>
      <c r="R1642">
        <v>2.0385361235098678E-3</v>
      </c>
      <c r="S1642">
        <v>0.20814366289833883</v>
      </c>
      <c r="T1642">
        <v>1.0602356095188021</v>
      </c>
      <c r="U1642">
        <v>3.7858502876055772E-2</v>
      </c>
      <c r="V1642">
        <v>0.25239206717355156</v>
      </c>
      <c r="W1642">
        <v>0.11760504258379988</v>
      </c>
      <c r="X1642">
        <v>1.9833998024808456E-2</v>
      </c>
      <c r="Y1642">
        <v>5.5482233249413496E-3</v>
      </c>
    </row>
    <row r="1643" spans="1:25" x14ac:dyDescent="0.25">
      <c r="A1643" s="881"/>
      <c r="B1643" s="1131">
        <v>1393</v>
      </c>
      <c r="C1643" s="885">
        <v>1.0172687309735899</v>
      </c>
      <c r="D1643" s="885">
        <v>0.98758995248441706</v>
      </c>
      <c r="E1643" s="885">
        <v>1.0364174276021985</v>
      </c>
      <c r="F1643" s="885">
        <v>0.977434044651041</v>
      </c>
      <c r="G1643" s="885">
        <v>1.0068124579403765</v>
      </c>
      <c r="H1643" s="885">
        <v>1.0175739720401362</v>
      </c>
      <c r="I1643" s="885">
        <v>0.99111629236004439</v>
      </c>
      <c r="K1643">
        <v>1.944340936032227</v>
      </c>
      <c r="L1643">
        <v>0</v>
      </c>
      <c r="M1643">
        <v>1.8204112286890695E-3</v>
      </c>
      <c r="N1643">
        <v>0.20540595190234373</v>
      </c>
      <c r="O1643">
        <v>2.4875376397104521E-2</v>
      </c>
      <c r="P1643">
        <v>2.1602156515377394E-2</v>
      </c>
      <c r="Q1643">
        <v>3.0275157632584176E-3</v>
      </c>
      <c r="R1643">
        <v>1.8097415842643753E-3</v>
      </c>
      <c r="S1643">
        <v>0.20344182881409026</v>
      </c>
      <c r="T1643">
        <v>1.0550530075179021</v>
      </c>
      <c r="U1643">
        <v>3.6686776526787611E-2</v>
      </c>
      <c r="V1643">
        <v>0.2469493250569437</v>
      </c>
      <c r="W1643">
        <v>0.1197962205568875</v>
      </c>
      <c r="X1643">
        <v>2.2587926614739372E-2</v>
      </c>
      <c r="Y1643">
        <v>4.9255200112147115E-3</v>
      </c>
    </row>
    <row r="1644" spans="1:25" x14ac:dyDescent="0.25">
      <c r="A1644" s="881"/>
      <c r="B1644" s="1131">
        <v>1394</v>
      </c>
      <c r="C1644" s="885">
        <v>0.9852752202715036</v>
      </c>
      <c r="D1644" s="885">
        <v>1.0010998605582817</v>
      </c>
      <c r="E1644" s="885">
        <v>1.0236005835528099</v>
      </c>
      <c r="F1644" s="885">
        <v>0.99849526452242598</v>
      </c>
      <c r="G1644" s="885">
        <v>1.0247810459393103</v>
      </c>
      <c r="H1644" s="885">
        <v>0.97414370514179849</v>
      </c>
      <c r="I1644" s="885">
        <v>1.0242329358571933</v>
      </c>
      <c r="K1644">
        <v>1.9482303002696855</v>
      </c>
      <c r="L1644">
        <v>0</v>
      </c>
      <c r="M1644">
        <v>1.836367501025727E-3</v>
      </c>
      <c r="N1644">
        <v>0.19907077161931358</v>
      </c>
      <c r="O1644">
        <v>2.5510835200228444E-2</v>
      </c>
      <c r="P1644">
        <v>2.1580832386764344E-2</v>
      </c>
      <c r="Q1644">
        <v>3.068671920902444E-3</v>
      </c>
      <c r="R1644">
        <v>1.8251138636978133E-3</v>
      </c>
      <c r="S1644">
        <v>0.21114819616047947</v>
      </c>
      <c r="T1644">
        <v>1.0562153052043117</v>
      </c>
      <c r="U1644">
        <v>3.7878056641506584E-2</v>
      </c>
      <c r="V1644">
        <v>0.24977476031661655</v>
      </c>
      <c r="W1644">
        <v>0.11710289756476482</v>
      </c>
      <c r="X1644">
        <v>2.1923868603762053E-2</v>
      </c>
      <c r="Y1644">
        <v>4.9673582883619748E-3</v>
      </c>
    </row>
    <row r="1645" spans="1:25" x14ac:dyDescent="0.25">
      <c r="A1645" s="881"/>
      <c r="B1645" s="1131">
        <v>1395</v>
      </c>
      <c r="C1645" s="885">
        <v>1.012763601207777</v>
      </c>
      <c r="D1645" s="885">
        <v>0.99653654666758884</v>
      </c>
      <c r="E1645" s="885">
        <v>0.97248115646363253</v>
      </c>
      <c r="F1645" s="885">
        <v>0.99395370545288164</v>
      </c>
      <c r="G1645" s="885">
        <v>1.0026418685681022</v>
      </c>
      <c r="H1645" s="885">
        <v>0.96870282644037042</v>
      </c>
      <c r="I1645" s="885">
        <v>1.0247291419454267</v>
      </c>
      <c r="K1645">
        <v>1.9173072830221836</v>
      </c>
      <c r="L1645">
        <v>0</v>
      </c>
      <c r="M1645">
        <v>1.9828799830993583E-3</v>
      </c>
      <c r="N1645">
        <v>0.18333720849149504</v>
      </c>
      <c r="O1645">
        <v>2.4874620424139626E-2</v>
      </c>
      <c r="P1645">
        <v>2.0699241988749839E-2</v>
      </c>
      <c r="Q1645">
        <v>2.8412055836201161E-3</v>
      </c>
      <c r="R1645">
        <v>1.9706641063366808E-3</v>
      </c>
      <c r="S1645">
        <v>0.20538980532358736</v>
      </c>
      <c r="T1645">
        <v>1.0609148567421673</v>
      </c>
      <c r="U1645">
        <v>3.6849972250592701E-2</v>
      </c>
      <c r="V1645">
        <v>0.2464572959749986</v>
      </c>
      <c r="W1645">
        <v>0.11169235301007495</v>
      </c>
      <c r="X1645">
        <v>1.8899441041318528E-2</v>
      </c>
      <c r="Y1645">
        <v>5.3634980682003824E-3</v>
      </c>
    </row>
    <row r="1646" spans="1:25" x14ac:dyDescent="0.25">
      <c r="A1646" s="881"/>
      <c r="B1646" s="1131">
        <v>1396</v>
      </c>
      <c r="C1646" s="885">
        <v>1.010312518434733</v>
      </c>
      <c r="D1646" s="885">
        <v>1.0282934327773809</v>
      </c>
      <c r="E1646" s="885">
        <v>1.008469058816434</v>
      </c>
      <c r="F1646" s="885">
        <v>0.98900925622201175</v>
      </c>
      <c r="G1646" s="885">
        <v>0.97024791509443131</v>
      </c>
      <c r="H1646" s="885">
        <v>0.98526841668638343</v>
      </c>
      <c r="I1646" s="885">
        <v>1.0060552955328312</v>
      </c>
      <c r="K1646">
        <v>1.9169185612437192</v>
      </c>
      <c r="L1646">
        <v>0</v>
      </c>
      <c r="M1646">
        <v>1.8455292096159531E-3</v>
      </c>
      <c r="N1646">
        <v>0.19088580694702673</v>
      </c>
      <c r="O1646">
        <v>2.4551412643040966E-2</v>
      </c>
      <c r="P1646">
        <v>2.111382076273188E-2</v>
      </c>
      <c r="Q1646">
        <v>2.9144805174756098E-3</v>
      </c>
      <c r="R1646">
        <v>1.834326472539977E-3</v>
      </c>
      <c r="S1646">
        <v>0.20090116153968032</v>
      </c>
      <c r="T1646">
        <v>1.0575957801069282</v>
      </c>
      <c r="U1646">
        <v>3.6939372639603459E-2</v>
      </c>
      <c r="V1646">
        <v>0.24297193656454141</v>
      </c>
      <c r="W1646">
        <v>0.11344369693540517</v>
      </c>
      <c r="X1646">
        <v>2.06198633516681E-2</v>
      </c>
      <c r="Y1646">
        <v>4.9924319726946578E-3</v>
      </c>
    </row>
    <row r="1647" spans="1:25" x14ac:dyDescent="0.25">
      <c r="A1647" s="881"/>
      <c r="B1647" s="1131">
        <v>1397</v>
      </c>
      <c r="C1647" s="885">
        <v>1.0075982539411459</v>
      </c>
      <c r="D1647" s="885">
        <v>0.99398157146859933</v>
      </c>
      <c r="E1647" s="885">
        <v>0.99589686958562007</v>
      </c>
      <c r="F1647" s="885">
        <v>0.97557270306334665</v>
      </c>
      <c r="G1647" s="885">
        <v>0.98752008045355488</v>
      </c>
      <c r="H1647" s="885">
        <v>1.0011557853286366</v>
      </c>
      <c r="I1647" s="885">
        <v>0.98720037538249816</v>
      </c>
      <c r="K1647">
        <v>1.9326723302990305</v>
      </c>
      <c r="L1647">
        <v>0</v>
      </c>
      <c r="M1647">
        <v>1.9634376636166167E-3</v>
      </c>
      <c r="N1647">
        <v>0.1953142812143781</v>
      </c>
      <c r="O1647">
        <v>2.5033949316099088E-2</v>
      </c>
      <c r="P1647">
        <v>2.1015134755501218E-2</v>
      </c>
      <c r="Q1647">
        <v>2.9275869999604302E-3</v>
      </c>
      <c r="R1647">
        <v>1.9517357518486832E-3</v>
      </c>
      <c r="S1647">
        <v>0.20234390781329459</v>
      </c>
      <c r="T1647">
        <v>1.0587495581868862</v>
      </c>
      <c r="U1647">
        <v>3.7038879786602738E-2</v>
      </c>
      <c r="V1647">
        <v>0.24748699237148278</v>
      </c>
      <c r="W1647">
        <v>0.11707685251502224</v>
      </c>
      <c r="X1647">
        <v>2.0384907924555318E-2</v>
      </c>
      <c r="Y1647">
        <v>5.3119813270144341E-3</v>
      </c>
    </row>
    <row r="1648" spans="1:25" x14ac:dyDescent="0.25">
      <c r="A1648" s="881"/>
      <c r="B1648" s="1131">
        <v>1398</v>
      </c>
      <c r="C1648" s="885">
        <v>0.95743235298870966</v>
      </c>
      <c r="D1648" s="885">
        <v>0.99602811868954699</v>
      </c>
      <c r="E1648" s="885">
        <v>0.99522892776918215</v>
      </c>
      <c r="F1648" s="885">
        <v>1.029931260413065</v>
      </c>
      <c r="G1648" s="885">
        <v>0.978561819044377</v>
      </c>
      <c r="H1648" s="885">
        <v>1.0405317002172014</v>
      </c>
      <c r="I1648" s="885">
        <v>0.9868508672815689</v>
      </c>
      <c r="K1648">
        <v>1.9883933327301719</v>
      </c>
      <c r="L1648">
        <v>0</v>
      </c>
      <c r="M1648">
        <v>2.1484164112449094E-3</v>
      </c>
      <c r="N1648">
        <v>0.21331958586463862</v>
      </c>
      <c r="O1648">
        <v>2.6318807654557234E-2</v>
      </c>
      <c r="P1648">
        <v>2.1324904788988526E-2</v>
      </c>
      <c r="Q1648">
        <v>3.076215497206874E-3</v>
      </c>
      <c r="R1648">
        <v>2.1360948272059759E-3</v>
      </c>
      <c r="S1648">
        <v>0.21678488600553919</v>
      </c>
      <c r="T1648">
        <v>1.0588110289542183</v>
      </c>
      <c r="U1648">
        <v>3.8979579585354814E-2</v>
      </c>
      <c r="V1648">
        <v>0.25459531385276363</v>
      </c>
      <c r="W1648">
        <v>0.12792837220162268</v>
      </c>
      <c r="X1648">
        <v>2.1453213953135212E-2</v>
      </c>
      <c r="Y1648">
        <v>5.8137459561841244E-3</v>
      </c>
    </row>
    <row r="1649" spans="1:25" x14ac:dyDescent="0.25">
      <c r="A1649" s="881"/>
      <c r="B1649" s="1131">
        <v>1399</v>
      </c>
      <c r="C1649" s="885">
        <v>1.0221656743513947</v>
      </c>
      <c r="D1649" s="885">
        <v>1.0019312496191715</v>
      </c>
      <c r="E1649" s="885">
        <v>1.0398360404195175</v>
      </c>
      <c r="F1649" s="885">
        <v>0.97447915510548389</v>
      </c>
      <c r="G1649" s="885">
        <v>0.97679786186145923</v>
      </c>
      <c r="H1649" s="885">
        <v>0.99680087327445654</v>
      </c>
      <c r="I1649" s="885">
        <v>0.96990495277556299</v>
      </c>
      <c r="K1649">
        <v>1.9222758338029888</v>
      </c>
      <c r="L1649">
        <v>0</v>
      </c>
      <c r="M1649">
        <v>1.7493743958912815E-3</v>
      </c>
      <c r="N1649">
        <v>0.19946941453527622</v>
      </c>
      <c r="O1649">
        <v>2.4580036710225059E-2</v>
      </c>
      <c r="P1649">
        <v>2.1493437857906104E-2</v>
      </c>
      <c r="Q1649">
        <v>3.0046794326292203E-3</v>
      </c>
      <c r="R1649">
        <v>1.7388969442059888E-3</v>
      </c>
      <c r="S1649">
        <v>0.19483235949650191</v>
      </c>
      <c r="T1649">
        <v>1.0547440770536385</v>
      </c>
      <c r="U1649">
        <v>3.6511019238244451E-2</v>
      </c>
      <c r="V1649">
        <v>0.24450967305677862</v>
      </c>
      <c r="W1649">
        <v>0.11606922143111686</v>
      </c>
      <c r="X1649">
        <v>2.2339688187451308E-2</v>
      </c>
      <c r="Y1649">
        <v>4.7327042549051013E-3</v>
      </c>
    </row>
    <row r="1650" spans="1:25" x14ac:dyDescent="0.25">
      <c r="A1650" s="881"/>
      <c r="B1650" s="1131">
        <v>1400</v>
      </c>
      <c r="C1650" s="885">
        <v>1.0013271326174724</v>
      </c>
      <c r="D1650" s="885">
        <v>0.99477023434781231</v>
      </c>
      <c r="E1650" s="885">
        <v>0.96951369256586284</v>
      </c>
      <c r="F1650" s="885">
        <v>0.99378399809285367</v>
      </c>
      <c r="G1650" s="885">
        <v>0.9950689362954126</v>
      </c>
      <c r="H1650" s="885">
        <v>1.0112243200585753</v>
      </c>
      <c r="I1650" s="885">
        <v>1.013358482425835</v>
      </c>
      <c r="K1650">
        <v>1.9415489739618927</v>
      </c>
      <c r="L1650">
        <v>0</v>
      </c>
      <c r="M1650">
        <v>2.1084745180552887E-3</v>
      </c>
      <c r="N1650">
        <v>0.19320482209849707</v>
      </c>
      <c r="O1650">
        <v>2.5180836785145381E-2</v>
      </c>
      <c r="P1650">
        <v>2.0746715492988156E-2</v>
      </c>
      <c r="Q1650">
        <v>2.8671213296063416E-3</v>
      </c>
      <c r="R1650">
        <v>2.0960326342391298E-3</v>
      </c>
      <c r="S1650">
        <v>0.20996398827243992</v>
      </c>
      <c r="T1650">
        <v>1.0611907819947271</v>
      </c>
      <c r="U1650">
        <v>3.7270847243858686E-2</v>
      </c>
      <c r="V1650">
        <v>0.24827061010599666</v>
      </c>
      <c r="W1650">
        <v>0.11794803721609687</v>
      </c>
      <c r="X1650">
        <v>1.9212945432927279E-2</v>
      </c>
      <c r="Y1650">
        <v>5.7047098734267316E-3</v>
      </c>
    </row>
    <row r="1651" spans="1:25" x14ac:dyDescent="0.25">
      <c r="A1651" s="881"/>
      <c r="B1651" s="1131">
        <v>1401</v>
      </c>
      <c r="C1651" s="885">
        <v>1.037701693874812</v>
      </c>
      <c r="D1651" s="885">
        <v>1.0338331181947855</v>
      </c>
      <c r="E1651" s="885">
        <v>0.96007055536539387</v>
      </c>
      <c r="F1651" s="885">
        <v>1.0140350926256063</v>
      </c>
      <c r="G1651" s="885">
        <v>0.99527781940825999</v>
      </c>
      <c r="H1651" s="885">
        <v>0.95765937106876675</v>
      </c>
      <c r="I1651" s="885">
        <v>1.0267803028836042</v>
      </c>
      <c r="K1651">
        <v>1.8798054527385941</v>
      </c>
      <c r="L1651">
        <v>0</v>
      </c>
      <c r="M1651">
        <v>1.9282650536403705E-3</v>
      </c>
      <c r="N1651">
        <v>0.17150332262229948</v>
      </c>
      <c r="O1651">
        <v>2.3840181357798775E-2</v>
      </c>
      <c r="P1651">
        <v>2.0285132957374965E-2</v>
      </c>
      <c r="Q1651">
        <v>2.6955075685484295E-3</v>
      </c>
      <c r="R1651">
        <v>1.9162182183219611E-3</v>
      </c>
      <c r="S1651">
        <v>0.19641904509129829</v>
      </c>
      <c r="T1651">
        <v>1.0620711033037802</v>
      </c>
      <c r="U1651">
        <v>3.5964392099584679E-2</v>
      </c>
      <c r="V1651">
        <v>0.238741447016382</v>
      </c>
      <c r="W1651">
        <v>0.10539539332713729</v>
      </c>
      <c r="X1651">
        <v>1.7686659920599274E-2</v>
      </c>
      <c r="Y1651">
        <v>5.2153143091064769E-3</v>
      </c>
    </row>
    <row r="1652" spans="1:25" x14ac:dyDescent="0.25">
      <c r="A1652" s="881"/>
      <c r="B1652" s="1131">
        <v>1402</v>
      </c>
      <c r="C1652" s="885">
        <v>1.011306054661147</v>
      </c>
      <c r="D1652" s="885">
        <v>1.0040380034390972</v>
      </c>
      <c r="E1652" s="885">
        <v>0.97127981205662439</v>
      </c>
      <c r="F1652" s="885">
        <v>0.98842055926039574</v>
      </c>
      <c r="G1652" s="885">
        <v>0.98549759595813502</v>
      </c>
      <c r="H1652" s="885">
        <v>0.96478806518955229</v>
      </c>
      <c r="I1652" s="885">
        <v>1.0336460626628314</v>
      </c>
      <c r="K1652">
        <v>1.9153793470468015</v>
      </c>
      <c r="L1652">
        <v>0</v>
      </c>
      <c r="M1652">
        <v>1.9753606739951247E-3</v>
      </c>
      <c r="N1652">
        <v>0.18195403459819751</v>
      </c>
      <c r="O1652">
        <v>2.4818175560329774E-2</v>
      </c>
      <c r="P1652">
        <v>2.0685731866988497E-2</v>
      </c>
      <c r="Q1652">
        <v>2.8327638256518098E-3</v>
      </c>
      <c r="R1652">
        <v>1.9631353909829318E-3</v>
      </c>
      <c r="S1652">
        <v>0.20635936258702595</v>
      </c>
      <c r="T1652">
        <v>1.061026520929816</v>
      </c>
      <c r="U1652">
        <v>3.6903082334874021E-2</v>
      </c>
      <c r="V1652">
        <v>0.24573622957191416</v>
      </c>
      <c r="W1652">
        <v>0.11094267066523149</v>
      </c>
      <c r="X1652">
        <v>1.8789993002934456E-2</v>
      </c>
      <c r="Y1652">
        <v>5.3430073868478267E-3</v>
      </c>
    </row>
    <row r="1653" spans="1:25" x14ac:dyDescent="0.25">
      <c r="A1653" s="881"/>
      <c r="B1653" s="1131">
        <v>1403</v>
      </c>
      <c r="C1653" s="885">
        <v>0.97594140052802847</v>
      </c>
      <c r="D1653" s="885">
        <v>0.97492521496548701</v>
      </c>
      <c r="E1653" s="885">
        <v>1.0410733323273793</v>
      </c>
      <c r="F1653" s="885">
        <v>1.0114575593494826</v>
      </c>
      <c r="G1653" s="885">
        <v>0.97461567429951712</v>
      </c>
      <c r="H1653" s="885">
        <v>0.95778542627903895</v>
      </c>
      <c r="I1653" s="885">
        <v>0.98561373710963218</v>
      </c>
      <c r="K1653">
        <v>1.954430163366115</v>
      </c>
      <c r="L1653">
        <v>0</v>
      </c>
      <c r="M1653">
        <v>1.7798363787992341E-3</v>
      </c>
      <c r="N1653">
        <v>0.20367557740626491</v>
      </c>
      <c r="O1653">
        <v>2.6095372742066174E-2</v>
      </c>
      <c r="P1653">
        <v>2.1833016652844671E-2</v>
      </c>
      <c r="Q1653">
        <v>3.1876883620456436E-3</v>
      </c>
      <c r="R1653">
        <v>1.7687633451008555E-3</v>
      </c>
      <c r="S1653">
        <v>0.2059491168438877</v>
      </c>
      <c r="T1653">
        <v>1.0546323793579502</v>
      </c>
      <c r="U1653">
        <v>3.8240319122362178E-2</v>
      </c>
      <c r="V1653">
        <v>0.25455789511975146</v>
      </c>
      <c r="W1653">
        <v>0.11841922697914649</v>
      </c>
      <c r="X1653">
        <v>2.303665306080831E-2</v>
      </c>
      <c r="Y1653">
        <v>4.8139907526845195E-3</v>
      </c>
    </row>
    <row r="1654" spans="1:25" x14ac:dyDescent="0.25">
      <c r="A1654" s="881"/>
      <c r="B1654" s="1131">
        <v>1404</v>
      </c>
      <c r="C1654" s="885">
        <v>0.99435166889917748</v>
      </c>
      <c r="D1654" s="885">
        <v>0.96601367262576465</v>
      </c>
      <c r="E1654" s="885">
        <v>0.97243146024690952</v>
      </c>
      <c r="F1654" s="885">
        <v>0.9996791805799885</v>
      </c>
      <c r="G1654" s="885">
        <v>0.96444046646123327</v>
      </c>
      <c r="H1654" s="885">
        <v>0.96820667693591922</v>
      </c>
      <c r="I1654" s="885">
        <v>0.98326184061708899</v>
      </c>
      <c r="K1654">
        <v>1.9343048785890262</v>
      </c>
      <c r="L1654">
        <v>0</v>
      </c>
      <c r="M1654">
        <v>2.0501543602228244E-3</v>
      </c>
      <c r="N1654">
        <v>0.18952998671089782</v>
      </c>
      <c r="O1654">
        <v>2.5729390311627565E-2</v>
      </c>
      <c r="P1654">
        <v>2.077076117772711E-2</v>
      </c>
      <c r="Q1654">
        <v>2.9322701705601904E-3</v>
      </c>
      <c r="R1654">
        <v>2.0375449942612047E-3</v>
      </c>
      <c r="S1654">
        <v>0.20356879403490882</v>
      </c>
      <c r="T1654">
        <v>1.0609194748658697</v>
      </c>
      <c r="U1654">
        <v>3.7532305489297674E-2</v>
      </c>
      <c r="V1654">
        <v>0.25300067597521869</v>
      </c>
      <c r="W1654">
        <v>0.11546910873613704</v>
      </c>
      <c r="X1654">
        <v>1.9319194684889431E-2</v>
      </c>
      <c r="Y1654">
        <v>5.545525797852161E-3</v>
      </c>
    </row>
    <row r="1655" spans="1:25" x14ac:dyDescent="0.25">
      <c r="A1655" s="881"/>
      <c r="B1655" s="1131">
        <v>1405</v>
      </c>
      <c r="C1655" s="885">
        <v>1.0354296807395729</v>
      </c>
      <c r="D1655" s="885">
        <v>1.0253527904971584</v>
      </c>
      <c r="E1655" s="885">
        <v>1.0221120723849015</v>
      </c>
      <c r="F1655" s="885">
        <v>1.0061833176891783</v>
      </c>
      <c r="G1655" s="885">
        <v>1.0286942703266198</v>
      </c>
      <c r="H1655" s="885">
        <v>1.0244204248583573</v>
      </c>
      <c r="I1655" s="885">
        <v>0.96656325465518478</v>
      </c>
      <c r="K1655">
        <v>1.9112437293614453</v>
      </c>
      <c r="L1655">
        <v>0</v>
      </c>
      <c r="M1655">
        <v>1.8217365134342951E-3</v>
      </c>
      <c r="N1655">
        <v>0.1966314048081117</v>
      </c>
      <c r="O1655">
        <v>2.3989710587901576E-2</v>
      </c>
      <c r="P1655">
        <v>2.1135733170733192E-2</v>
      </c>
      <c r="Q1655">
        <v>2.8862217152316604E-3</v>
      </c>
      <c r="R1655">
        <v>1.8111029229559959E-3</v>
      </c>
      <c r="S1655">
        <v>0.19223268576855568</v>
      </c>
      <c r="T1655">
        <v>1.0563507077902854</v>
      </c>
      <c r="U1655">
        <v>3.6043307715749671E-2</v>
      </c>
      <c r="V1655">
        <v>0.23999678939529137</v>
      </c>
      <c r="W1655">
        <v>0.11578395261250803</v>
      </c>
      <c r="X1655">
        <v>2.1274624261186887E-2</v>
      </c>
      <c r="Y1655">
        <v>4.9292251263681241E-3</v>
      </c>
    </row>
    <row r="1656" spans="1:25" x14ac:dyDescent="0.25">
      <c r="A1656" s="881"/>
      <c r="B1656" s="1131">
        <v>1406</v>
      </c>
      <c r="C1656" s="885">
        <v>1.0051518098641963</v>
      </c>
      <c r="D1656" s="885">
        <v>1.0374010844663357</v>
      </c>
      <c r="E1656" s="885">
        <v>1.0133095690485461</v>
      </c>
      <c r="F1656" s="885">
        <v>0.99068796690907646</v>
      </c>
      <c r="G1656" s="885">
        <v>0.97855493990129527</v>
      </c>
      <c r="H1656" s="885">
        <v>1.0226808826320295</v>
      </c>
      <c r="I1656" s="885">
        <v>0.97818851168977095</v>
      </c>
      <c r="K1656">
        <v>1.92837865179009</v>
      </c>
      <c r="L1656">
        <v>0</v>
      </c>
      <c r="M1656">
        <v>1.8976251618456805E-3</v>
      </c>
      <c r="N1656">
        <v>0.19929369236438049</v>
      </c>
      <c r="O1656">
        <v>2.4570463707826545E-2</v>
      </c>
      <c r="P1656">
        <v>2.1157216847929643E-2</v>
      </c>
      <c r="Q1656">
        <v>2.9326594467563431E-3</v>
      </c>
      <c r="R1656">
        <v>1.8865209000431553E-3</v>
      </c>
      <c r="S1656">
        <v>0.19916870472890669</v>
      </c>
      <c r="T1656">
        <v>1.0571531991302647</v>
      </c>
      <c r="U1656">
        <v>3.7129028903563441E-2</v>
      </c>
      <c r="V1656">
        <v>0.2426156179618445</v>
      </c>
      <c r="W1656">
        <v>0.11805183669487514</v>
      </c>
      <c r="X1656">
        <v>2.1182848267076018E-2</v>
      </c>
      <c r="Y1656">
        <v>5.1344879984699067E-3</v>
      </c>
    </row>
    <row r="1657" spans="1:25" x14ac:dyDescent="0.25">
      <c r="A1657" s="881"/>
      <c r="B1657" s="1131">
        <v>1407</v>
      </c>
      <c r="C1657" s="885">
        <v>1.0004926176545885</v>
      </c>
      <c r="D1657" s="885">
        <v>1.0310899149568624</v>
      </c>
      <c r="E1657" s="885">
        <v>1.0294739284413534</v>
      </c>
      <c r="F1657" s="885">
        <v>1.0280447429686383</v>
      </c>
      <c r="G1657" s="885">
        <v>0.99783896076290979</v>
      </c>
      <c r="H1657" s="885">
        <v>0.97693041044106821</v>
      </c>
      <c r="I1657" s="885">
        <v>1.0005620998891025</v>
      </c>
      <c r="K1657">
        <v>1.9224450915681908</v>
      </c>
      <c r="L1657">
        <v>0</v>
      </c>
      <c r="M1657">
        <v>1.7653233640566939E-3</v>
      </c>
      <c r="N1657">
        <v>0.19489222475739085</v>
      </c>
      <c r="O1657">
        <v>2.4759213922957959E-2</v>
      </c>
      <c r="P1657">
        <v>2.1431278736100578E-2</v>
      </c>
      <c r="Q1657">
        <v>3.0017656476987857E-3</v>
      </c>
      <c r="R1657">
        <v>1.754514025843762E-3</v>
      </c>
      <c r="S1657">
        <v>0.20068391903093147</v>
      </c>
      <c r="T1657">
        <v>1.0556818815857034</v>
      </c>
      <c r="U1657">
        <v>3.7301935009181088E-2</v>
      </c>
      <c r="V1657">
        <v>0.24398691275546294</v>
      </c>
      <c r="W1657">
        <v>0.11419346286250794</v>
      </c>
      <c r="X1657">
        <v>2.1748097795512317E-2</v>
      </c>
      <c r="Y1657">
        <v>4.7752088029535426E-3</v>
      </c>
    </row>
    <row r="1658" spans="1:25" x14ac:dyDescent="0.25">
      <c r="A1658" s="881"/>
      <c r="B1658" s="1131">
        <v>1408</v>
      </c>
      <c r="C1658" s="885">
        <v>1.0151506400092727</v>
      </c>
      <c r="D1658" s="885">
        <v>0.98236263665760393</v>
      </c>
      <c r="E1658" s="885">
        <v>0.98259128804329776</v>
      </c>
      <c r="F1658" s="885">
        <v>1.0027991454624916</v>
      </c>
      <c r="G1658" s="885">
        <v>0.99263756749042598</v>
      </c>
      <c r="H1658" s="885">
        <v>1.0066402548934985</v>
      </c>
      <c r="I1658" s="885">
        <v>0.97458376038653283</v>
      </c>
      <c r="K1658">
        <v>1.9288479607125846</v>
      </c>
      <c r="L1658">
        <v>0</v>
      </c>
      <c r="M1658">
        <v>2.0268666241083574E-3</v>
      </c>
      <c r="N1658">
        <v>0.19344893435984029</v>
      </c>
      <c r="O1658">
        <v>2.4992984869893677E-2</v>
      </c>
      <c r="P1658">
        <v>2.0790757653474844E-2</v>
      </c>
      <c r="Q1658">
        <v>2.8813598712666318E-3</v>
      </c>
      <c r="R1658">
        <v>2.0148623326592206E-3</v>
      </c>
      <c r="S1658">
        <v>0.19988440555494758</v>
      </c>
      <c r="T1658">
        <v>1.0599773415931772</v>
      </c>
      <c r="U1658">
        <v>3.6763322732649768E-2</v>
      </c>
      <c r="V1658">
        <v>0.24790228274983489</v>
      </c>
      <c r="W1658">
        <v>0.11702729488392037</v>
      </c>
      <c r="X1658">
        <v>1.9707489664719281E-2</v>
      </c>
      <c r="Y1658">
        <v>5.4837910703089444E-3</v>
      </c>
    </row>
    <row r="1659" spans="1:25" x14ac:dyDescent="0.25">
      <c r="A1659" s="881"/>
      <c r="B1659" s="1131">
        <v>1409</v>
      </c>
      <c r="C1659" s="885">
        <v>1.0042362932762277</v>
      </c>
      <c r="D1659" s="885">
        <v>0.98512230328635875</v>
      </c>
      <c r="E1659" s="885">
        <v>1.039234458852615</v>
      </c>
      <c r="F1659" s="885">
        <v>1.0480118848411064</v>
      </c>
      <c r="G1659" s="885">
        <v>0.99667883985185768</v>
      </c>
      <c r="H1659" s="885">
        <v>1.0256927225514409</v>
      </c>
      <c r="I1659" s="885">
        <v>0.97703047733897497</v>
      </c>
      <c r="K1659">
        <v>1.9564542318652776</v>
      </c>
      <c r="L1659">
        <v>0</v>
      </c>
      <c r="M1659">
        <v>1.8499832744526845E-3</v>
      </c>
      <c r="N1659">
        <v>0.21058507789239939</v>
      </c>
      <c r="O1659">
        <v>2.5229478909811077E-2</v>
      </c>
      <c r="P1659">
        <v>2.1689735069417505E-2</v>
      </c>
      <c r="Q1659">
        <v>3.0785998532739025E-3</v>
      </c>
      <c r="R1659">
        <v>1.839228007024938E-3</v>
      </c>
      <c r="S1659">
        <v>0.20419252714645222</v>
      </c>
      <c r="T1659">
        <v>1.0547984070821015</v>
      </c>
      <c r="U1659">
        <v>3.716287775177176E-2</v>
      </c>
      <c r="V1659">
        <v>0.24908222669710461</v>
      </c>
      <c r="W1659">
        <v>0.12258639634819332</v>
      </c>
      <c r="X1659">
        <v>2.3053888048408504E-2</v>
      </c>
      <c r="Y1659">
        <v>5.0057723337723122E-3</v>
      </c>
    </row>
    <row r="1660" spans="1:25" x14ac:dyDescent="0.25">
      <c r="A1660" s="881"/>
      <c r="B1660" s="1131">
        <v>1410</v>
      </c>
      <c r="C1660" s="885">
        <v>0.99908482832475387</v>
      </c>
      <c r="D1660" s="885">
        <v>1.0149142913886602</v>
      </c>
      <c r="E1660" s="885">
        <v>0.99583488020244693</v>
      </c>
      <c r="F1660" s="885">
        <v>1.0290353976696716</v>
      </c>
      <c r="G1660" s="885">
        <v>1.0130529559632215</v>
      </c>
      <c r="H1660" s="885">
        <v>1.0050118966582775</v>
      </c>
      <c r="I1660" s="885">
        <v>0.99027319577542683</v>
      </c>
      <c r="K1660">
        <v>1.9329936204953218</v>
      </c>
      <c r="L1660">
        <v>0</v>
      </c>
      <c r="M1660">
        <v>1.9676807723375241E-3</v>
      </c>
      <c r="N1660">
        <v>0.19570142649325412</v>
      </c>
      <c r="O1660">
        <v>2.498831272786917E-2</v>
      </c>
      <c r="P1660">
        <v>2.1010539436211579E-2</v>
      </c>
      <c r="Q1660">
        <v>2.9263077189150954E-3</v>
      </c>
      <c r="R1660">
        <v>1.95598171730259E-3</v>
      </c>
      <c r="S1660">
        <v>0.20313931311238875</v>
      </c>
      <c r="T1660">
        <v>1.0587552623464567</v>
      </c>
      <c r="U1660">
        <v>3.7354496377945107E-2</v>
      </c>
      <c r="V1660">
        <v>0.246104236574201</v>
      </c>
      <c r="W1660">
        <v>0.11731390847762452</v>
      </c>
      <c r="X1660">
        <v>2.0387978840190855E-2</v>
      </c>
      <c r="Y1660">
        <v>5.3235374452978322E-3</v>
      </c>
    </row>
    <row r="1661" spans="1:25" x14ac:dyDescent="0.25">
      <c r="A1661" s="881"/>
      <c r="B1661" s="1131">
        <v>1411</v>
      </c>
      <c r="C1661" s="885">
        <v>0.99077462000506067</v>
      </c>
      <c r="D1661" s="885">
        <v>0.97368497931653475</v>
      </c>
      <c r="E1661" s="885">
        <v>0.98609893344466637</v>
      </c>
      <c r="F1661" s="885">
        <v>0.98824533781868495</v>
      </c>
      <c r="G1661" s="885">
        <v>0.98075943313073577</v>
      </c>
      <c r="H1661" s="885">
        <v>1.0295853761166585</v>
      </c>
      <c r="I1661" s="885">
        <v>1.0030916437121264</v>
      </c>
      <c r="K1661">
        <v>1.9676216119941372</v>
      </c>
      <c r="L1661">
        <v>0</v>
      </c>
      <c r="M1661">
        <v>2.1177772894857482E-3</v>
      </c>
      <c r="N1661">
        <v>0.20437393345905597</v>
      </c>
      <c r="O1661">
        <v>2.5720950213502149E-2</v>
      </c>
      <c r="P1661">
        <v>2.1107267776874501E-2</v>
      </c>
      <c r="Q1661">
        <v>2.9739915424194592E-3</v>
      </c>
      <c r="R1661">
        <v>2.1055217074857128E-3</v>
      </c>
      <c r="S1661">
        <v>0.21403846108028418</v>
      </c>
      <c r="T1661">
        <v>1.059653003041259</v>
      </c>
      <c r="U1661">
        <v>3.7667810466043498E-2</v>
      </c>
      <c r="V1661">
        <v>0.25250965986275009</v>
      </c>
      <c r="W1661">
        <v>0.12333675199385581</v>
      </c>
      <c r="X1661">
        <v>2.0521502137360224E-2</v>
      </c>
      <c r="Y1661">
        <v>5.7305360027317788E-3</v>
      </c>
    </row>
    <row r="1662" spans="1:25" x14ac:dyDescent="0.25">
      <c r="A1662" s="881"/>
      <c r="B1662" s="1131">
        <v>1412</v>
      </c>
      <c r="C1662" s="885">
        <v>1.006498515680289</v>
      </c>
      <c r="D1662" s="885">
        <v>1.001338543994124</v>
      </c>
      <c r="E1662" s="885">
        <v>1.0242879294714633</v>
      </c>
      <c r="F1662" s="885">
        <v>0.97091978193517614</v>
      </c>
      <c r="G1662" s="885">
        <v>0.98512935390875422</v>
      </c>
      <c r="H1662" s="885">
        <v>1.0226863508992821</v>
      </c>
      <c r="I1662" s="885">
        <v>0.99319282254446473</v>
      </c>
      <c r="K1662">
        <v>1.9469309762379596</v>
      </c>
      <c r="L1662">
        <v>0</v>
      </c>
      <c r="M1662">
        <v>1.8842621271339449E-3</v>
      </c>
      <c r="N1662">
        <v>0.20475915176017306</v>
      </c>
      <c r="O1662">
        <v>2.4969960748828134E-2</v>
      </c>
      <c r="P1662">
        <v>2.1455487557463449E-2</v>
      </c>
      <c r="Q1662">
        <v>3.0057092966502478E-3</v>
      </c>
      <c r="R1662">
        <v>1.8732628948171077E-3</v>
      </c>
      <c r="S1662">
        <v>0.20525424218801036</v>
      </c>
      <c r="T1662">
        <v>1.0561528099550188</v>
      </c>
      <c r="U1662">
        <v>3.7079349864408133E-2</v>
      </c>
      <c r="V1662">
        <v>0.24672853773082357</v>
      </c>
      <c r="W1662">
        <v>0.12039337393764903</v>
      </c>
      <c r="X1662">
        <v>2.2044948352504399E-2</v>
      </c>
      <c r="Y1662">
        <v>5.0984040787448535E-3</v>
      </c>
    </row>
    <row r="1663" spans="1:25" x14ac:dyDescent="0.25">
      <c r="A1663" s="881"/>
      <c r="B1663" s="1131">
        <v>1413</v>
      </c>
      <c r="C1663" s="885">
        <v>1.008290304344639</v>
      </c>
      <c r="D1663" s="885">
        <v>0.99094173372212246</v>
      </c>
      <c r="E1663" s="885">
        <v>1.0081476352786205</v>
      </c>
      <c r="F1663" s="885">
        <v>0.98278885037531671</v>
      </c>
      <c r="G1663" s="885">
        <v>0.98165895774559919</v>
      </c>
      <c r="H1663" s="885">
        <v>1.018243655121315</v>
      </c>
      <c r="I1663" s="885">
        <v>1.0232975112878122</v>
      </c>
      <c r="K1663">
        <v>1.9508452070029374</v>
      </c>
      <c r="L1663">
        <v>0</v>
      </c>
      <c r="M1663">
        <v>1.9476889101491699E-3</v>
      </c>
      <c r="N1663">
        <v>0.20129394703756559</v>
      </c>
      <c r="O1663">
        <v>2.5054764099988688E-2</v>
      </c>
      <c r="P1663">
        <v>2.1323846928516122E-2</v>
      </c>
      <c r="Q1663">
        <v>2.9656490134957591E-3</v>
      </c>
      <c r="R1663">
        <v>1.9362780926855832E-3</v>
      </c>
      <c r="S1663">
        <v>0.21165689640175486</v>
      </c>
      <c r="T1663">
        <v>1.0576252011100375</v>
      </c>
      <c r="U1663">
        <v>3.7013457771146681E-2</v>
      </c>
      <c r="V1663">
        <v>0.24777488632629185</v>
      </c>
      <c r="W1663">
        <v>0.11965542991489593</v>
      </c>
      <c r="X1663">
        <v>2.1222628542317167E-2</v>
      </c>
      <c r="Y1663">
        <v>5.2699106743884479E-3</v>
      </c>
    </row>
    <row r="1664" spans="1:25" x14ac:dyDescent="0.25">
      <c r="A1664" s="881"/>
      <c r="B1664" s="1131">
        <v>1414</v>
      </c>
      <c r="C1664" s="885">
        <v>0.9769876052036931</v>
      </c>
      <c r="D1664" s="885">
        <v>0.99733775508337386</v>
      </c>
      <c r="E1664" s="885">
        <v>0.99441859698508484</v>
      </c>
      <c r="F1664" s="885">
        <v>0.98477342719064664</v>
      </c>
      <c r="G1664" s="885">
        <v>1.0115671076807404</v>
      </c>
      <c r="H1664" s="885">
        <v>0.98283503765357749</v>
      </c>
      <c r="I1664" s="885">
        <v>1.0255213905816667</v>
      </c>
      <c r="K1664">
        <v>1.9544426882743782</v>
      </c>
      <c r="L1664">
        <v>0</v>
      </c>
      <c r="M1664">
        <v>1.99076952946838E-3</v>
      </c>
      <c r="N1664">
        <v>0.1971018214743574</v>
      </c>
      <c r="O1664">
        <v>2.5775236137740638E-2</v>
      </c>
      <c r="P1664">
        <v>2.1228824275103465E-2</v>
      </c>
      <c r="Q1664">
        <v>3.01049754335051E-3</v>
      </c>
      <c r="R1664">
        <v>1.9786807249772575E-3</v>
      </c>
      <c r="S1664">
        <v>0.21450017953058589</v>
      </c>
      <c r="T1664">
        <v>1.0588856271044031</v>
      </c>
      <c r="U1664">
        <v>3.8199369574536152E-2</v>
      </c>
      <c r="V1664">
        <v>0.251469289058048</v>
      </c>
      <c r="W1664">
        <v>0.11826832655998659</v>
      </c>
      <c r="X1664">
        <v>2.0630289159293769E-2</v>
      </c>
      <c r="Y1664">
        <v>5.3853166614624085E-3</v>
      </c>
    </row>
    <row r="1665" spans="1:25" x14ac:dyDescent="0.25">
      <c r="A1665" s="881"/>
      <c r="B1665" s="1131">
        <v>1415</v>
      </c>
      <c r="C1665" s="885">
        <v>1.0082607908969421</v>
      </c>
      <c r="D1665" s="885">
        <v>0.99089724879371599</v>
      </c>
      <c r="E1665" s="885">
        <v>0.96458290606284136</v>
      </c>
      <c r="F1665" s="885">
        <v>0.95102291195893529</v>
      </c>
      <c r="G1665" s="885">
        <v>1.0198606036925144</v>
      </c>
      <c r="H1665" s="885">
        <v>0.97425992283436658</v>
      </c>
      <c r="I1665" s="885">
        <v>1.013915111042718</v>
      </c>
      <c r="K1665">
        <v>1.9214405875934486</v>
      </c>
      <c r="L1665">
        <v>0</v>
      </c>
      <c r="M1665">
        <v>2.0423195516363676E-3</v>
      </c>
      <c r="N1665">
        <v>0.18424585599849172</v>
      </c>
      <c r="O1665">
        <v>2.5056054972790839E-2</v>
      </c>
      <c r="P1665">
        <v>2.0601556112036963E-2</v>
      </c>
      <c r="Q1665">
        <v>2.8377741861781635E-3</v>
      </c>
      <c r="R1665">
        <v>2.0298141864117953E-3</v>
      </c>
      <c r="S1665">
        <v>0.20523032876311589</v>
      </c>
      <c r="T1665">
        <v>1.0616500169287322</v>
      </c>
      <c r="U1665">
        <v>3.7014541215787032E-2</v>
      </c>
      <c r="V1665">
        <v>0.2477857321326932</v>
      </c>
      <c r="W1665">
        <v>0.11286778180433604</v>
      </c>
      <c r="X1665">
        <v>1.8638965757164845E-2</v>
      </c>
      <c r="Y1665">
        <v>5.5244850873461893E-3</v>
      </c>
    </row>
    <row r="1666" spans="1:25" x14ac:dyDescent="0.25">
      <c r="A1666" s="881"/>
      <c r="B1666" s="1131">
        <v>1416</v>
      </c>
      <c r="C1666" s="885">
        <v>1.0306406562288315</v>
      </c>
      <c r="D1666" s="885">
        <v>1.0185102465131968</v>
      </c>
      <c r="E1666" s="885">
        <v>0.99293510952923592</v>
      </c>
      <c r="F1666" s="885">
        <v>1.0190548306520948</v>
      </c>
      <c r="G1666" s="885">
        <v>1.0111762593817555</v>
      </c>
      <c r="H1666" s="885">
        <v>1.0009845447537071</v>
      </c>
      <c r="I1666" s="885">
        <v>0.99648224337863345</v>
      </c>
      <c r="K1666">
        <v>1.9078161854823625</v>
      </c>
      <c r="L1666">
        <v>0</v>
      </c>
      <c r="M1666">
        <v>1.9080851657161282E-3</v>
      </c>
      <c r="N1666">
        <v>0.18806431522854272</v>
      </c>
      <c r="O1666">
        <v>2.4180954485928351E-2</v>
      </c>
      <c r="P1666">
        <v>2.0811957757281539E-2</v>
      </c>
      <c r="Q1666">
        <v>2.8241839471985237E-3</v>
      </c>
      <c r="R1666">
        <v>1.8966920267926965E-3</v>
      </c>
      <c r="S1666">
        <v>0.19744308955825848</v>
      </c>
      <c r="T1666">
        <v>1.0590222615078968</v>
      </c>
      <c r="U1666">
        <v>3.6210788285292242E-2</v>
      </c>
      <c r="V1666">
        <v>0.24141239312808402</v>
      </c>
      <c r="W1666">
        <v>0.11296060237979284</v>
      </c>
      <c r="X1666">
        <v>1.9734861890438497E-2</v>
      </c>
      <c r="Y1666">
        <v>5.1621704525711253E-3</v>
      </c>
    </row>
    <row r="1667" spans="1:25" x14ac:dyDescent="0.25">
      <c r="A1667" s="881"/>
      <c r="B1667" s="1131">
        <v>1417</v>
      </c>
      <c r="C1667" s="885">
        <v>0.98915743421433866</v>
      </c>
      <c r="D1667" s="885">
        <v>1.0220202354537353</v>
      </c>
      <c r="E1667" s="885">
        <v>1.009402811931897</v>
      </c>
      <c r="F1667" s="885">
        <v>0.95889188241626755</v>
      </c>
      <c r="G1667" s="885">
        <v>1.0236250189565719</v>
      </c>
      <c r="H1667" s="885">
        <v>0.96446994800855057</v>
      </c>
      <c r="I1667" s="885">
        <v>0.98809707038869043</v>
      </c>
      <c r="K1667">
        <v>1.9224088460079962</v>
      </c>
      <c r="L1667">
        <v>0</v>
      </c>
      <c r="M1667">
        <v>1.8471411066596454E-3</v>
      </c>
      <c r="N1667">
        <v>0.19158324227253398</v>
      </c>
      <c r="O1667">
        <v>2.5152303947264212E-2</v>
      </c>
      <c r="P1667">
        <v>2.1176460486296927E-2</v>
      </c>
      <c r="Q1667">
        <v>2.9873410945346107E-3</v>
      </c>
      <c r="R1667">
        <v>1.8356915939144924E-3</v>
      </c>
      <c r="S1667">
        <v>0.20001953572013267</v>
      </c>
      <c r="T1667">
        <v>1.0575103333351392</v>
      </c>
      <c r="U1667">
        <v>3.7729394037825201E-2</v>
      </c>
      <c r="V1667">
        <v>0.24664432299728034</v>
      </c>
      <c r="W1667">
        <v>0.11378591320224231</v>
      </c>
      <c r="X1667">
        <v>2.0835301044425155E-2</v>
      </c>
      <c r="Y1667">
        <v>4.9961473830639497E-3</v>
      </c>
    </row>
    <row r="1668" spans="1:25" x14ac:dyDescent="0.25">
      <c r="A1668" s="881"/>
      <c r="B1668" s="1131">
        <v>1418</v>
      </c>
      <c r="C1668" s="885">
        <v>0.96926928044521876</v>
      </c>
      <c r="D1668" s="885">
        <v>0.96436300018037924</v>
      </c>
      <c r="E1668" s="885">
        <v>1.0070982717453274</v>
      </c>
      <c r="F1668" s="885">
        <v>0.98959312967831303</v>
      </c>
      <c r="G1668" s="885">
        <v>0.99267212022358975</v>
      </c>
      <c r="H1668" s="885">
        <v>1.0130586716801129</v>
      </c>
      <c r="I1668" s="885">
        <v>1.036432361404457</v>
      </c>
      <c r="K1668">
        <v>1.9935790854154738</v>
      </c>
      <c r="L1668">
        <v>0</v>
      </c>
      <c r="M1668">
        <v>2.0476823309136757E-3</v>
      </c>
      <c r="N1668">
        <v>0.21093491046287924</v>
      </c>
      <c r="O1668">
        <v>2.6417669925217567E-2</v>
      </c>
      <c r="P1668">
        <v>2.1642137417433292E-2</v>
      </c>
      <c r="Q1668">
        <v>3.1177151315366432E-3</v>
      </c>
      <c r="R1668">
        <v>2.0356472095697143E-3</v>
      </c>
      <c r="S1668">
        <v>0.22524486894719592</v>
      </c>
      <c r="T1668">
        <v>1.0577212810271588</v>
      </c>
      <c r="U1668">
        <v>3.8503552473853668E-2</v>
      </c>
      <c r="V1668">
        <v>0.25700810785979111</v>
      </c>
      <c r="W1668">
        <v>0.12547590482143423</v>
      </c>
      <c r="X1668">
        <v>2.1984611816790799E-2</v>
      </c>
      <c r="Y1668">
        <v>5.540360653526478E-3</v>
      </c>
    </row>
    <row r="1669" spans="1:25" x14ac:dyDescent="0.25">
      <c r="A1669" s="881"/>
      <c r="B1669" s="1131">
        <v>1419</v>
      </c>
      <c r="C1669" s="885">
        <v>1.0006424347839076</v>
      </c>
      <c r="D1669" s="885">
        <v>0.9872757649005327</v>
      </c>
      <c r="E1669" s="885">
        <v>1.0109765398546735</v>
      </c>
      <c r="F1669" s="885">
        <v>0.99953191781795792</v>
      </c>
      <c r="G1669" s="885">
        <v>0.96990943980664135</v>
      </c>
      <c r="H1669" s="885">
        <v>0.99216187137100054</v>
      </c>
      <c r="I1669" s="885">
        <v>0.95757550916220846</v>
      </c>
      <c r="K1669">
        <v>1.9335249312650338</v>
      </c>
      <c r="L1669">
        <v>0</v>
      </c>
      <c r="M1669">
        <v>1.9044223824772946E-3</v>
      </c>
      <c r="N1669">
        <v>0.19853054274020293</v>
      </c>
      <c r="O1669">
        <v>2.5292686490384481E-2</v>
      </c>
      <c r="P1669">
        <v>2.1193590434154898E-2</v>
      </c>
      <c r="Q1669">
        <v>3.001511933592018E-3</v>
      </c>
      <c r="R1669">
        <v>1.8929747007736385E-3</v>
      </c>
      <c r="S1669">
        <v>0.19737558996500543</v>
      </c>
      <c r="T1669">
        <v>1.0573664001377596</v>
      </c>
      <c r="U1669">
        <v>3.7296350128281683E-2</v>
      </c>
      <c r="V1669">
        <v>0.24931793426883028</v>
      </c>
      <c r="W1669">
        <v>0.11778608015089286</v>
      </c>
      <c r="X1669">
        <v>2.1223639581068793E-2</v>
      </c>
      <c r="Y1669">
        <v>5.1520531165634431E-3</v>
      </c>
    </row>
    <row r="1670" spans="1:25" x14ac:dyDescent="0.25">
      <c r="A1670" s="881"/>
      <c r="B1670" s="1131">
        <v>1420</v>
      </c>
      <c r="C1670" s="885">
        <v>0.9676023270851436</v>
      </c>
      <c r="D1670" s="885">
        <v>0.99138827226206927</v>
      </c>
      <c r="E1670" s="885">
        <v>0.98547804332621325</v>
      </c>
      <c r="F1670" s="885">
        <v>1.0382700166032552</v>
      </c>
      <c r="G1670" s="885">
        <v>0.98127524069798144</v>
      </c>
      <c r="H1670" s="885">
        <v>0.99344443472341382</v>
      </c>
      <c r="I1670" s="885">
        <v>0.99208234719861843</v>
      </c>
      <c r="K1670">
        <v>1.960024678279138</v>
      </c>
      <c r="L1670">
        <v>0</v>
      </c>
      <c r="M1670">
        <v>2.0764735845309268E-3</v>
      </c>
      <c r="N1670">
        <v>0.19995697715324379</v>
      </c>
      <c r="O1670">
        <v>2.6102495944739477E-2</v>
      </c>
      <c r="P1670">
        <v>2.1087322311247408E-2</v>
      </c>
      <c r="Q1670">
        <v>3.0200304110952004E-3</v>
      </c>
      <c r="R1670">
        <v>2.0640041913340505E-3</v>
      </c>
      <c r="S1670">
        <v>0.21120064297470048</v>
      </c>
      <c r="T1670">
        <v>1.0597103795802547</v>
      </c>
      <c r="U1670">
        <v>3.8569885123511977E-2</v>
      </c>
      <c r="V1670">
        <v>0.25364425428159054</v>
      </c>
      <c r="W1670">
        <v>0.12072297103690165</v>
      </c>
      <c r="X1670">
        <v>2.0404649845037301E-2</v>
      </c>
      <c r="Y1670">
        <v>5.617539010012473E-3</v>
      </c>
    </row>
    <row r="1671" spans="1:25" x14ac:dyDescent="0.25">
      <c r="A1671" s="881"/>
      <c r="B1671" s="1131">
        <v>1421</v>
      </c>
      <c r="C1671" s="885">
        <v>1.0010697814202378</v>
      </c>
      <c r="D1671" s="885">
        <v>0.99742797218255974</v>
      </c>
      <c r="E1671" s="885">
        <v>1.0443403099272994</v>
      </c>
      <c r="F1671" s="885">
        <v>0.99584998886002118</v>
      </c>
      <c r="G1671" s="885">
        <v>0.98909552831669856</v>
      </c>
      <c r="H1671" s="885">
        <v>0.97676658427185292</v>
      </c>
      <c r="I1671" s="885">
        <v>1.0027895374134475</v>
      </c>
      <c r="K1671">
        <v>1.9385737576611335</v>
      </c>
      <c r="L1671">
        <v>0</v>
      </c>
      <c r="M1671">
        <v>1.7375768851094913E-3</v>
      </c>
      <c r="N1671">
        <v>0.20088694427934226</v>
      </c>
      <c r="O1671">
        <v>2.5154049009815695E-2</v>
      </c>
      <c r="P1671">
        <v>2.1747423896367024E-2</v>
      </c>
      <c r="Q1671">
        <v>3.0875103054309539E-3</v>
      </c>
      <c r="R1671">
        <v>1.7269599549211933E-3</v>
      </c>
      <c r="S1671">
        <v>0.20407534504296612</v>
      </c>
      <c r="T1671">
        <v>1.0543377383758519</v>
      </c>
      <c r="U1671">
        <v>3.7280428690964741E-2</v>
      </c>
      <c r="V1671">
        <v>0.24797411897342708</v>
      </c>
      <c r="W1671">
        <v>0.11654469531697598</v>
      </c>
      <c r="X1671">
        <v>2.2795904995081502E-2</v>
      </c>
      <c r="Y1671">
        <v>4.7002157050993493E-3</v>
      </c>
    </row>
    <row r="1672" spans="1:25" x14ac:dyDescent="0.25">
      <c r="A1672" s="881"/>
      <c r="B1672" s="1131">
        <v>1422</v>
      </c>
      <c r="C1672" s="885">
        <v>1.0275607718663096</v>
      </c>
      <c r="D1672" s="885">
        <v>1.0199219110804929</v>
      </c>
      <c r="E1672" s="885">
        <v>1.0081739767091418</v>
      </c>
      <c r="F1672" s="885">
        <v>1.0214116779815254</v>
      </c>
      <c r="G1672" s="885">
        <v>1.0347194798445927</v>
      </c>
      <c r="H1672" s="885">
        <v>0.99592107995423418</v>
      </c>
      <c r="I1672" s="885">
        <v>1.0228893532641141</v>
      </c>
      <c r="K1672">
        <v>1.9155844221960059</v>
      </c>
      <c r="L1672">
        <v>0</v>
      </c>
      <c r="M1672">
        <v>1.842721871986211E-3</v>
      </c>
      <c r="N1672">
        <v>0.1904337389026835</v>
      </c>
      <c r="O1672">
        <v>2.4236852946641171E-2</v>
      </c>
      <c r="P1672">
        <v>2.1106913621483286E-2</v>
      </c>
      <c r="Q1672">
        <v>2.874668511143904E-3</v>
      </c>
      <c r="R1672">
        <v>1.8316620226759253E-3</v>
      </c>
      <c r="S1672">
        <v>0.20264886724918574</v>
      </c>
      <c r="T1672">
        <v>1.05762278983657</v>
      </c>
      <c r="U1672">
        <v>3.631932205151607E-2</v>
      </c>
      <c r="V1672">
        <v>0.24165032737928455</v>
      </c>
      <c r="W1672">
        <v>0.1131977531797905</v>
      </c>
      <c r="X1672">
        <v>2.0519068148515146E-2</v>
      </c>
      <c r="Y1672">
        <v>4.985180218500372E-3</v>
      </c>
    </row>
    <row r="1673" spans="1:25" x14ac:dyDescent="0.25">
      <c r="A1673" s="881"/>
      <c r="B1673" s="1131">
        <v>1423</v>
      </c>
      <c r="C1673" s="885">
        <v>0.99220580543991654</v>
      </c>
      <c r="D1673" s="885">
        <v>1.0345557392956599</v>
      </c>
      <c r="E1673" s="885">
        <v>1.0196637575817067</v>
      </c>
      <c r="F1673" s="885">
        <v>0.99721735068740092</v>
      </c>
      <c r="G1673" s="885">
        <v>0.99536995566695319</v>
      </c>
      <c r="H1673" s="885">
        <v>0.99221015845960969</v>
      </c>
      <c r="I1673" s="885">
        <v>0.98962339705574109</v>
      </c>
      <c r="K1673">
        <v>1.9297100287193401</v>
      </c>
      <c r="L1673">
        <v>0</v>
      </c>
      <c r="M1673">
        <v>1.8427429209253313E-3</v>
      </c>
      <c r="N1673">
        <v>0.19735347307498902</v>
      </c>
      <c r="O1673">
        <v>2.492474963247214E-2</v>
      </c>
      <c r="P1673">
        <v>2.1314544760742533E-2</v>
      </c>
      <c r="Q1673">
        <v>2.993270487736956E-3</v>
      </c>
      <c r="R1673">
        <v>1.8316307450549399E-3</v>
      </c>
      <c r="S1673">
        <v>0.20135797972237171</v>
      </c>
      <c r="T1673">
        <v>1.0565736074842431</v>
      </c>
      <c r="U1673">
        <v>3.7613477361554133E-2</v>
      </c>
      <c r="V1673">
        <v>0.24472638901448171</v>
      </c>
      <c r="W1673">
        <v>0.11640115926041769</v>
      </c>
      <c r="X1673">
        <v>2.147739500507434E-2</v>
      </c>
      <c r="Y1673">
        <v>4.9850950911267131E-3</v>
      </c>
    </row>
    <row r="1674" spans="1:25" x14ac:dyDescent="0.25">
      <c r="A1674" s="881"/>
      <c r="B1674" s="1131">
        <v>1424</v>
      </c>
      <c r="C1674" s="885">
        <v>1.0286327535131796</v>
      </c>
      <c r="D1674" s="885">
        <v>1.0431255066693506</v>
      </c>
      <c r="E1674" s="885">
        <v>1.0235461178607463</v>
      </c>
      <c r="F1674" s="885">
        <v>1.0134696525695566</v>
      </c>
      <c r="G1674" s="885">
        <v>0.9738541907438526</v>
      </c>
      <c r="H1674" s="885">
        <v>0.97324974185212809</v>
      </c>
      <c r="I1674" s="885">
        <v>1.0083859879127488</v>
      </c>
      <c r="K1674">
        <v>1.8967276563931161</v>
      </c>
      <c r="L1674">
        <v>0</v>
      </c>
      <c r="M1674">
        <v>1.7222717330436089E-3</v>
      </c>
      <c r="N1674">
        <v>0.18666636789718996</v>
      </c>
      <c r="O1674">
        <v>2.394462935644075E-2</v>
      </c>
      <c r="P1674">
        <v>2.1186615063209648E-2</v>
      </c>
      <c r="Q1674">
        <v>2.8883086644985864E-3</v>
      </c>
      <c r="R1674">
        <v>1.7116777439615766E-3</v>
      </c>
      <c r="S1674">
        <v>0.19532375479521849</v>
      </c>
      <c r="T1674">
        <v>1.0562202581546138</v>
      </c>
      <c r="U1674">
        <v>3.6281472151701931E-2</v>
      </c>
      <c r="V1674">
        <v>0.23886500453291012</v>
      </c>
      <c r="W1674">
        <v>0.10981006292222902</v>
      </c>
      <c r="X1674">
        <v>2.0893154279537755E-2</v>
      </c>
      <c r="Y1674">
        <v>4.6586225646467619E-3</v>
      </c>
    </row>
    <row r="1675" spans="1:25" x14ac:dyDescent="0.25">
      <c r="A1675" s="881"/>
      <c r="B1675" s="1131">
        <v>1425</v>
      </c>
      <c r="C1675" s="885">
        <v>0.97056312522826615</v>
      </c>
      <c r="D1675" s="885">
        <v>0.98160916127393305</v>
      </c>
      <c r="E1675" s="885">
        <v>1.026229365829229</v>
      </c>
      <c r="F1675" s="885">
        <v>0.99321114799596866</v>
      </c>
      <c r="G1675" s="885">
        <v>1.0280468634667559</v>
      </c>
      <c r="H1675" s="885">
        <v>0.97079438082011138</v>
      </c>
      <c r="I1675" s="885">
        <v>1.0320444836022107</v>
      </c>
      <c r="K1675">
        <v>1.9686742267005481</v>
      </c>
      <c r="L1675">
        <v>0</v>
      </c>
      <c r="M1675">
        <v>1.8655735988482231E-3</v>
      </c>
      <c r="N1675">
        <v>0.20389192581091931</v>
      </c>
      <c r="O1675">
        <v>2.6151114069738305E-2</v>
      </c>
      <c r="P1675">
        <v>2.1781873591137042E-2</v>
      </c>
      <c r="Q1675">
        <v>3.1495634381993988E-3</v>
      </c>
      <c r="R1675">
        <v>1.8541172162158965E-3</v>
      </c>
      <c r="S1675">
        <v>0.21757872417127458</v>
      </c>
      <c r="T1675">
        <v>1.0559763894294918</v>
      </c>
      <c r="U1675">
        <v>3.8452223900572707E-2</v>
      </c>
      <c r="V1675">
        <v>0.25447866751354642</v>
      </c>
      <c r="W1675">
        <v>0.11972708833373817</v>
      </c>
      <c r="X1675">
        <v>2.2451816971599661E-2</v>
      </c>
      <c r="Y1675">
        <v>5.0462958529636096E-3</v>
      </c>
    </row>
    <row r="1676" spans="1:25" x14ac:dyDescent="0.25">
      <c r="A1676" s="881"/>
      <c r="B1676" s="1131">
        <v>1426</v>
      </c>
      <c r="C1676" s="885">
        <v>0.98702436147811357</v>
      </c>
      <c r="D1676" s="885">
        <v>0.99397322817577061</v>
      </c>
      <c r="E1676" s="885">
        <v>1.019528200327575</v>
      </c>
      <c r="F1676" s="885">
        <v>1.0117468577528959</v>
      </c>
      <c r="G1676" s="885">
        <v>0.97709983784413323</v>
      </c>
      <c r="H1676" s="885">
        <v>0.98785730261357174</v>
      </c>
      <c r="I1676" s="885">
        <v>1.0251104291374256</v>
      </c>
      <c r="K1676">
        <v>1.9552842595700048</v>
      </c>
      <c r="L1676">
        <v>0</v>
      </c>
      <c r="M1676">
        <v>1.8816218945710327E-3</v>
      </c>
      <c r="N1676">
        <v>0.20143046831815431</v>
      </c>
      <c r="O1676">
        <v>2.5555872272164003E-2</v>
      </c>
      <c r="P1676">
        <v>2.1556738365098225E-2</v>
      </c>
      <c r="Q1676">
        <v>3.0601535537448793E-3</v>
      </c>
      <c r="R1676">
        <v>1.8702566377768756E-3</v>
      </c>
      <c r="S1676">
        <v>0.21309283998466422</v>
      </c>
      <c r="T1676">
        <v>1.0565859557470172</v>
      </c>
      <c r="U1676">
        <v>3.7810931581291556E-2</v>
      </c>
      <c r="V1676">
        <v>0.25042647514832705</v>
      </c>
      <c r="W1676">
        <v>0.11881668488353495</v>
      </c>
      <c r="X1676">
        <v>2.1869282934706292E-2</v>
      </c>
      <c r="Y1676">
        <v>5.0902220380937089E-3</v>
      </c>
    </row>
    <row r="1677" spans="1:25" x14ac:dyDescent="0.25">
      <c r="A1677" s="881"/>
      <c r="B1677" s="1131">
        <v>1427</v>
      </c>
      <c r="C1677" s="885">
        <v>1.0180638358141407</v>
      </c>
      <c r="D1677" s="885">
        <v>0.96578567326679099</v>
      </c>
      <c r="E1677" s="885">
        <v>0.97682941628280051</v>
      </c>
      <c r="F1677" s="885">
        <v>1.0035197988686999</v>
      </c>
      <c r="G1677" s="885">
        <v>0.98368722412951071</v>
      </c>
      <c r="H1677" s="885">
        <v>1.0023566281742808</v>
      </c>
      <c r="I1677" s="885">
        <v>0.96791686245745734</v>
      </c>
      <c r="K1677">
        <v>1.9291463830927567</v>
      </c>
      <c r="L1677">
        <v>0</v>
      </c>
      <c r="M1677">
        <v>2.0542363170781785E-3</v>
      </c>
      <c r="N1677">
        <v>0.19256919249929705</v>
      </c>
      <c r="O1677">
        <v>2.5133066483498626E-2</v>
      </c>
      <c r="P1677">
        <v>2.071813520459434E-2</v>
      </c>
      <c r="Q1677">
        <v>2.877132438115295E-3</v>
      </c>
      <c r="R1677">
        <v>2.0420325001134615E-3</v>
      </c>
      <c r="S1677">
        <v>0.19908866973499387</v>
      </c>
      <c r="T1677">
        <v>1.060511155967619</v>
      </c>
      <c r="U1677">
        <v>3.6658124262976099E-2</v>
      </c>
      <c r="V1677">
        <v>0.24962932699159829</v>
      </c>
      <c r="W1677">
        <v>0.11696188109500201</v>
      </c>
      <c r="X1677">
        <v>1.9454162922549562E-2</v>
      </c>
      <c r="Y1677">
        <v>5.557739309476094E-3</v>
      </c>
    </row>
    <row r="1678" spans="1:25" x14ac:dyDescent="0.25">
      <c r="A1678" s="881"/>
      <c r="B1678" s="1131">
        <v>1428</v>
      </c>
      <c r="C1678" s="885">
        <v>0.99371153424183767</v>
      </c>
      <c r="D1678" s="885">
        <v>0.99851389406928592</v>
      </c>
      <c r="E1678" s="885">
        <v>1.0007317767032338</v>
      </c>
      <c r="F1678" s="885">
        <v>1.0087136386601443</v>
      </c>
      <c r="G1678" s="885">
        <v>0.9972166492260478</v>
      </c>
      <c r="H1678" s="885">
        <v>0.99799736274093154</v>
      </c>
      <c r="I1678" s="885">
        <v>1.0100887413666346</v>
      </c>
      <c r="K1678">
        <v>1.9457028604001976</v>
      </c>
      <c r="L1678">
        <v>0</v>
      </c>
      <c r="M1678">
        <v>1.960078299841054E-3</v>
      </c>
      <c r="N1678">
        <v>0.19793139315400274</v>
      </c>
      <c r="O1678">
        <v>2.5326661178353006E-2</v>
      </c>
      <c r="P1678">
        <v>2.120444156428922E-2</v>
      </c>
      <c r="Q1678">
        <v>2.9772065296251593E-3</v>
      </c>
      <c r="R1678">
        <v>1.9483557381328393E-3</v>
      </c>
      <c r="S1678">
        <v>0.20916513404258719</v>
      </c>
      <c r="T1678">
        <v>1.05830511901599</v>
      </c>
      <c r="U1678">
        <v>3.7556483259893719E-2</v>
      </c>
      <c r="V1678">
        <v>0.24888412424649564</v>
      </c>
      <c r="W1678">
        <v>0.11825330180830404</v>
      </c>
      <c r="X1678">
        <v>2.0807936118463061E-2</v>
      </c>
      <c r="Y1678">
        <v>5.3027820439011273E-3</v>
      </c>
    </row>
    <row r="1679" spans="1:25" x14ac:dyDescent="0.25">
      <c r="A1679" s="881"/>
      <c r="B1679" s="1131">
        <v>1429</v>
      </c>
      <c r="C1679" s="885">
        <v>0.98066403850069905</v>
      </c>
      <c r="D1679" s="885">
        <v>1.0075243337647575</v>
      </c>
      <c r="E1679" s="885">
        <v>1.0137342926864319</v>
      </c>
      <c r="F1679" s="885">
        <v>1.011729921858799</v>
      </c>
      <c r="G1679" s="885">
        <v>1.0103321919931987</v>
      </c>
      <c r="H1679" s="885">
        <v>1.0391017184556979</v>
      </c>
      <c r="I1679" s="885">
        <v>0.9833547416097933</v>
      </c>
      <c r="K1679">
        <v>1.9672978572496531</v>
      </c>
      <c r="L1679">
        <v>0</v>
      </c>
      <c r="M1679">
        <v>2.0031254808629824E-3</v>
      </c>
      <c r="N1679">
        <v>0.21067354331342214</v>
      </c>
      <c r="O1679">
        <v>2.5549808303425282E-2</v>
      </c>
      <c r="P1679">
        <v>2.1417425287701908E-2</v>
      </c>
      <c r="Q1679">
        <v>3.0446951270066296E-3</v>
      </c>
      <c r="R1679">
        <v>1.9916122136413084E-3</v>
      </c>
      <c r="S1679">
        <v>0.20964537638126846</v>
      </c>
      <c r="T1679">
        <v>1.0571144091498981</v>
      </c>
      <c r="U1679">
        <v>3.8056163105536618E-2</v>
      </c>
      <c r="V1679">
        <v>0.24964283264493839</v>
      </c>
      <c r="W1679">
        <v>0.12475678277257241</v>
      </c>
      <c r="X1679">
        <v>2.1987822520363475E-2</v>
      </c>
      <c r="Y1679">
        <v>5.4205119107418624E-3</v>
      </c>
    </row>
    <row r="1680" spans="1:25" x14ac:dyDescent="0.25">
      <c r="A1680" s="881"/>
      <c r="B1680" s="1131">
        <v>1430</v>
      </c>
      <c r="C1680" s="885">
        <v>0.97103335529502799</v>
      </c>
      <c r="D1680" s="885">
        <v>1.040261476548813</v>
      </c>
      <c r="E1680" s="885">
        <v>1.0081909479954081</v>
      </c>
      <c r="F1680" s="885">
        <v>0.99926807352130032</v>
      </c>
      <c r="G1680" s="885">
        <v>0.99944106498876084</v>
      </c>
      <c r="H1680" s="885">
        <v>0.99915505845757857</v>
      </c>
      <c r="I1680" s="885">
        <v>0.98427024371183858</v>
      </c>
      <c r="K1680">
        <v>1.9432876648259363</v>
      </c>
      <c r="L1680">
        <v>0</v>
      </c>
      <c r="M1680">
        <v>1.9373208933740102E-3</v>
      </c>
      <c r="N1680">
        <v>0.20022280332722997</v>
      </c>
      <c r="O1680">
        <v>2.5399317371408225E-2</v>
      </c>
      <c r="P1680">
        <v>2.1240293825754174E-2</v>
      </c>
      <c r="Q1680">
        <v>3.0166924156227767E-3</v>
      </c>
      <c r="R1680">
        <v>1.9257152411384911E-3</v>
      </c>
      <c r="S1680">
        <v>0.20482100096893116</v>
      </c>
      <c r="T1680">
        <v>1.0576212363129471</v>
      </c>
      <c r="U1680">
        <v>3.843360312744136E-2</v>
      </c>
      <c r="V1680">
        <v>0.24705983494518774</v>
      </c>
      <c r="W1680">
        <v>0.11901520134172332</v>
      </c>
      <c r="X1680">
        <v>2.122812476740716E-2</v>
      </c>
      <c r="Y1680">
        <v>5.2411620745203402E-3</v>
      </c>
    </row>
    <row r="1681" spans="1:25" x14ac:dyDescent="0.25">
      <c r="A1681" s="881"/>
      <c r="B1681" s="1131">
        <v>1431</v>
      </c>
      <c r="C1681" s="885">
        <v>1.0298307771417829</v>
      </c>
      <c r="D1681" s="885">
        <v>0.99842985308619148</v>
      </c>
      <c r="E1681" s="885">
        <v>0.99152120531856269</v>
      </c>
      <c r="F1681" s="885">
        <v>0.99511587699142423</v>
      </c>
      <c r="G1681" s="885">
        <v>1.0236253707287011</v>
      </c>
      <c r="H1681" s="885">
        <v>1.013379144126848</v>
      </c>
      <c r="I1681" s="885">
        <v>1.0115978919959379</v>
      </c>
      <c r="K1681">
        <v>1.924079933682064</v>
      </c>
      <c r="L1681">
        <v>0</v>
      </c>
      <c r="M1681">
        <v>1.9581565357661389E-3</v>
      </c>
      <c r="N1681">
        <v>0.19216753249787713</v>
      </c>
      <c r="O1681">
        <v>2.4439397903884129E-2</v>
      </c>
      <c r="P1681">
        <v>2.0910211030234313E-2</v>
      </c>
      <c r="Q1681">
        <v>2.8463579628520571E-3</v>
      </c>
      <c r="R1681">
        <v>1.946623293619672E-3</v>
      </c>
      <c r="S1681">
        <v>0.20366870666688186</v>
      </c>
      <c r="T1681">
        <v>1.0591525667252604</v>
      </c>
      <c r="U1681">
        <v>3.6239265158200633E-2</v>
      </c>
      <c r="V1681">
        <v>0.24390283201547197</v>
      </c>
      <c r="W1681">
        <v>0.11553752601144862</v>
      </c>
      <c r="X1681">
        <v>1.9929004051061853E-2</v>
      </c>
      <c r="Y1681">
        <v>5.2980669010364682E-3</v>
      </c>
    </row>
    <row r="1682" spans="1:25" x14ac:dyDescent="0.25">
      <c r="A1682" s="881"/>
      <c r="B1682" s="1131">
        <v>1432</v>
      </c>
      <c r="C1682" s="885">
        <v>1.0297714900981039</v>
      </c>
      <c r="D1682" s="885">
        <v>0.97166649802423333</v>
      </c>
      <c r="E1682" s="885">
        <v>1.0205054004658902</v>
      </c>
      <c r="F1682" s="885">
        <v>0.99136188891365062</v>
      </c>
      <c r="G1682" s="885">
        <v>0.98441851525546087</v>
      </c>
      <c r="H1682" s="885">
        <v>0.99078373102276873</v>
      </c>
      <c r="I1682" s="885">
        <v>0.97370254111594312</v>
      </c>
      <c r="K1682">
        <v>1.9232321163432728</v>
      </c>
      <c r="L1682">
        <v>0</v>
      </c>
      <c r="M1682">
        <v>1.8255533858810978E-3</v>
      </c>
      <c r="N1682">
        <v>0.19602780737183498</v>
      </c>
      <c r="O1682">
        <v>2.4772443094558182E-2</v>
      </c>
      <c r="P1682">
        <v>2.1272860555594589E-2</v>
      </c>
      <c r="Q1682">
        <v>2.964495665120026E-3</v>
      </c>
      <c r="R1682">
        <v>1.8145767697771832E-3</v>
      </c>
      <c r="S1682">
        <v>0.19632475580962672</v>
      </c>
      <c r="T1682">
        <v>1.0564969561219431</v>
      </c>
      <c r="U1682">
        <v>3.6241351561754238E-2</v>
      </c>
      <c r="V1682">
        <v>0.24725062115439203</v>
      </c>
      <c r="W1682">
        <v>0.11555362739310741</v>
      </c>
      <c r="X1682">
        <v>2.1399494439181769E-2</v>
      </c>
      <c r="Y1682">
        <v>4.9386797922620984E-3</v>
      </c>
    </row>
    <row r="1683" spans="1:25" x14ac:dyDescent="0.25">
      <c r="A1683" s="881"/>
      <c r="B1683" s="1131">
        <v>1433</v>
      </c>
      <c r="C1683" s="885">
        <v>0.99044132689484909</v>
      </c>
      <c r="D1683" s="885">
        <v>0.99727870700393895</v>
      </c>
      <c r="E1683" s="885">
        <v>1.0028704355634253</v>
      </c>
      <c r="F1683" s="885">
        <v>1.0064485099897507</v>
      </c>
      <c r="G1683" s="885">
        <v>1.0110747632879646</v>
      </c>
      <c r="H1683" s="885">
        <v>1.0027628819048426</v>
      </c>
      <c r="I1683" s="885">
        <v>0.98510734268854327</v>
      </c>
      <c r="K1683">
        <v>1.9459441638947073</v>
      </c>
      <c r="L1683">
        <v>0</v>
      </c>
      <c r="M1683">
        <v>1.9682635426772456E-3</v>
      </c>
      <c r="N1683">
        <v>0.20009046285547313</v>
      </c>
      <c r="O1683">
        <v>2.5425862033828378E-2</v>
      </c>
      <c r="P1683">
        <v>2.1192439039136993E-2</v>
      </c>
      <c r="Q1683">
        <v>2.9950349039503132E-3</v>
      </c>
      <c r="R1683">
        <v>1.956548976391667E-3</v>
      </c>
      <c r="S1683">
        <v>0.2052622972947114</v>
      </c>
      <c r="T1683">
        <v>1.0581088175528441</v>
      </c>
      <c r="U1683">
        <v>3.7680486049507279E-2</v>
      </c>
      <c r="V1683">
        <v>0.24950917335256101</v>
      </c>
      <c r="W1683">
        <v>0.11936864203920805</v>
      </c>
      <c r="X1683">
        <v>2.0997582002231674E-2</v>
      </c>
      <c r="Y1683">
        <v>5.3250813375413921E-3</v>
      </c>
    </row>
    <row r="1684" spans="1:25" x14ac:dyDescent="0.25">
      <c r="A1684" s="881"/>
      <c r="B1684" s="1131">
        <v>1434</v>
      </c>
      <c r="C1684" s="885">
        <v>0.98733927343661687</v>
      </c>
      <c r="D1684" s="885">
        <v>0.9701863087312852</v>
      </c>
      <c r="E1684" s="885">
        <v>1.0193870419782627</v>
      </c>
      <c r="F1684" s="885">
        <v>1.0007269472991165</v>
      </c>
      <c r="G1684" s="885">
        <v>1.0260494184791593</v>
      </c>
      <c r="H1684" s="885">
        <v>1.0021276381423312</v>
      </c>
      <c r="I1684" s="885">
        <v>0.99372727109621128</v>
      </c>
      <c r="K1684">
        <v>1.9647407740436207</v>
      </c>
      <c r="L1684">
        <v>0</v>
      </c>
      <c r="M1684">
        <v>1.9318255891282263E-3</v>
      </c>
      <c r="N1684">
        <v>0.20673416121205612</v>
      </c>
      <c r="O1684">
        <v>2.5856656180760034E-2</v>
      </c>
      <c r="P1684">
        <v>2.1558006551592443E-2</v>
      </c>
      <c r="Q1684">
        <v>3.0904713293986468E-3</v>
      </c>
      <c r="R1684">
        <v>1.9203426991798202E-3</v>
      </c>
      <c r="S1684">
        <v>0.21029289393045478</v>
      </c>
      <c r="T1684">
        <v>1.0565988149915915</v>
      </c>
      <c r="U1684">
        <v>3.7798871780939776E-2</v>
      </c>
      <c r="V1684">
        <v>0.25347842341821936</v>
      </c>
      <c r="W1684">
        <v>0.12195676537767976</v>
      </c>
      <c r="X1684">
        <v>2.2160652374506488E-2</v>
      </c>
      <c r="Y1684">
        <v>5.2265397863668194E-3</v>
      </c>
    </row>
    <row r="1685" spans="1:25" x14ac:dyDescent="0.25">
      <c r="A1685" s="881"/>
      <c r="B1685" s="1131">
        <v>1435</v>
      </c>
      <c r="C1685" s="885">
        <v>1.0041952359437496</v>
      </c>
      <c r="D1685" s="885">
        <v>1.0064484753709597</v>
      </c>
      <c r="E1685" s="885">
        <v>0.99440287204782918</v>
      </c>
      <c r="F1685" s="885">
        <v>1.0458848963539236</v>
      </c>
      <c r="G1685" s="885">
        <v>0.98976263961395161</v>
      </c>
      <c r="H1685" s="885">
        <v>0.97126951732476741</v>
      </c>
      <c r="I1685" s="885">
        <v>1.0121710415527492</v>
      </c>
      <c r="K1685">
        <v>1.9223137757538868</v>
      </c>
      <c r="L1685">
        <v>0</v>
      </c>
      <c r="M1685">
        <v>1.9055162890074086E-3</v>
      </c>
      <c r="N1685">
        <v>0.18863738872706481</v>
      </c>
      <c r="O1685">
        <v>2.4964288530233417E-2</v>
      </c>
      <c r="P1685">
        <v>2.1002411926420821E-2</v>
      </c>
      <c r="Q1685">
        <v>2.9175816084019515E-3</v>
      </c>
      <c r="R1685">
        <v>1.8938000197252125E-3</v>
      </c>
      <c r="S1685">
        <v>0.20393855109481063</v>
      </c>
      <c r="T1685">
        <v>1.0588870749773558</v>
      </c>
      <c r="U1685">
        <v>3.7164397186014365E-2</v>
      </c>
      <c r="V1685">
        <v>0.24642383637288273</v>
      </c>
      <c r="W1685">
        <v>0.11319057891531033</v>
      </c>
      <c r="X1685">
        <v>2.0045083321988497E-2</v>
      </c>
      <c r="Y1685">
        <v>5.1542993626833081E-3</v>
      </c>
    </row>
    <row r="1686" spans="1:25" x14ac:dyDescent="0.25">
      <c r="A1686" s="881"/>
      <c r="B1686" s="1131">
        <v>1436</v>
      </c>
      <c r="C1686" s="885">
        <v>0.99513442789883633</v>
      </c>
      <c r="D1686" s="885">
        <v>0.97233102227354662</v>
      </c>
      <c r="E1686" s="885">
        <v>1.0013916193462133</v>
      </c>
      <c r="F1686" s="885">
        <v>1.0175918761860807</v>
      </c>
      <c r="G1686" s="885">
        <v>1.0079084452818186</v>
      </c>
      <c r="H1686" s="885">
        <v>1.0092221116354936</v>
      </c>
      <c r="I1686" s="885">
        <v>0.99223109498146989</v>
      </c>
      <c r="K1686">
        <v>1.9567444205054803</v>
      </c>
      <c r="L1686">
        <v>0</v>
      </c>
      <c r="M1686">
        <v>2.0027411951472019E-3</v>
      </c>
      <c r="N1686">
        <v>0.20267090451689476</v>
      </c>
      <c r="O1686">
        <v>2.5625975303856324E-2</v>
      </c>
      <c r="P1686">
        <v>2.1252215175720773E-2</v>
      </c>
      <c r="Q1686">
        <v>3.0087743247213822E-3</v>
      </c>
      <c r="R1686">
        <v>1.9909186301445593E-3</v>
      </c>
      <c r="S1686">
        <v>0.20884535477614022</v>
      </c>
      <c r="T1686">
        <v>1.0582445349093106</v>
      </c>
      <c r="U1686">
        <v>3.7502783096065105E-2</v>
      </c>
      <c r="V1686">
        <v>0.25205122231085469</v>
      </c>
      <c r="W1686">
        <v>0.12103028753980673</v>
      </c>
      <c r="X1686">
        <v>2.110556691200741E-2</v>
      </c>
      <c r="Y1686">
        <v>5.4186242051034493E-3</v>
      </c>
    </row>
    <row r="1687" spans="1:25" x14ac:dyDescent="0.25">
      <c r="A1687" s="881"/>
      <c r="B1687" s="1131">
        <v>1437</v>
      </c>
      <c r="C1687" s="885">
        <v>0.96941846447329738</v>
      </c>
      <c r="D1687" s="885">
        <v>1.034953293734592</v>
      </c>
      <c r="E1687" s="885">
        <v>0.99603444928228435</v>
      </c>
      <c r="F1687" s="885">
        <v>1.0048381272450333</v>
      </c>
      <c r="G1687" s="885">
        <v>1.0123010703075719</v>
      </c>
      <c r="H1687" s="885">
        <v>1.0030642899892654</v>
      </c>
      <c r="I1687" s="885">
        <v>1.0095388536183396</v>
      </c>
      <c r="K1687">
        <v>1.9511896921434881</v>
      </c>
      <c r="L1687">
        <v>0</v>
      </c>
      <c r="M1687">
        <v>2.0037126694895176E-3</v>
      </c>
      <c r="N1687">
        <v>0.19940497348461014</v>
      </c>
      <c r="O1687">
        <v>2.5505807433675611E-2</v>
      </c>
      <c r="P1687">
        <v>2.1165184570751762E-2</v>
      </c>
      <c r="Q1687">
        <v>2.9915414425875646E-3</v>
      </c>
      <c r="R1687">
        <v>1.991760242815385E-3</v>
      </c>
      <c r="S1687">
        <v>0.21132635985414744</v>
      </c>
      <c r="T1687">
        <v>1.0587368988671806</v>
      </c>
      <c r="U1687">
        <v>3.8497627153402478E-2</v>
      </c>
      <c r="V1687">
        <v>0.24792622921666196</v>
      </c>
      <c r="W1687">
        <v>0.11951764467461071</v>
      </c>
      <c r="X1687">
        <v>2.0708463075174974E-2</v>
      </c>
      <c r="Y1687">
        <v>5.4209147973558946E-3</v>
      </c>
    </row>
    <row r="1688" spans="1:25" x14ac:dyDescent="0.25">
      <c r="A1688" s="881"/>
      <c r="B1688" s="1131">
        <v>1438</v>
      </c>
      <c r="C1688" s="885">
        <v>0.98648043590217016</v>
      </c>
      <c r="D1688" s="885">
        <v>1.0279557876562404</v>
      </c>
      <c r="E1688" s="885">
        <v>1.0264349775994057</v>
      </c>
      <c r="F1688" s="885">
        <v>0.97591652664684847</v>
      </c>
      <c r="G1688" s="885">
        <v>0.97709872267851616</v>
      </c>
      <c r="H1688" s="885">
        <v>1.0370007396262471</v>
      </c>
      <c r="I1688" s="885">
        <v>0.99294598772017839</v>
      </c>
      <c r="K1688">
        <v>1.9583378438086922</v>
      </c>
      <c r="L1688">
        <v>0</v>
      </c>
      <c r="M1688">
        <v>1.9156122055070546E-3</v>
      </c>
      <c r="N1688">
        <v>0.20957321205598942</v>
      </c>
      <c r="O1688">
        <v>2.5148615000013783E-2</v>
      </c>
      <c r="P1688">
        <v>2.1533563911221767E-2</v>
      </c>
      <c r="Q1688">
        <v>3.0391817106882346E-3</v>
      </c>
      <c r="R1688">
        <v>1.9045643865731067E-3</v>
      </c>
      <c r="S1688">
        <v>0.20830244776229187</v>
      </c>
      <c r="T1688">
        <v>1.0559577138913807</v>
      </c>
      <c r="U1688">
        <v>3.7831779772485981E-2</v>
      </c>
      <c r="V1688">
        <v>0.24631618501932673</v>
      </c>
      <c r="W1688">
        <v>0.12304619030434384</v>
      </c>
      <c r="X1688">
        <v>2.2416405779111987E-2</v>
      </c>
      <c r="Y1688">
        <v>5.1835964207706982E-3</v>
      </c>
    </row>
    <row r="1689" spans="1:25" x14ac:dyDescent="0.25">
      <c r="A1689" s="881"/>
      <c r="B1689" s="1131">
        <v>1439</v>
      </c>
      <c r="C1689" s="885">
        <v>1.0124971943883019</v>
      </c>
      <c r="D1689" s="885">
        <v>1.0175759418367065</v>
      </c>
      <c r="E1689" s="885">
        <v>0.96829220751941669</v>
      </c>
      <c r="F1689" s="885">
        <v>0.99825129469002871</v>
      </c>
      <c r="G1689" s="885">
        <v>0.9678504934456158</v>
      </c>
      <c r="H1689" s="885">
        <v>1.0207980005717086</v>
      </c>
      <c r="I1689" s="885">
        <v>0.99164143558858475</v>
      </c>
      <c r="K1689">
        <v>1.9235580061561399</v>
      </c>
      <c r="L1689">
        <v>0</v>
      </c>
      <c r="M1689">
        <v>2.086843849141211E-3</v>
      </c>
      <c r="N1689">
        <v>0.19050462603482729</v>
      </c>
      <c r="O1689">
        <v>2.4625422178357823E-2</v>
      </c>
      <c r="P1689">
        <v>2.0559939119338445E-2</v>
      </c>
      <c r="Q1689">
        <v>2.8047972622793024E-3</v>
      </c>
      <c r="R1689">
        <v>2.074625972089331E-3</v>
      </c>
      <c r="S1689">
        <v>0.20203587512762194</v>
      </c>
      <c r="T1689">
        <v>1.0613044589489631</v>
      </c>
      <c r="U1689">
        <v>3.6859668162798051E-2</v>
      </c>
      <c r="V1689">
        <v>0.24393828649864047</v>
      </c>
      <c r="W1689">
        <v>0.11639900399108447</v>
      </c>
      <c r="X1689">
        <v>1.8891698713522521E-2</v>
      </c>
      <c r="Y1689">
        <v>5.6464479957592621E-3</v>
      </c>
    </row>
    <row r="1690" spans="1:25" x14ac:dyDescent="0.25">
      <c r="A1690" s="881"/>
      <c r="B1690" s="1131">
        <v>1440</v>
      </c>
      <c r="C1690" s="885">
        <v>0.98869455399610007</v>
      </c>
      <c r="D1690" s="885">
        <v>1.0192578632949623</v>
      </c>
      <c r="E1690" s="885">
        <v>1.0148897340227407</v>
      </c>
      <c r="F1690" s="885">
        <v>0.99975528222310717</v>
      </c>
      <c r="G1690" s="885">
        <v>0.96974730491937</v>
      </c>
      <c r="H1690" s="885">
        <v>1.0418671357523284</v>
      </c>
      <c r="I1690" s="885">
        <v>1.012468154326372</v>
      </c>
      <c r="K1690">
        <v>1.9638896183932808</v>
      </c>
      <c r="L1690">
        <v>0</v>
      </c>
      <c r="M1690">
        <v>1.9759639881598121E-3</v>
      </c>
      <c r="N1690">
        <v>0.20856673530269526</v>
      </c>
      <c r="O1690">
        <v>2.5197719481587225E-2</v>
      </c>
      <c r="P1690">
        <v>2.1443768738184769E-2</v>
      </c>
      <c r="Q1690">
        <v>3.0086130312159355E-3</v>
      </c>
      <c r="R1690">
        <v>1.9646279422272758E-3</v>
      </c>
      <c r="S1690">
        <v>0.21324840563596006</v>
      </c>
      <c r="T1690">
        <v>1.0570089184268143</v>
      </c>
      <c r="U1690">
        <v>3.7747057926106511E-2</v>
      </c>
      <c r="V1690">
        <v>0.2470415051918623</v>
      </c>
      <c r="W1690">
        <v>0.12341253244031901</v>
      </c>
      <c r="X1690">
        <v>2.187862864515306E-2</v>
      </c>
      <c r="Y1690">
        <v>5.3470696193155471E-3</v>
      </c>
    </row>
    <row r="1691" spans="1:25" x14ac:dyDescent="0.25">
      <c r="A1691" s="881"/>
      <c r="B1691" s="1131">
        <v>1441</v>
      </c>
      <c r="C1691" s="885">
        <v>0.99688914068686685</v>
      </c>
      <c r="D1691" s="885">
        <v>1.0281065060916852</v>
      </c>
      <c r="E1691" s="885">
        <v>1.0304858881160579</v>
      </c>
      <c r="F1691" s="885">
        <v>1.0062068160984914</v>
      </c>
      <c r="G1691" s="885">
        <v>1.0204356543997208</v>
      </c>
      <c r="H1691" s="885">
        <v>0.98545324663114275</v>
      </c>
      <c r="I1691" s="885">
        <v>1.0029424113056975</v>
      </c>
      <c r="K1691">
        <v>1.9306653979664079</v>
      </c>
      <c r="L1691">
        <v>0</v>
      </c>
      <c r="M1691">
        <v>1.7858864350705625E-3</v>
      </c>
      <c r="N1691">
        <v>0.19779350035198437</v>
      </c>
      <c r="O1691">
        <v>2.4884234594818581E-2</v>
      </c>
      <c r="P1691">
        <v>2.1491966870519116E-2</v>
      </c>
      <c r="Q1691">
        <v>3.0193408056247992E-3</v>
      </c>
      <c r="R1691">
        <v>1.7750479098880328E-3</v>
      </c>
      <c r="S1691">
        <v>0.20301178597356834</v>
      </c>
      <c r="T1691">
        <v>1.055590110659874</v>
      </c>
      <c r="U1691">
        <v>3.743677112903724E-2</v>
      </c>
      <c r="V1691">
        <v>0.24483450459679354</v>
      </c>
      <c r="W1691">
        <v>0.11581484591351493</v>
      </c>
      <c r="X1691">
        <v>2.1968080329527535E-2</v>
      </c>
      <c r="Y1691">
        <v>4.8310952663289924E-3</v>
      </c>
    </row>
    <row r="1692" spans="1:25" x14ac:dyDescent="0.25">
      <c r="A1692" s="881"/>
      <c r="B1692" s="1131">
        <v>1442</v>
      </c>
      <c r="C1692" s="885">
        <v>0.98662233642221353</v>
      </c>
      <c r="D1692" s="885">
        <v>0.99237551207922436</v>
      </c>
      <c r="E1692" s="885">
        <v>0.98414501059814274</v>
      </c>
      <c r="F1692" s="885">
        <v>1.000138318762821</v>
      </c>
      <c r="G1692" s="885">
        <v>1.0026604514281177</v>
      </c>
      <c r="H1692" s="885">
        <v>1.0158483381615948</v>
      </c>
      <c r="I1692" s="885">
        <v>1.0051572039052143</v>
      </c>
      <c r="K1692">
        <v>1.9570222659794159</v>
      </c>
      <c r="L1692">
        <v>0</v>
      </c>
      <c r="M1692">
        <v>2.087180114193724E-3</v>
      </c>
      <c r="N1692">
        <v>0.20018181531602053</v>
      </c>
      <c r="O1692">
        <v>2.5586671317851344E-2</v>
      </c>
      <c r="P1692">
        <v>2.1029745679883746E-2</v>
      </c>
      <c r="Q1692">
        <v>2.9565583949676816E-3</v>
      </c>
      <c r="R1692">
        <v>2.0749220016311205E-3</v>
      </c>
      <c r="S1692">
        <v>0.21208160027984715</v>
      </c>
      <c r="T1692">
        <v>1.0598336158832704</v>
      </c>
      <c r="U1692">
        <v>3.7826338633535746E-2</v>
      </c>
      <c r="V1692">
        <v>0.25069061844256324</v>
      </c>
      <c r="W1692">
        <v>0.12097018220279813</v>
      </c>
      <c r="X1692">
        <v>2.02301242506547E-2</v>
      </c>
      <c r="Y1692">
        <v>5.6472536905858989E-3</v>
      </c>
    </row>
    <row r="1693" spans="1:25" x14ac:dyDescent="0.25">
      <c r="A1693" s="881"/>
      <c r="B1693" s="1131">
        <v>1443</v>
      </c>
      <c r="C1693" s="885">
        <v>0.97927381766295518</v>
      </c>
      <c r="D1693" s="885">
        <v>1.0269965860951886</v>
      </c>
      <c r="E1693" s="885">
        <v>1.0030119041046572</v>
      </c>
      <c r="F1693" s="885">
        <v>1.0075630032477227</v>
      </c>
      <c r="G1693" s="885">
        <v>0.96944259244377551</v>
      </c>
      <c r="H1693" s="885">
        <v>1.010542407319031</v>
      </c>
      <c r="I1693" s="885">
        <v>1.0174158230732957</v>
      </c>
      <c r="K1693">
        <v>1.9529763828539233</v>
      </c>
      <c r="L1693">
        <v>0</v>
      </c>
      <c r="M1693">
        <v>1.9766876000162567E-3</v>
      </c>
      <c r="N1693">
        <v>0.20104212687435688</v>
      </c>
      <c r="O1693">
        <v>2.5345352991223626E-2</v>
      </c>
      <c r="P1693">
        <v>2.12692460826161E-2</v>
      </c>
      <c r="Q1693">
        <v>2.9920615828816408E-3</v>
      </c>
      <c r="R1693">
        <v>1.964989811859661E-3</v>
      </c>
      <c r="S1693">
        <v>0.21235289794705547</v>
      </c>
      <c r="T1693">
        <v>1.0580958388400519</v>
      </c>
      <c r="U1693">
        <v>3.8110189333951723E-2</v>
      </c>
      <c r="V1693">
        <v>0.24745384660523509</v>
      </c>
      <c r="W1693">
        <v>0.11992479414964786</v>
      </c>
      <c r="X1693">
        <v>2.1053671725892828E-2</v>
      </c>
      <c r="Y1693">
        <v>5.348054509164606E-3</v>
      </c>
    </row>
    <row r="1694" spans="1:25" x14ac:dyDescent="0.25">
      <c r="A1694" s="881"/>
      <c r="B1694" s="1131">
        <v>1444</v>
      </c>
      <c r="C1694" s="885">
        <v>0.96749303746947712</v>
      </c>
      <c r="D1694" s="885">
        <v>1.0207889454756118</v>
      </c>
      <c r="E1694" s="885">
        <v>1.0167980985889431</v>
      </c>
      <c r="F1694" s="885">
        <v>0.97382330823924323</v>
      </c>
      <c r="G1694" s="885">
        <v>0.99188458018076875</v>
      </c>
      <c r="H1694" s="885">
        <v>0.97173918106831736</v>
      </c>
      <c r="I1694" s="885">
        <v>0.99213771277727436</v>
      </c>
      <c r="K1694">
        <v>1.9449782377518141</v>
      </c>
      <c r="L1694">
        <v>0</v>
      </c>
      <c r="M1694">
        <v>1.8743882413022673E-3</v>
      </c>
      <c r="N1694">
        <v>0.19893896353115298</v>
      </c>
      <c r="O1694">
        <v>2.5730826315561041E-2</v>
      </c>
      <c r="P1694">
        <v>2.142539202825515E-2</v>
      </c>
      <c r="Q1694">
        <v>3.0784329903685011E-3</v>
      </c>
      <c r="R1694">
        <v>1.862857704474236E-3</v>
      </c>
      <c r="S1694">
        <v>0.20619460377263335</v>
      </c>
      <c r="T1694">
        <v>1.0568348007105826</v>
      </c>
      <c r="U1694">
        <v>3.8574242041606664E-2</v>
      </c>
      <c r="V1694">
        <v>0.24993173211212344</v>
      </c>
      <c r="W1694">
        <v>0.11756368862957972</v>
      </c>
      <c r="X1694">
        <v>2.1647001576077903E-2</v>
      </c>
      <c r="Y1694">
        <v>5.0700845807016325E-3</v>
      </c>
    </row>
    <row r="1695" spans="1:25" x14ac:dyDescent="0.25">
      <c r="A1695" s="881"/>
      <c r="B1695" s="1131">
        <v>1445</v>
      </c>
      <c r="C1695" s="885">
        <v>1.0187244971105391</v>
      </c>
      <c r="D1695" s="885">
        <v>1.0246436517782624</v>
      </c>
      <c r="E1695" s="885">
        <v>0.98573564242318179</v>
      </c>
      <c r="F1695" s="885">
        <v>1.0093981580110936</v>
      </c>
      <c r="G1695" s="885">
        <v>1.0493734283898279</v>
      </c>
      <c r="H1695" s="885">
        <v>0.99305251051980126</v>
      </c>
      <c r="I1695" s="885">
        <v>0.97903961518937743</v>
      </c>
      <c r="K1695">
        <v>1.9057073445960035</v>
      </c>
      <c r="L1695">
        <v>0</v>
      </c>
      <c r="M1695">
        <v>1.938567701503502E-3</v>
      </c>
      <c r="N1695">
        <v>0.18682393940704373</v>
      </c>
      <c r="O1695">
        <v>2.4391420320573901E-2</v>
      </c>
      <c r="P1695">
        <v>2.069200352810957E-2</v>
      </c>
      <c r="Q1695">
        <v>2.8292751184962896E-3</v>
      </c>
      <c r="R1695">
        <v>1.92689528542172E-3</v>
      </c>
      <c r="S1695">
        <v>0.19495535399356917</v>
      </c>
      <c r="T1695">
        <v>1.0596865729960281</v>
      </c>
      <c r="U1695">
        <v>3.6634350805119981E-2</v>
      </c>
      <c r="V1695">
        <v>0.24226768133837798</v>
      </c>
      <c r="W1695">
        <v>0.11277388824204372</v>
      </c>
      <c r="X1695">
        <v>1.9420157496663266E-2</v>
      </c>
      <c r="Y1695">
        <v>5.2443737660577971E-3</v>
      </c>
    </row>
    <row r="1696" spans="1:25" x14ac:dyDescent="0.25">
      <c r="A1696" s="881"/>
      <c r="B1696" s="1131">
        <v>1446</v>
      </c>
      <c r="C1696" s="885">
        <v>1.0023499680551231</v>
      </c>
      <c r="D1696" s="885">
        <v>1.0196003015689956</v>
      </c>
      <c r="E1696" s="885">
        <v>0.98952532651447322</v>
      </c>
      <c r="F1696" s="885">
        <v>0.97039624079348052</v>
      </c>
      <c r="G1696" s="885">
        <v>1.0122437831608484</v>
      </c>
      <c r="H1696" s="885">
        <v>1.0308120750212284</v>
      </c>
      <c r="I1696" s="885">
        <v>1.0041697860103462</v>
      </c>
      <c r="K1696">
        <v>1.9413469360026256</v>
      </c>
      <c r="L1696">
        <v>0</v>
      </c>
      <c r="M1696">
        <v>2.0338687476592274E-3</v>
      </c>
      <c r="N1696">
        <v>0.19837949253115864</v>
      </c>
      <c r="O1696">
        <v>2.4850319551251509E-2</v>
      </c>
      <c r="P1696">
        <v>2.0962399062030415E-2</v>
      </c>
      <c r="Q1696">
        <v>2.8925965488329135E-3</v>
      </c>
      <c r="R1696">
        <v>2.0220750942638692E-3</v>
      </c>
      <c r="S1696">
        <v>0.20747699457983923</v>
      </c>
      <c r="T1696">
        <v>1.0593366389539542</v>
      </c>
      <c r="U1696">
        <v>3.7232814675826328E-2</v>
      </c>
      <c r="V1696">
        <v>0.24508905121541755</v>
      </c>
      <c r="W1696">
        <v>0.11943644479945142</v>
      </c>
      <c r="X1696">
        <v>2.0198555908548552E-2</v>
      </c>
      <c r="Y1696">
        <v>5.5034218297105759E-3</v>
      </c>
    </row>
    <row r="1697" spans="1:25" x14ac:dyDescent="0.25">
      <c r="A1697" s="881"/>
      <c r="B1697" s="1131">
        <v>1447</v>
      </c>
      <c r="C1697" s="885">
        <v>0.95592320604574832</v>
      </c>
      <c r="D1697" s="885">
        <v>0.99038991005782162</v>
      </c>
      <c r="E1697" s="885">
        <v>1.0110705192768847</v>
      </c>
      <c r="F1697" s="885">
        <v>0.97425281641029693</v>
      </c>
      <c r="G1697" s="885">
        <v>0.99750832678409318</v>
      </c>
      <c r="H1697" s="885">
        <v>1.0075361983299347</v>
      </c>
      <c r="I1697" s="885">
        <v>0.97970488739183248</v>
      </c>
      <c r="K1697">
        <v>1.9790717543120067</v>
      </c>
      <c r="L1697">
        <v>0</v>
      </c>
      <c r="M1697">
        <v>2.0208483238090351E-3</v>
      </c>
      <c r="N1697">
        <v>0.21074833614414082</v>
      </c>
      <c r="O1697">
        <v>2.6434603720594245E-2</v>
      </c>
      <c r="P1697">
        <v>2.1515576677751842E-2</v>
      </c>
      <c r="Q1697">
        <v>3.1380113598565252E-3</v>
      </c>
      <c r="R1697">
        <v>2.0088835330775638E-3</v>
      </c>
      <c r="S1697">
        <v>0.21268016913307536</v>
      </c>
      <c r="T1697">
        <v>1.0573578078360786</v>
      </c>
      <c r="U1697">
        <v>3.9041117910815576E-2</v>
      </c>
      <c r="V1697">
        <v>0.25556971423739189</v>
      </c>
      <c r="W1697">
        <v>0.12502678980770068</v>
      </c>
      <c r="X1697">
        <v>2.2104073526572652E-2</v>
      </c>
      <c r="Y1697">
        <v>5.467518748758427E-3</v>
      </c>
    </row>
    <row r="1698" spans="1:25" x14ac:dyDescent="0.25">
      <c r="A1698" s="881"/>
      <c r="B1698" s="1131">
        <v>1448</v>
      </c>
      <c r="C1698" s="885">
        <v>0.95720459821477366</v>
      </c>
      <c r="D1698" s="885">
        <v>1.0256268772772881</v>
      </c>
      <c r="E1698" s="885">
        <v>0.9796100225161104</v>
      </c>
      <c r="F1698" s="885">
        <v>1.0197498264052247</v>
      </c>
      <c r="G1698" s="885">
        <v>1.0109582124307517</v>
      </c>
      <c r="H1698" s="885">
        <v>0.99414637158882224</v>
      </c>
      <c r="I1698" s="885">
        <v>0.98995107140953442</v>
      </c>
      <c r="K1698">
        <v>1.9530590382042465</v>
      </c>
      <c r="L1698">
        <v>0</v>
      </c>
      <c r="M1698">
        <v>2.0911877340346325E-3</v>
      </c>
      <c r="N1698">
        <v>0.19772432455979269</v>
      </c>
      <c r="O1698">
        <v>2.5946786909430669E-2</v>
      </c>
      <c r="P1698">
        <v>2.0950789461198358E-2</v>
      </c>
      <c r="Q1698">
        <v>2.9912345284693492E-3</v>
      </c>
      <c r="R1698">
        <v>2.0786093965699561E-3</v>
      </c>
      <c r="S1698">
        <v>0.20981871259158369</v>
      </c>
      <c r="T1698">
        <v>1.0602533831863692</v>
      </c>
      <c r="U1698">
        <v>3.8988854285197591E-2</v>
      </c>
      <c r="V1698">
        <v>0.25087049637566416</v>
      </c>
      <c r="W1698">
        <v>0.11986120626289169</v>
      </c>
      <c r="X1698">
        <v>2.0008538817052873E-2</v>
      </c>
      <c r="Y1698">
        <v>5.657289564059996E-3</v>
      </c>
    </row>
    <row r="1699" spans="1:25" x14ac:dyDescent="0.25">
      <c r="A1699" s="881"/>
      <c r="B1699" s="1131">
        <v>1449</v>
      </c>
      <c r="C1699" s="885">
        <v>0.99379028285076865</v>
      </c>
      <c r="D1699" s="885">
        <v>0.9920618833101339</v>
      </c>
      <c r="E1699" s="885">
        <v>1.0281541883119567</v>
      </c>
      <c r="F1699" s="885">
        <v>1.0128640717031407</v>
      </c>
      <c r="G1699" s="885">
        <v>0.99876710884429876</v>
      </c>
      <c r="H1699" s="885">
        <v>0.98340399555455271</v>
      </c>
      <c r="I1699" s="885">
        <v>1.0266749728786826</v>
      </c>
      <c r="K1699">
        <v>1.9509422496236875</v>
      </c>
      <c r="L1699">
        <v>0</v>
      </c>
      <c r="M1699">
        <v>1.8285175476533766E-3</v>
      </c>
      <c r="N1699">
        <v>0.20105491657557525</v>
      </c>
      <c r="O1699">
        <v>2.5406100478583226E-2</v>
      </c>
      <c r="P1699">
        <v>2.164861658518883E-2</v>
      </c>
      <c r="Q1699">
        <v>3.0679515285076532E-3</v>
      </c>
      <c r="R1699">
        <v>1.8174245181006112E-3</v>
      </c>
      <c r="S1699">
        <v>0.21168513265572256</v>
      </c>
      <c r="T1699">
        <v>1.0558016242328132</v>
      </c>
      <c r="U1699">
        <v>3.755350725895662E-2</v>
      </c>
      <c r="V1699">
        <v>0.24968847613170281</v>
      </c>
      <c r="W1699">
        <v>0.11790869257102778</v>
      </c>
      <c r="X1699">
        <v>2.2191894210723144E-2</v>
      </c>
      <c r="Y1699">
        <v>4.9464304244384869E-3</v>
      </c>
    </row>
    <row r="1700" spans="1:25" x14ac:dyDescent="0.25">
      <c r="A1700" s="881"/>
      <c r="B1700" s="1131">
        <v>1450</v>
      </c>
      <c r="C1700" s="885">
        <v>0.96434706419602956</v>
      </c>
      <c r="D1700" s="885">
        <v>1.0107191906906643</v>
      </c>
      <c r="E1700" s="885">
        <v>1.0390702701321368</v>
      </c>
      <c r="F1700" s="885">
        <v>0.96569380522198689</v>
      </c>
      <c r="G1700" s="885">
        <v>0.96385364756321945</v>
      </c>
      <c r="H1700" s="885">
        <v>0.99222707320090364</v>
      </c>
      <c r="I1700" s="885">
        <v>0.99431723613029876</v>
      </c>
      <c r="K1700">
        <v>1.9659643142321681</v>
      </c>
      <c r="L1700">
        <v>0</v>
      </c>
      <c r="M1700">
        <v>1.8407881108304294E-3</v>
      </c>
      <c r="N1700">
        <v>0.20938812678927035</v>
      </c>
      <c r="O1700">
        <v>2.5941482318256832E-2</v>
      </c>
      <c r="P1700">
        <v>2.183219372159249E-2</v>
      </c>
      <c r="Q1700">
        <v>3.1706401076600139E-3</v>
      </c>
      <c r="R1700">
        <v>1.8297056522114604E-3</v>
      </c>
      <c r="S1700">
        <v>0.21039076957863981</v>
      </c>
      <c r="T1700">
        <v>1.0548132377565536</v>
      </c>
      <c r="U1700">
        <v>3.8700082145249851E-2</v>
      </c>
      <c r="V1700">
        <v>0.25165846054491658</v>
      </c>
      <c r="W1700">
        <v>0.12190295078127308</v>
      </c>
      <c r="X1700">
        <v>2.3197597324359411E-2</v>
      </c>
      <c r="Y1700">
        <v>4.9798556230134473E-3</v>
      </c>
    </row>
    <row r="1701" spans="1:25" x14ac:dyDescent="0.25">
      <c r="A1701" s="881"/>
      <c r="B1701" s="1131">
        <v>1451</v>
      </c>
      <c r="C1701" s="885">
        <v>0.98779105453460003</v>
      </c>
      <c r="D1701" s="885">
        <v>1.025908733455674</v>
      </c>
      <c r="E1701" s="885">
        <v>0.9942367477416244</v>
      </c>
      <c r="F1701" s="885">
        <v>0.96914799910600624</v>
      </c>
      <c r="G1701" s="885">
        <v>0.99282654895862643</v>
      </c>
      <c r="H1701" s="885">
        <v>1.0212267325434778</v>
      </c>
      <c r="I1701" s="885">
        <v>0.9880759557689327</v>
      </c>
      <c r="K1701">
        <v>1.9434044361213314</v>
      </c>
      <c r="L1701">
        <v>0</v>
      </c>
      <c r="M1701">
        <v>2.0183456422918594E-3</v>
      </c>
      <c r="N1701">
        <v>0.1997625844706728</v>
      </c>
      <c r="O1701">
        <v>2.5139950045086578E-2</v>
      </c>
      <c r="P1701">
        <v>2.1030524293475711E-2</v>
      </c>
      <c r="Q1701">
        <v>2.9415159738152299E-3</v>
      </c>
      <c r="R1701">
        <v>2.0065271494989581E-3</v>
      </c>
      <c r="S1701">
        <v>0.20561807398032353</v>
      </c>
      <c r="T1701">
        <v>1.0589023714537436</v>
      </c>
      <c r="U1701">
        <v>3.7781583898327989E-2</v>
      </c>
      <c r="V1701">
        <v>0.24637313216632234</v>
      </c>
      <c r="W1701">
        <v>0.11987985681150767</v>
      </c>
      <c r="X1701">
        <v>2.0525556071408688E-2</v>
      </c>
      <c r="Y1701">
        <v>5.4611054494391005E-3</v>
      </c>
    </row>
    <row r="1702" spans="1:25" x14ac:dyDescent="0.25">
      <c r="A1702" s="881"/>
      <c r="B1702" s="1131">
        <v>1452</v>
      </c>
      <c r="C1702" s="885">
        <v>0.97201187455797822</v>
      </c>
      <c r="D1702" s="885">
        <v>0.97650303206421907</v>
      </c>
      <c r="E1702" s="885">
        <v>1.0291478836817425</v>
      </c>
      <c r="F1702" s="885">
        <v>1.0033515792722201</v>
      </c>
      <c r="G1702" s="885">
        <v>0.99100637906140188</v>
      </c>
      <c r="H1702" s="885">
        <v>0.96853973749046596</v>
      </c>
      <c r="I1702" s="885">
        <v>0.96390825940532721</v>
      </c>
      <c r="K1702">
        <v>1.9546364147653283</v>
      </c>
      <c r="L1702">
        <v>0</v>
      </c>
      <c r="M1702">
        <v>1.8518158676408055E-3</v>
      </c>
      <c r="N1702">
        <v>0.20422806679311248</v>
      </c>
      <c r="O1702">
        <v>2.6179832358950054E-2</v>
      </c>
      <c r="P1702">
        <v>2.1629213119043571E-2</v>
      </c>
      <c r="Q1702">
        <v>3.1609848714189335E-3</v>
      </c>
      <c r="R1702">
        <v>1.8404216550820791E-3</v>
      </c>
      <c r="S1702">
        <v>0.2031695737029148</v>
      </c>
      <c r="T1702">
        <v>1.0557114579336746</v>
      </c>
      <c r="U1702">
        <v>3.8394912220479104E-2</v>
      </c>
      <c r="V1702">
        <v>0.25493836280606236</v>
      </c>
      <c r="W1702">
        <v>0.11968978568526144</v>
      </c>
      <c r="X1702">
        <v>2.2536598436669487E-2</v>
      </c>
      <c r="Y1702">
        <v>5.0090210502978742E-3</v>
      </c>
    </row>
    <row r="1703" spans="1:25" x14ac:dyDescent="0.25">
      <c r="A1703" s="881"/>
      <c r="B1703" s="1131">
        <v>1453</v>
      </c>
      <c r="C1703" s="885">
        <v>0.99122186395612155</v>
      </c>
      <c r="D1703" s="885">
        <v>1.0437636090352049</v>
      </c>
      <c r="E1703" s="885">
        <v>1.0189950156016587</v>
      </c>
      <c r="F1703" s="885">
        <v>0.97204423270925744</v>
      </c>
      <c r="G1703" s="885">
        <v>0.98933916552484524</v>
      </c>
      <c r="H1703" s="885">
        <v>1.0020173381006769</v>
      </c>
      <c r="I1703" s="885">
        <v>0.96530872961358449</v>
      </c>
      <c r="K1703">
        <v>1.9260072938500572</v>
      </c>
      <c r="L1703">
        <v>0</v>
      </c>
      <c r="M1703">
        <v>1.857322960004228E-3</v>
      </c>
      <c r="N1703">
        <v>0.19851319997493713</v>
      </c>
      <c r="O1703">
        <v>2.4840875628701645E-2</v>
      </c>
      <c r="P1703">
        <v>2.1228838833626026E-2</v>
      </c>
      <c r="Q1703">
        <v>2.9830256201408799E-3</v>
      </c>
      <c r="R1703">
        <v>1.846225785970842E-3</v>
      </c>
      <c r="S1703">
        <v>0.19675857452757622</v>
      </c>
      <c r="T1703">
        <v>1.0566345318993615</v>
      </c>
      <c r="U1703">
        <v>3.7650814573405106E-2</v>
      </c>
      <c r="V1703">
        <v>0.24379054452224538</v>
      </c>
      <c r="W1703">
        <v>0.11713804993585246</v>
      </c>
      <c r="X1703">
        <v>2.1455117526997247E-2</v>
      </c>
      <c r="Y1703">
        <v>5.0248179812458528E-3</v>
      </c>
    </row>
    <row r="1704" spans="1:25" x14ac:dyDescent="0.25">
      <c r="A1704" s="881"/>
      <c r="B1704" s="1131">
        <v>1454</v>
      </c>
      <c r="C1704" s="885">
        <v>1.0100877095499978</v>
      </c>
      <c r="D1704" s="885">
        <v>0.98917747031524594</v>
      </c>
      <c r="E1704" s="885">
        <v>1.0323100735725379</v>
      </c>
      <c r="F1704" s="885">
        <v>1.02441773301184</v>
      </c>
      <c r="G1704" s="885">
        <v>0.99802919644141708</v>
      </c>
      <c r="H1704" s="885">
        <v>1.000826138424314</v>
      </c>
      <c r="I1704" s="885">
        <v>1.0276880282489269</v>
      </c>
      <c r="K1704">
        <v>1.948506247773041</v>
      </c>
      <c r="L1704">
        <v>0</v>
      </c>
      <c r="M1704">
        <v>1.8174786096258741E-3</v>
      </c>
      <c r="N1704">
        <v>0.20245764128444968</v>
      </c>
      <c r="O1704">
        <v>2.5032281134744684E-2</v>
      </c>
      <c r="P1704">
        <v>2.1657436611769158E-2</v>
      </c>
      <c r="Q1704">
        <v>3.0346362291379923E-3</v>
      </c>
      <c r="R1704">
        <v>1.8066466836100365E-3</v>
      </c>
      <c r="S1704">
        <v>0.21055775548700562</v>
      </c>
      <c r="T1704">
        <v>1.0554247832379358</v>
      </c>
      <c r="U1704">
        <v>3.6947594004032934E-2</v>
      </c>
      <c r="V1704">
        <v>0.24774545679379209</v>
      </c>
      <c r="W1704">
        <v>0.11840117589533747</v>
      </c>
      <c r="X1704">
        <v>2.2341222308984911E-2</v>
      </c>
      <c r="Y1704">
        <v>4.9170967118673274E-3</v>
      </c>
    </row>
    <row r="1705" spans="1:25" x14ac:dyDescent="0.25">
      <c r="A1705" s="881"/>
      <c r="B1705" s="1131">
        <v>1455</v>
      </c>
      <c r="C1705" s="885">
        <v>0.98377967306780223</v>
      </c>
      <c r="D1705" s="885">
        <v>0.98873347721242422</v>
      </c>
      <c r="E1705" s="885">
        <v>1.0019461007355646</v>
      </c>
      <c r="F1705" s="885">
        <v>1.0003194892143621</v>
      </c>
      <c r="G1705" s="885">
        <v>0.99622280350473436</v>
      </c>
      <c r="H1705" s="885">
        <v>1.0168919934977356</v>
      </c>
      <c r="I1705" s="885">
        <v>0.997766713222077</v>
      </c>
      <c r="K1705">
        <v>1.9633872121308995</v>
      </c>
      <c r="L1705">
        <v>0</v>
      </c>
      <c r="M1705">
        <v>2.0220254492889379E-3</v>
      </c>
      <c r="N1705">
        <v>0.20498342123703434</v>
      </c>
      <c r="O1705">
        <v>2.570741035548019E-2</v>
      </c>
      <c r="P1705">
        <v>2.1297233034753296E-2</v>
      </c>
      <c r="Q1705">
        <v>3.0235713454320333E-3</v>
      </c>
      <c r="R1705">
        <v>2.0101652160851784E-3</v>
      </c>
      <c r="S1705">
        <v>0.21159566737698141</v>
      </c>
      <c r="T1705">
        <v>1.0581936377686842</v>
      </c>
      <c r="U1705">
        <v>3.7935639068997946E-2</v>
      </c>
      <c r="V1705">
        <v>0.2515700712726629</v>
      </c>
      <c r="W1705">
        <v>0.12236488818899265</v>
      </c>
      <c r="X1705">
        <v>2.1256525647682739E-2</v>
      </c>
      <c r="Y1705">
        <v>5.4710070673984644E-3</v>
      </c>
    </row>
    <row r="1706" spans="1:25" x14ac:dyDescent="0.25">
      <c r="A1706" s="881"/>
      <c r="B1706" s="1131">
        <v>1456</v>
      </c>
      <c r="C1706" s="885">
        <v>0.95872027956018457</v>
      </c>
      <c r="D1706" s="885">
        <v>0.99911715919412036</v>
      </c>
      <c r="E1706" s="885">
        <v>1.0035798217777347</v>
      </c>
      <c r="F1706" s="885">
        <v>0.97656967851484822</v>
      </c>
      <c r="G1706" s="885">
        <v>0.9909570923035721</v>
      </c>
      <c r="H1706" s="885">
        <v>0.9783467364513736</v>
      </c>
      <c r="I1706" s="885">
        <v>1.0103845715634545</v>
      </c>
      <c r="K1706">
        <v>1.9649220244067545</v>
      </c>
      <c r="L1706">
        <v>0</v>
      </c>
      <c r="M1706">
        <v>1.9791094799255522E-3</v>
      </c>
      <c r="N1706">
        <v>0.2016071686019755</v>
      </c>
      <c r="O1706">
        <v>2.6243182275288292E-2</v>
      </c>
      <c r="P1706">
        <v>2.1410407357566091E-2</v>
      </c>
      <c r="Q1706">
        <v>3.093909662461555E-3</v>
      </c>
      <c r="R1706">
        <v>1.9670348534493462E-3</v>
      </c>
      <c r="S1706">
        <v>0.21470586916614018</v>
      </c>
      <c r="T1706">
        <v>1.0580437443636068</v>
      </c>
      <c r="U1706">
        <v>3.8927215160231794E-2</v>
      </c>
      <c r="V1706">
        <v>0.25399454103037095</v>
      </c>
      <c r="W1706">
        <v>0.12021523399322466</v>
      </c>
      <c r="X1706">
        <v>2.1339206984140536E-2</v>
      </c>
      <c r="Y1706">
        <v>5.3536204382239527E-3</v>
      </c>
    </row>
    <row r="1707" spans="1:25" x14ac:dyDescent="0.25">
      <c r="A1707" s="881"/>
      <c r="B1707" s="1131">
        <v>1457</v>
      </c>
      <c r="C1707" s="885">
        <v>0.96255935463818887</v>
      </c>
      <c r="D1707" s="885">
        <v>1.0337595699241842</v>
      </c>
      <c r="E1707" s="885">
        <v>1.013765263693676</v>
      </c>
      <c r="F1707" s="885">
        <v>1.0093457725386867</v>
      </c>
      <c r="G1707" s="885">
        <v>0.97852480801745934</v>
      </c>
      <c r="H1707" s="885">
        <v>1.0252787864519683</v>
      </c>
      <c r="I1707" s="885">
        <v>0.98296572807696192</v>
      </c>
      <c r="K1707">
        <v>1.9650002177932082</v>
      </c>
      <c r="L1707">
        <v>0</v>
      </c>
      <c r="M1707">
        <v>1.9881558642255983E-3</v>
      </c>
      <c r="N1707">
        <v>0.20910081734272282</v>
      </c>
      <c r="O1707">
        <v>2.5702169624578941E-2</v>
      </c>
      <c r="P1707">
        <v>2.1419333722084623E-2</v>
      </c>
      <c r="Q1707">
        <v>3.0683908833310978E-3</v>
      </c>
      <c r="R1707">
        <v>1.9765541102214068E-3</v>
      </c>
      <c r="S1707">
        <v>0.20959781413472009</v>
      </c>
      <c r="T1707">
        <v>1.0571115808455451</v>
      </c>
      <c r="U1707">
        <v>3.877195771989049E-2</v>
      </c>
      <c r="V1707">
        <v>0.24908037718792872</v>
      </c>
      <c r="W1707">
        <v>0.12382284597132433</v>
      </c>
      <c r="X1707">
        <v>2.1957003397948281E-2</v>
      </c>
      <c r="Y1707">
        <v>5.3795287171353482E-3</v>
      </c>
    </row>
    <row r="1708" spans="1:25" x14ac:dyDescent="0.25">
      <c r="A1708" s="881"/>
      <c r="B1708" s="1131">
        <v>1458</v>
      </c>
      <c r="C1708" s="885">
        <v>0.99278613283530515</v>
      </c>
      <c r="D1708" s="885">
        <v>0.99426966296877894</v>
      </c>
      <c r="E1708" s="885">
        <v>0.9939485234985711</v>
      </c>
      <c r="F1708" s="885">
        <v>1.0062835916810082</v>
      </c>
      <c r="G1708" s="885">
        <v>0.99217132151288356</v>
      </c>
      <c r="H1708" s="885">
        <v>1.0184741598439597</v>
      </c>
      <c r="I1708" s="885">
        <v>1.006002993770696</v>
      </c>
      <c r="K1708">
        <v>1.9548221223516291</v>
      </c>
      <c r="L1708">
        <v>0</v>
      </c>
      <c r="M1708">
        <v>2.0352390232634284E-3</v>
      </c>
      <c r="N1708">
        <v>0.2012533187106465</v>
      </c>
      <c r="O1708">
        <v>2.5403802291191848E-2</v>
      </c>
      <c r="P1708">
        <v>2.1140457458236742E-2</v>
      </c>
      <c r="Q1708">
        <v>2.9650705287586386E-3</v>
      </c>
      <c r="R1708">
        <v>2.0233152004718474E-3</v>
      </c>
      <c r="S1708">
        <v>0.2110273889579376</v>
      </c>
      <c r="T1708">
        <v>1.0589289132563673</v>
      </c>
      <c r="U1708">
        <v>3.7591490620778101E-2</v>
      </c>
      <c r="V1708">
        <v>0.24955351925186253</v>
      </c>
      <c r="W1708">
        <v>0.12079838323062307</v>
      </c>
      <c r="X1708">
        <v>2.0664904878008237E-2</v>
      </c>
      <c r="Y1708">
        <v>5.5067969900077889E-3</v>
      </c>
    </row>
    <row r="1709" spans="1:25" x14ac:dyDescent="0.25">
      <c r="A1709" s="881"/>
      <c r="B1709" s="1131">
        <v>1459</v>
      </c>
      <c r="C1709" s="885">
        <v>1.0041529447712159</v>
      </c>
      <c r="D1709" s="885">
        <v>1.0061631615185769</v>
      </c>
      <c r="E1709" s="885">
        <v>0.96552798057662248</v>
      </c>
      <c r="F1709" s="885">
        <v>0.99278198402434015</v>
      </c>
      <c r="G1709" s="885">
        <v>1.0079423887997629</v>
      </c>
      <c r="H1709" s="885">
        <v>0.97581084311034383</v>
      </c>
      <c r="I1709" s="885">
        <v>0.98151724866596202</v>
      </c>
      <c r="K1709">
        <v>1.9126231890733898</v>
      </c>
      <c r="L1709">
        <v>0</v>
      </c>
      <c r="M1709">
        <v>2.0344328993979937E-3</v>
      </c>
      <c r="N1709">
        <v>0.18407680315022845</v>
      </c>
      <c r="O1709">
        <v>2.496884084846885E-2</v>
      </c>
      <c r="P1709">
        <v>2.0506963465293061E-2</v>
      </c>
      <c r="Q1709">
        <v>2.8336574829754581E-3</v>
      </c>
      <c r="R1709">
        <v>2.0219824318747164E-3</v>
      </c>
      <c r="S1709">
        <v>0.19824411119234903</v>
      </c>
      <c r="T1709">
        <v>1.061561923450032</v>
      </c>
      <c r="U1709">
        <v>3.7165962411652202E-2</v>
      </c>
      <c r="V1709">
        <v>0.24646596602489174</v>
      </c>
      <c r="W1709">
        <v>0.11268951601924029</v>
      </c>
      <c r="X1709">
        <v>1.8618725862548643E-2</v>
      </c>
      <c r="Y1709">
        <v>5.503169633233447E-3</v>
      </c>
    </row>
    <row r="1710" spans="1:25" x14ac:dyDescent="0.25">
      <c r="A1710" s="881"/>
      <c r="B1710" s="1131">
        <v>1460</v>
      </c>
      <c r="C1710" s="885">
        <v>0.99825298308881416</v>
      </c>
      <c r="D1710" s="885">
        <v>1.0323092363330875</v>
      </c>
      <c r="E1710" s="885">
        <v>0.98509823382782857</v>
      </c>
      <c r="F1710" s="885">
        <v>0.96951195177488991</v>
      </c>
      <c r="G1710" s="885">
        <v>1.0169080966053863</v>
      </c>
      <c r="H1710" s="885">
        <v>0.98856246486830079</v>
      </c>
      <c r="I1710" s="885">
        <v>1.0283608982255552</v>
      </c>
      <c r="K1710">
        <v>1.9256845048944591</v>
      </c>
      <c r="L1710">
        <v>0</v>
      </c>
      <c r="M1710">
        <v>1.9647889626422466E-3</v>
      </c>
      <c r="N1710">
        <v>0.18896962719571248</v>
      </c>
      <c r="O1710">
        <v>2.4800312259225746E-2</v>
      </c>
      <c r="P1710">
        <v>2.0891845028546099E-2</v>
      </c>
      <c r="Q1710">
        <v>2.8763226485223731E-3</v>
      </c>
      <c r="R1710">
        <v>1.9528988672328335E-3</v>
      </c>
      <c r="S1710">
        <v>0.2078045760731089</v>
      </c>
      <c r="T1710">
        <v>1.0597454852067107</v>
      </c>
      <c r="U1710">
        <v>3.7385623918137149E-2</v>
      </c>
      <c r="V1710">
        <v>0.24415435093986324</v>
      </c>
      <c r="W1710">
        <v>0.1141193768171738</v>
      </c>
      <c r="X1710">
        <v>1.963372795919676E-2</v>
      </c>
      <c r="Y1710">
        <v>5.3151469436692076E-3</v>
      </c>
    </row>
    <row r="1711" spans="1:25" x14ac:dyDescent="0.25">
      <c r="A1711" s="881"/>
      <c r="B1711" s="1131">
        <v>1461</v>
      </c>
      <c r="C1711" s="885">
        <v>0.99798244203637032</v>
      </c>
      <c r="D1711" s="885">
        <v>0.9640899447718756</v>
      </c>
      <c r="E1711" s="885">
        <v>0.99091559073569846</v>
      </c>
      <c r="F1711" s="885">
        <v>1.0146746031114582</v>
      </c>
      <c r="G1711" s="885">
        <v>0.97418739630321771</v>
      </c>
      <c r="H1711" s="885">
        <v>0.98398449745191252</v>
      </c>
      <c r="I1711" s="885">
        <v>0.98843112402508204</v>
      </c>
      <c r="K1711">
        <v>1.9439970569146827</v>
      </c>
      <c r="L1711">
        <v>0</v>
      </c>
      <c r="M1711">
        <v>1.998928252265796E-3</v>
      </c>
      <c r="N1711">
        <v>0.19576750819054309</v>
      </c>
      <c r="O1711">
        <v>2.5661216615281417E-2</v>
      </c>
      <c r="P1711">
        <v>2.1064144930004573E-2</v>
      </c>
      <c r="Q1711">
        <v>2.9794910438660531E-3</v>
      </c>
      <c r="R1711">
        <v>1.9868327814033097E-3</v>
      </c>
      <c r="S1711">
        <v>0.20569229645165252</v>
      </c>
      <c r="T1711">
        <v>1.0592084038628045</v>
      </c>
      <c r="U1711">
        <v>3.7395758711711698E-2</v>
      </c>
      <c r="V1711">
        <v>0.25272535478369162</v>
      </c>
      <c r="W1711">
        <v>0.11775103606069254</v>
      </c>
      <c r="X1711">
        <v>2.0356437863565908E-2</v>
      </c>
      <c r="Y1711">
        <v>5.4075038717294431E-3</v>
      </c>
    </row>
    <row r="1712" spans="1:25" x14ac:dyDescent="0.25">
      <c r="A1712" s="881"/>
      <c r="B1712" s="1131">
        <v>1462</v>
      </c>
      <c r="C1712" s="885">
        <v>1.002121126901403</v>
      </c>
      <c r="D1712" s="885">
        <v>0.95838513566511696</v>
      </c>
      <c r="E1712" s="885">
        <v>0.97299896824151111</v>
      </c>
      <c r="F1712" s="885">
        <v>0.96130438863703382</v>
      </c>
      <c r="G1712" s="885">
        <v>0.97651437041064004</v>
      </c>
      <c r="H1712" s="885">
        <v>0.98583624054868857</v>
      </c>
      <c r="I1712" s="885">
        <v>0.97484670206404767</v>
      </c>
      <c r="K1712">
        <v>1.9376350319477496</v>
      </c>
      <c r="L1712">
        <v>0</v>
      </c>
      <c r="M1712">
        <v>2.0770085128202971E-3</v>
      </c>
      <c r="N1712">
        <v>0.19237450546223397</v>
      </c>
      <c r="O1712">
        <v>2.5630835713568369E-2</v>
      </c>
      <c r="P1712">
        <v>2.0762991089987578E-2</v>
      </c>
      <c r="Q1712">
        <v>2.9210881948404112E-3</v>
      </c>
      <c r="R1712">
        <v>2.0644694348788762E-3</v>
      </c>
      <c r="S1712">
        <v>0.20276779702080375</v>
      </c>
      <c r="T1712">
        <v>1.0608667436997261</v>
      </c>
      <c r="U1712">
        <v>3.7241317041496441E-2</v>
      </c>
      <c r="V1712">
        <v>0.25288988260044643</v>
      </c>
      <c r="W1712">
        <v>0.11715572070047393</v>
      </c>
      <c r="X1712">
        <v>1.9417884252541606E-2</v>
      </c>
      <c r="Y1712">
        <v>5.6188052495739953E-3</v>
      </c>
    </row>
    <row r="1713" spans="1:25" x14ac:dyDescent="0.25">
      <c r="A1713" s="881"/>
      <c r="B1713" s="1131">
        <v>1463</v>
      </c>
      <c r="C1713" s="885">
        <v>0.98782916921038677</v>
      </c>
      <c r="D1713" s="885">
        <v>0.99115997089021779</v>
      </c>
      <c r="E1713" s="885">
        <v>1.0238356886286109</v>
      </c>
      <c r="F1713" s="885">
        <v>0.99238362857852391</v>
      </c>
      <c r="G1713" s="885">
        <v>0.97027739704049953</v>
      </c>
      <c r="H1713" s="885">
        <v>0.95964916799711442</v>
      </c>
      <c r="I1713" s="885">
        <v>0.98073680712812017</v>
      </c>
      <c r="K1713">
        <v>1.9347782502351822</v>
      </c>
      <c r="L1713">
        <v>0</v>
      </c>
      <c r="M1713">
        <v>1.8123974412808366E-3</v>
      </c>
      <c r="N1713">
        <v>0.19659835445928861</v>
      </c>
      <c r="O1713">
        <v>2.5570938371394278E-2</v>
      </c>
      <c r="P1713">
        <v>2.1456054575377914E-2</v>
      </c>
      <c r="Q1713">
        <v>3.0744761512017989E-3</v>
      </c>
      <c r="R1713">
        <v>1.8011307477333086E-3</v>
      </c>
      <c r="S1713">
        <v>0.20112141579099468</v>
      </c>
      <c r="T1713">
        <v>1.0561939267697538</v>
      </c>
      <c r="U1713">
        <v>3.778012612317222E-2</v>
      </c>
      <c r="V1713">
        <v>0.25067052163440828</v>
      </c>
      <c r="W1713">
        <v>0.1156302059928272</v>
      </c>
      <c r="X1713">
        <v>2.1791412907572732E-2</v>
      </c>
      <c r="Y1713">
        <v>4.90208415273865E-3</v>
      </c>
    </row>
    <row r="1714" spans="1:25" x14ac:dyDescent="0.25">
      <c r="A1714" s="881"/>
      <c r="B1714" s="1131">
        <v>1464</v>
      </c>
      <c r="C1714" s="885">
        <v>1.0130739453699225</v>
      </c>
      <c r="D1714" s="885">
        <v>1.0219120078130275</v>
      </c>
      <c r="E1714" s="885">
        <v>0.97043518346780588</v>
      </c>
      <c r="F1714" s="885">
        <v>1.0053759077979583</v>
      </c>
      <c r="G1714" s="885">
        <v>1.0043920478836372</v>
      </c>
      <c r="H1714" s="885">
        <v>0.97301449277869512</v>
      </c>
      <c r="I1714" s="885">
        <v>1.0106173074682319</v>
      </c>
      <c r="K1714">
        <v>1.9059551723829209</v>
      </c>
      <c r="L1714">
        <v>0</v>
      </c>
      <c r="M1714">
        <v>1.9749713389147138E-3</v>
      </c>
      <c r="N1714">
        <v>0.18144792571469304</v>
      </c>
      <c r="O1714">
        <v>2.4559795338683254E-2</v>
      </c>
      <c r="P1714">
        <v>2.0563959537626918E-2</v>
      </c>
      <c r="Q1714">
        <v>2.8042822979378224E-3</v>
      </c>
      <c r="R1714">
        <v>1.9628370602775965E-3</v>
      </c>
      <c r="S1714">
        <v>0.20061171973828354</v>
      </c>
      <c r="T1714">
        <v>1.0611050620489422</v>
      </c>
      <c r="U1714">
        <v>3.6838683663204343E-2</v>
      </c>
      <c r="V1714">
        <v>0.24334873070426721</v>
      </c>
      <c r="W1714">
        <v>0.11069935904707737</v>
      </c>
      <c r="X1714">
        <v>1.8645593141827278E-2</v>
      </c>
      <c r="Y1714">
        <v>5.3421954290125955E-3</v>
      </c>
    </row>
    <row r="1715" spans="1:25" x14ac:dyDescent="0.25">
      <c r="A1715" s="881"/>
      <c r="B1715" s="1131">
        <v>1465</v>
      </c>
      <c r="C1715" s="885">
        <v>0.98687353545375756</v>
      </c>
      <c r="D1715" s="885">
        <v>0.96853364787723517</v>
      </c>
      <c r="E1715" s="885">
        <v>1.0074441177913191</v>
      </c>
      <c r="F1715" s="885">
        <v>0.98897729839667814</v>
      </c>
      <c r="G1715" s="885">
        <v>1.0264580139399109</v>
      </c>
      <c r="H1715" s="885">
        <v>1.0006081977872012</v>
      </c>
      <c r="I1715" s="885">
        <v>1.0286043025570797</v>
      </c>
      <c r="K1715">
        <v>1.9701092233483675</v>
      </c>
      <c r="L1715">
        <v>0</v>
      </c>
      <c r="M1715">
        <v>1.980737924771464E-3</v>
      </c>
      <c r="N1715">
        <v>0.20424300530484513</v>
      </c>
      <c r="O1715">
        <v>2.5890793383149036E-2</v>
      </c>
      <c r="P1715">
        <v>2.1490985571820293E-2</v>
      </c>
      <c r="Q1715">
        <v>3.0575267673507768E-3</v>
      </c>
      <c r="R1715">
        <v>1.9689478305424542E-3</v>
      </c>
      <c r="S1715">
        <v>0.21778479003196258</v>
      </c>
      <c r="T1715">
        <v>1.057689610553989</v>
      </c>
      <c r="U1715">
        <v>3.7816710308030778E-2</v>
      </c>
      <c r="V1715">
        <v>0.25376822084063227</v>
      </c>
      <c r="W1715">
        <v>0.12146658259763395</v>
      </c>
      <c r="X1715">
        <v>2.1553961151922315E-2</v>
      </c>
      <c r="Y1715">
        <v>5.3588269312586619E-3</v>
      </c>
    </row>
    <row r="1716" spans="1:25" x14ac:dyDescent="0.25">
      <c r="A1716" s="881"/>
      <c r="B1716" s="1131">
        <v>1466</v>
      </c>
      <c r="C1716" s="885">
        <v>1.0103234003891171</v>
      </c>
      <c r="D1716" s="885">
        <v>0.99687128042590789</v>
      </c>
      <c r="E1716" s="885">
        <v>0.98138270109535286</v>
      </c>
      <c r="F1716" s="885">
        <v>0.98104322024225743</v>
      </c>
      <c r="G1716" s="885">
        <v>1.0149580308075579</v>
      </c>
      <c r="H1716" s="885">
        <v>1.0030101441088504</v>
      </c>
      <c r="I1716" s="885">
        <v>0.99386441201614661</v>
      </c>
      <c r="K1716">
        <v>1.9288057316482534</v>
      </c>
      <c r="L1716">
        <v>0</v>
      </c>
      <c r="M1716">
        <v>2.0196443167116635E-3</v>
      </c>
      <c r="N1716">
        <v>0.19202991763065214</v>
      </c>
      <c r="O1716">
        <v>2.49305526227111E-2</v>
      </c>
      <c r="P1716">
        <v>2.080297128014514E-2</v>
      </c>
      <c r="Q1716">
        <v>2.8735866110996934E-3</v>
      </c>
      <c r="R1716">
        <v>2.0076272500855743E-3</v>
      </c>
      <c r="S1716">
        <v>0.20307447943487628</v>
      </c>
      <c r="T1716">
        <v>1.0600892056230753</v>
      </c>
      <c r="U1716">
        <v>3.6938974774357654E-2</v>
      </c>
      <c r="V1716">
        <v>0.24674785087248935</v>
      </c>
      <c r="W1716">
        <v>0.11626618533788197</v>
      </c>
      <c r="X1716">
        <v>1.9599924967003579E-2</v>
      </c>
      <c r="Y1716">
        <v>5.4640995605878089E-3</v>
      </c>
    </row>
    <row r="1717" spans="1:25" x14ac:dyDescent="0.25">
      <c r="A1717" s="881"/>
      <c r="B1717" s="1131">
        <v>1467</v>
      </c>
      <c r="C1717" s="885">
        <v>0.98871057065851387</v>
      </c>
      <c r="D1717" s="885">
        <v>1.0112829833833068</v>
      </c>
      <c r="E1717" s="885">
        <v>0.9640249572162618</v>
      </c>
      <c r="F1717" s="885">
        <v>0.98279471144470831</v>
      </c>
      <c r="G1717" s="885">
        <v>0.98073749924180664</v>
      </c>
      <c r="H1717" s="885">
        <v>0.97737899112028681</v>
      </c>
      <c r="I1717" s="885">
        <v>1.0236888358258673</v>
      </c>
      <c r="K1717">
        <v>1.9311041394294119</v>
      </c>
      <c r="L1717">
        <v>0</v>
      </c>
      <c r="M1717">
        <v>2.0708542253562246E-3</v>
      </c>
      <c r="N1717">
        <v>0.18649726679365969</v>
      </c>
      <c r="O1717">
        <v>2.5295267344003988E-2</v>
      </c>
      <c r="P1717">
        <v>2.0665081191458896E-2</v>
      </c>
      <c r="Q1717">
        <v>2.8672938953909991E-3</v>
      </c>
      <c r="R1717">
        <v>2.0581967636840288E-3</v>
      </c>
      <c r="S1717">
        <v>0.20966691842859414</v>
      </c>
      <c r="T1717">
        <v>1.0617020413578722</v>
      </c>
      <c r="U1717">
        <v>3.7746446440903691E-2</v>
      </c>
      <c r="V1717">
        <v>0.24801543878221119</v>
      </c>
      <c r="W1717">
        <v>0.1142917123012982</v>
      </c>
      <c r="X1717">
        <v>1.8767597249321664E-2</v>
      </c>
      <c r="Y1717">
        <v>5.6017331063671263E-3</v>
      </c>
    </row>
    <row r="1718" spans="1:25" x14ac:dyDescent="0.25">
      <c r="A1718" s="881"/>
      <c r="B1718" s="1131">
        <v>1468</v>
      </c>
      <c r="C1718" s="885">
        <v>0.98674365080718784</v>
      </c>
      <c r="D1718" s="885">
        <v>0.99333614654088376</v>
      </c>
      <c r="E1718" s="885">
        <v>1.0141689786317238</v>
      </c>
      <c r="F1718" s="885">
        <v>1.0055964360365235</v>
      </c>
      <c r="G1718" s="885">
        <v>1.01451138326316</v>
      </c>
      <c r="H1718" s="885">
        <v>1.0108330872189735</v>
      </c>
      <c r="I1718" s="885">
        <v>1.011625445125045</v>
      </c>
      <c r="K1718">
        <v>1.9620224741622432</v>
      </c>
      <c r="L1718">
        <v>0</v>
      </c>
      <c r="M1718">
        <v>1.9484672559036108E-3</v>
      </c>
      <c r="N1718">
        <v>0.20517006179369413</v>
      </c>
      <c r="O1718">
        <v>2.5571263709184899E-2</v>
      </c>
      <c r="P1718">
        <v>2.1476490264682586E-2</v>
      </c>
      <c r="Q1718">
        <v>3.0455614414326478E-3</v>
      </c>
      <c r="R1718">
        <v>1.936966260670135E-3</v>
      </c>
      <c r="S1718">
        <v>0.21280312005959243</v>
      </c>
      <c r="T1718">
        <v>1.0570747166075221</v>
      </c>
      <c r="U1718">
        <v>3.7821688105505104E-2</v>
      </c>
      <c r="V1718">
        <v>0.25054424009812926</v>
      </c>
      <c r="W1718">
        <v>0.12146194571274374</v>
      </c>
      <c r="X1718">
        <v>2.1793103724201617E-2</v>
      </c>
      <c r="Y1718">
        <v>5.2717836407878832E-3</v>
      </c>
    </row>
    <row r="1719" spans="1:25" x14ac:dyDescent="0.25">
      <c r="A1719" s="881"/>
      <c r="B1719" s="1131">
        <v>1469</v>
      </c>
      <c r="C1719" s="885">
        <v>1.0470333497007802</v>
      </c>
      <c r="D1719" s="885">
        <v>0.96241394998215346</v>
      </c>
      <c r="E1719" s="885">
        <v>0.99158339188440237</v>
      </c>
      <c r="F1719" s="885">
        <v>1.0041860470870194</v>
      </c>
      <c r="G1719" s="885">
        <v>0.97781608997653413</v>
      </c>
      <c r="H1719" s="885">
        <v>0.96452745101433335</v>
      </c>
      <c r="I1719" s="885">
        <v>1.0252724842208483</v>
      </c>
      <c r="K1719">
        <v>1.9085985773662397</v>
      </c>
      <c r="L1719">
        <v>0</v>
      </c>
      <c r="M1719">
        <v>1.8666016973389499E-3</v>
      </c>
      <c r="N1719">
        <v>0.18316603022091021</v>
      </c>
      <c r="O1719">
        <v>2.4480236608596974E-2</v>
      </c>
      <c r="P1719">
        <v>2.090436749658544E-2</v>
      </c>
      <c r="Q1719">
        <v>2.843936188021882E-3</v>
      </c>
      <c r="R1719">
        <v>1.8550804986636701E-3</v>
      </c>
      <c r="S1719">
        <v>0.2015618348487038</v>
      </c>
      <c r="T1719">
        <v>1.0591468339854</v>
      </c>
      <c r="U1719">
        <v>3.5643860447790165E-2</v>
      </c>
      <c r="V1719">
        <v>0.24610786967169712</v>
      </c>
      <c r="W1719">
        <v>0.11012080923729317</v>
      </c>
      <c r="X1719">
        <v>1.95854022696762E-2</v>
      </c>
      <c r="Y1719">
        <v>5.0489175902404771E-3</v>
      </c>
    </row>
    <row r="1720" spans="1:25" x14ac:dyDescent="0.25">
      <c r="A1720" s="881"/>
      <c r="B1720" s="1131">
        <v>1470</v>
      </c>
      <c r="C1720" s="885">
        <v>1.0040207183914927</v>
      </c>
      <c r="D1720" s="885">
        <v>0.97481732301384438</v>
      </c>
      <c r="E1720" s="885">
        <v>0.9922795409398667</v>
      </c>
      <c r="F1720" s="885">
        <v>0.99037624212284869</v>
      </c>
      <c r="G1720" s="885">
        <v>1.0266974896732748</v>
      </c>
      <c r="H1720" s="885">
        <v>0.99167332664357077</v>
      </c>
      <c r="I1720" s="885">
        <v>1.0161583118761945</v>
      </c>
      <c r="K1720">
        <v>1.9444247725611308</v>
      </c>
      <c r="L1720">
        <v>0</v>
      </c>
      <c r="M1720">
        <v>1.9857518624754561E-3</v>
      </c>
      <c r="N1720">
        <v>0.19531287705423195</v>
      </c>
      <c r="O1720">
        <v>2.5366961345448601E-2</v>
      </c>
      <c r="P1720">
        <v>2.1107353577503249E-2</v>
      </c>
      <c r="Q1720">
        <v>2.9516923063380679E-3</v>
      </c>
      <c r="R1720">
        <v>1.9738200135651176E-3</v>
      </c>
      <c r="S1720">
        <v>0.20991886180866345</v>
      </c>
      <c r="T1720">
        <v>1.0590826689514579</v>
      </c>
      <c r="U1720">
        <v>3.7170857052338982E-2</v>
      </c>
      <c r="V1720">
        <v>0.25044071811815949</v>
      </c>
      <c r="W1720">
        <v>0.11736735015331269</v>
      </c>
      <c r="X1720">
        <v>2.0345276635255063E-2</v>
      </c>
      <c r="Y1720">
        <v>5.3720874073316504E-3</v>
      </c>
    </row>
    <row r="1721" spans="1:25" x14ac:dyDescent="0.25">
      <c r="A1721" s="881"/>
      <c r="B1721" s="1131">
        <v>1471</v>
      </c>
      <c r="C1721" s="885">
        <v>0.99157208621002402</v>
      </c>
      <c r="D1721" s="885">
        <v>1.0150290235134498</v>
      </c>
      <c r="E1721" s="885">
        <v>1.0341571197044603</v>
      </c>
      <c r="F1721" s="885">
        <v>1.005851102913903</v>
      </c>
      <c r="G1721" s="885">
        <v>0.99968993664667871</v>
      </c>
      <c r="H1721" s="885">
        <v>0.99281691581785236</v>
      </c>
      <c r="I1721" s="885">
        <v>0.98116046445542793</v>
      </c>
      <c r="K1721">
        <v>1.939247098569437</v>
      </c>
      <c r="L1721">
        <v>0</v>
      </c>
      <c r="M1721">
        <v>1.8062465176683102E-3</v>
      </c>
      <c r="N1721">
        <v>0.20235114901933293</v>
      </c>
      <c r="O1721">
        <v>2.5176233247916648E-2</v>
      </c>
      <c r="P1721">
        <v>2.1559716054384351E-2</v>
      </c>
      <c r="Q1721">
        <v>3.0631553220141715E-3</v>
      </c>
      <c r="R1721">
        <v>1.7953752902952352E-3</v>
      </c>
      <c r="S1721">
        <v>0.20157221398807809</v>
      </c>
      <c r="T1721">
        <v>1.0552575167232687</v>
      </c>
      <c r="U1721">
        <v>3.7637516343932378E-2</v>
      </c>
      <c r="V1721">
        <v>0.24715274613399779</v>
      </c>
      <c r="W1721">
        <v>0.11819284261582491</v>
      </c>
      <c r="X1721">
        <v>2.2408460653180504E-2</v>
      </c>
      <c r="Y1721">
        <v>4.8864196948782456E-3</v>
      </c>
    </row>
    <row r="1722" spans="1:25" x14ac:dyDescent="0.25">
      <c r="A1722" s="881"/>
      <c r="B1722" s="1131">
        <v>1472</v>
      </c>
      <c r="C1722" s="885">
        <v>0.99128537675857564</v>
      </c>
      <c r="D1722" s="885">
        <v>0.97827223445428613</v>
      </c>
      <c r="E1722" s="885">
        <v>1.0148135573347088</v>
      </c>
      <c r="F1722" s="885">
        <v>0.99974372933883948</v>
      </c>
      <c r="G1722" s="885">
        <v>1.006058291825026</v>
      </c>
      <c r="H1722" s="885">
        <v>1.0082467225161729</v>
      </c>
      <c r="I1722" s="885">
        <v>0.96871116359498177</v>
      </c>
      <c r="K1722">
        <v>1.9545821704931254</v>
      </c>
      <c r="L1722">
        <v>0</v>
      </c>
      <c r="M1722">
        <v>1.9466328430386287E-3</v>
      </c>
      <c r="N1722">
        <v>0.20538609770483787</v>
      </c>
      <c r="O1722">
        <v>2.5647755782866745E-2</v>
      </c>
      <c r="P1722">
        <v>2.1380012422821802E-2</v>
      </c>
      <c r="Q1722">
        <v>3.0533608597488001E-3</v>
      </c>
      <c r="R1722">
        <v>1.9351254694952621E-3</v>
      </c>
      <c r="S1722">
        <v>0.20401514110098523</v>
      </c>
      <c r="T1722">
        <v>1.0570158716822013</v>
      </c>
      <c r="U1722">
        <v>3.7648402242098367E-2</v>
      </c>
      <c r="V1722">
        <v>0.25183309016117239</v>
      </c>
      <c r="W1722">
        <v>0.12153676385177595</v>
      </c>
      <c r="X1722">
        <v>2.1810408444134823E-2</v>
      </c>
      <c r="Y1722">
        <v>5.2667736140265282E-3</v>
      </c>
    </row>
    <row r="1723" spans="1:25" x14ac:dyDescent="0.25">
      <c r="A1723" s="881"/>
      <c r="B1723" s="1131">
        <v>1473</v>
      </c>
      <c r="C1723" s="885">
        <v>0.98675694981786866</v>
      </c>
      <c r="D1723" s="885">
        <v>1.0095285587181992</v>
      </c>
      <c r="E1723" s="885">
        <v>1.0197213595146744</v>
      </c>
      <c r="F1723" s="885">
        <v>1.0148917879133117</v>
      </c>
      <c r="G1723" s="885">
        <v>0.99134263527393252</v>
      </c>
      <c r="H1723" s="885">
        <v>1.0014115766040281</v>
      </c>
      <c r="I1723" s="885">
        <v>0.99901607127934589</v>
      </c>
      <c r="K1723">
        <v>1.9496832563820816</v>
      </c>
      <c r="L1723">
        <v>0</v>
      </c>
      <c r="M1723">
        <v>1.8925904617111873E-3</v>
      </c>
      <c r="N1723">
        <v>0.202741650024163</v>
      </c>
      <c r="O1723">
        <v>2.536711001881017E-2</v>
      </c>
      <c r="P1723">
        <v>2.145752801740745E-2</v>
      </c>
      <c r="Q1723">
        <v>3.0414220260589304E-3</v>
      </c>
      <c r="R1723">
        <v>1.8813015490124036E-3</v>
      </c>
      <c r="S1723">
        <v>0.20763255274078074</v>
      </c>
      <c r="T1723">
        <v>1.056568360591863</v>
      </c>
      <c r="U1723">
        <v>3.7821178363937835E-2</v>
      </c>
      <c r="V1723">
        <v>0.24850942497603001</v>
      </c>
      <c r="W1723">
        <v>0.11957451406870007</v>
      </c>
      <c r="X1723">
        <v>2.1860521821506003E-2</v>
      </c>
      <c r="Y1723">
        <v>5.1202826455228057E-3</v>
      </c>
    </row>
    <row r="1724" spans="1:25" x14ac:dyDescent="0.25">
      <c r="A1724" s="881"/>
      <c r="B1724" s="1131">
        <v>1474</v>
      </c>
      <c r="C1724" s="885">
        <v>0.99224495756944442</v>
      </c>
      <c r="D1724" s="885">
        <v>1.0137391466892709</v>
      </c>
      <c r="E1724" s="885">
        <v>1.0220908085823228</v>
      </c>
      <c r="F1724" s="885">
        <v>0.99987015444159333</v>
      </c>
      <c r="G1724" s="885">
        <v>1.0008935282477598</v>
      </c>
      <c r="H1724" s="885">
        <v>0.99742187548284189</v>
      </c>
      <c r="I1724" s="885">
        <v>0.97382888627689446</v>
      </c>
      <c r="K1724">
        <v>1.9372298703802202</v>
      </c>
      <c r="L1724">
        <v>0</v>
      </c>
      <c r="M1724">
        <v>1.8614340179210547E-3</v>
      </c>
      <c r="N1724">
        <v>0.20087195410988423</v>
      </c>
      <c r="O1724">
        <v>2.5174970045885772E-2</v>
      </c>
      <c r="P1724">
        <v>2.1371968582682855E-2</v>
      </c>
      <c r="Q1724">
        <v>3.0263735326101905E-3</v>
      </c>
      <c r="R1724">
        <v>1.8502833353110735E-3</v>
      </c>
      <c r="S1724">
        <v>0.20050108855716839</v>
      </c>
      <c r="T1724">
        <v>1.056352642682276</v>
      </c>
      <c r="U1724">
        <v>3.7611993204112508E-2</v>
      </c>
      <c r="V1724">
        <v>0.24721092828931804</v>
      </c>
      <c r="W1724">
        <v>0.11828264190455037</v>
      </c>
      <c r="X1724">
        <v>2.1800598861365192E-2</v>
      </c>
      <c r="Y1724">
        <v>5.0358612929791834E-3</v>
      </c>
    </row>
    <row r="1725" spans="1:25" x14ac:dyDescent="0.25">
      <c r="A1725" s="881"/>
      <c r="B1725" s="1131">
        <v>1475</v>
      </c>
      <c r="C1725" s="885">
        <v>0.98744759225136258</v>
      </c>
      <c r="D1725" s="885">
        <v>1.0442197177163346</v>
      </c>
      <c r="E1725" s="885">
        <v>1.0144406629199394</v>
      </c>
      <c r="F1725" s="885">
        <v>1.031624855760328</v>
      </c>
      <c r="G1725" s="885">
        <v>0.97695412968590445</v>
      </c>
      <c r="H1725" s="885">
        <v>0.96403913445056266</v>
      </c>
      <c r="I1725" s="885">
        <v>0.98928448494170451</v>
      </c>
      <c r="K1725">
        <v>1.9163410925501128</v>
      </c>
      <c r="L1725">
        <v>0</v>
      </c>
      <c r="M1725">
        <v>1.8106997097254705E-3</v>
      </c>
      <c r="N1725">
        <v>0.1907653590933194</v>
      </c>
      <c r="O1725">
        <v>2.4930463619741126E-2</v>
      </c>
      <c r="P1725">
        <v>2.119761018282532E-2</v>
      </c>
      <c r="Q1725">
        <v>2.9803242079554392E-3</v>
      </c>
      <c r="R1725">
        <v>1.799454569538174E-3</v>
      </c>
      <c r="S1725">
        <v>0.19860670284135901</v>
      </c>
      <c r="T1725">
        <v>1.0570499120073995</v>
      </c>
      <c r="U1725">
        <v>3.7794725404947591E-2</v>
      </c>
      <c r="V1725">
        <v>0.24426409976847593</v>
      </c>
      <c r="W1725">
        <v>0.11291348856334023</v>
      </c>
      <c r="X1725">
        <v>2.0952129852692201E-2</v>
      </c>
      <c r="Y1725">
        <v>4.8975221482434866E-3</v>
      </c>
    </row>
    <row r="1726" spans="1:25" x14ac:dyDescent="0.25">
      <c r="A1726" s="881"/>
      <c r="B1726" s="1131">
        <v>1476</v>
      </c>
      <c r="C1726" s="885">
        <v>1.0176396778751735</v>
      </c>
      <c r="D1726" s="885">
        <v>1.012421624882935</v>
      </c>
      <c r="E1726" s="885">
        <v>0.99629412453490285</v>
      </c>
      <c r="F1726" s="885">
        <v>0.998188845769719</v>
      </c>
      <c r="G1726" s="885">
        <v>1.0091783381747468</v>
      </c>
      <c r="H1726" s="885">
        <v>0.9921722168222239</v>
      </c>
      <c r="I1726" s="885">
        <v>1.0020176136434467</v>
      </c>
      <c r="K1726">
        <v>1.9174304368864379</v>
      </c>
      <c r="L1726">
        <v>0</v>
      </c>
      <c r="M1726">
        <v>1.9075953878745465E-3</v>
      </c>
      <c r="N1726">
        <v>0.18998229332129898</v>
      </c>
      <c r="O1726">
        <v>2.4562518996013177E-2</v>
      </c>
      <c r="P1726">
        <v>2.0944909056156091E-2</v>
      </c>
      <c r="Q1726">
        <v>2.8772849678237781E-3</v>
      </c>
      <c r="R1726">
        <v>1.8961087485584085E-3</v>
      </c>
      <c r="S1726">
        <v>0.20075657451498094</v>
      </c>
      <c r="T1726">
        <v>1.0587130070000335</v>
      </c>
      <c r="U1726">
        <v>3.6673403575263039E-2</v>
      </c>
      <c r="V1726">
        <v>0.24385711076954136</v>
      </c>
      <c r="W1726">
        <v>0.11384967441602306</v>
      </c>
      <c r="X1726">
        <v>2.0064563947123127E-2</v>
      </c>
      <c r="Y1726">
        <v>5.1605829614950116E-3</v>
      </c>
    </row>
    <row r="1727" spans="1:25" x14ac:dyDescent="0.25">
      <c r="A1727" s="881"/>
      <c r="B1727" s="1131">
        <v>1477</v>
      </c>
      <c r="C1727" s="885">
        <v>1.0029205972789923</v>
      </c>
      <c r="D1727" s="885">
        <v>1.0383958423852626</v>
      </c>
      <c r="E1727" s="885">
        <v>0.98415749930648289</v>
      </c>
      <c r="F1727" s="885">
        <v>0.99410046335268243</v>
      </c>
      <c r="G1727" s="885">
        <v>0.99030819012579996</v>
      </c>
      <c r="H1727" s="885">
        <v>1.0149884342691093</v>
      </c>
      <c r="I1727" s="885">
        <v>0.98807427186513164</v>
      </c>
      <c r="K1727">
        <v>1.9226006467376788</v>
      </c>
      <c r="L1727">
        <v>0</v>
      </c>
      <c r="M1727">
        <v>2.006081572456265E-3</v>
      </c>
      <c r="N1727">
        <v>0.19240660559460773</v>
      </c>
      <c r="O1727">
        <v>2.4613505921535418E-2</v>
      </c>
      <c r="P1727">
        <v>2.0762948193873886E-2</v>
      </c>
      <c r="Q1727">
        <v>2.8530870237892026E-3</v>
      </c>
      <c r="R1727">
        <v>1.994252920085694E-3</v>
      </c>
      <c r="S1727">
        <v>0.20078799890444851</v>
      </c>
      <c r="T1727">
        <v>1.0598324610061394</v>
      </c>
      <c r="U1727">
        <v>3.7211630414381795E-2</v>
      </c>
      <c r="V1727">
        <v>0.24280295408462155</v>
      </c>
      <c r="W1727">
        <v>0.1162706062300395</v>
      </c>
      <c r="X1727">
        <v>1.9642978973437461E-2</v>
      </c>
      <c r="Y1727">
        <v>5.4276990431748346E-3</v>
      </c>
    </row>
    <row r="1728" spans="1:25" x14ac:dyDescent="0.25">
      <c r="A1728" s="881"/>
      <c r="B1728" s="1131">
        <v>1478</v>
      </c>
      <c r="C1728" s="885">
        <v>0.98495474674741501</v>
      </c>
      <c r="D1728" s="885">
        <v>0.98910580741751253</v>
      </c>
      <c r="E1728" s="885">
        <v>1.0310072685635983</v>
      </c>
      <c r="F1728" s="885">
        <v>1.0362006696463597</v>
      </c>
      <c r="G1728" s="885">
        <v>0.99399061271716582</v>
      </c>
      <c r="H1728" s="885">
        <v>0.99215456813973757</v>
      </c>
      <c r="I1728" s="885">
        <v>1.0216688178610531</v>
      </c>
      <c r="K1728">
        <v>1.9625456774230643</v>
      </c>
      <c r="L1728">
        <v>0</v>
      </c>
      <c r="M1728">
        <v>1.8528730122711742E-3</v>
      </c>
      <c r="N1728">
        <v>0.20555669358690479</v>
      </c>
      <c r="O1728">
        <v>2.5671948633767424E-2</v>
      </c>
      <c r="P1728">
        <v>2.1746767284129092E-2</v>
      </c>
      <c r="Q1728">
        <v>3.1081641463511084E-3</v>
      </c>
      <c r="R1728">
        <v>1.8417336803573845E-3</v>
      </c>
      <c r="S1728">
        <v>0.21375774931739117</v>
      </c>
      <c r="T1728">
        <v>1.0555428442230994</v>
      </c>
      <c r="U1728">
        <v>3.7890380978576541E-2</v>
      </c>
      <c r="V1728">
        <v>0.25134820884792181</v>
      </c>
      <c r="W1728">
        <v>0.12031843744499932</v>
      </c>
      <c r="X1728">
        <v>2.260303034124627E-2</v>
      </c>
      <c r="Y1728">
        <v>5.0125919505882412E-3</v>
      </c>
    </row>
    <row r="1729" spans="1:25" x14ac:dyDescent="0.25">
      <c r="A1729" s="881"/>
      <c r="B1729" s="1131">
        <v>1479</v>
      </c>
      <c r="C1729" s="885">
        <v>1.0103629573280541</v>
      </c>
      <c r="D1729" s="885">
        <v>1.0022972076793228</v>
      </c>
      <c r="E1729" s="885">
        <v>0.99015077473260382</v>
      </c>
      <c r="F1729" s="885">
        <v>1.018488726974164</v>
      </c>
      <c r="G1729" s="885">
        <v>0.9939743139493431</v>
      </c>
      <c r="H1729" s="885">
        <v>1.0066794172238047</v>
      </c>
      <c r="I1729" s="885">
        <v>1.0172264567936868</v>
      </c>
      <c r="K1729">
        <v>1.9347796051913788</v>
      </c>
      <c r="L1729">
        <v>0</v>
      </c>
      <c r="M1729">
        <v>1.9846153801116794E-3</v>
      </c>
      <c r="N1729">
        <v>0.19392698337922304</v>
      </c>
      <c r="O1729">
        <v>2.4862678979912598E-2</v>
      </c>
      <c r="P1729">
        <v>2.0983856946069218E-2</v>
      </c>
      <c r="Q1729">
        <v>2.8924286959856669E-3</v>
      </c>
      <c r="R1729">
        <v>1.9728453532427467E-3</v>
      </c>
      <c r="S1729">
        <v>0.20769592318906488</v>
      </c>
      <c r="T1729">
        <v>1.0592789396084015</v>
      </c>
      <c r="U1729">
        <v>3.6937528568557171E-2</v>
      </c>
      <c r="V1729">
        <v>0.24607791528352144</v>
      </c>
      <c r="W1729">
        <v>0.11670545323065437</v>
      </c>
      <c r="X1729">
        <v>2.0060232633625066E-2</v>
      </c>
      <c r="Y1729">
        <v>5.3694347032308453E-3</v>
      </c>
    </row>
    <row r="1730" spans="1:25" x14ac:dyDescent="0.25">
      <c r="A1730" s="881"/>
      <c r="B1730" s="1131">
        <v>1480</v>
      </c>
      <c r="C1730" s="885">
        <v>0.99293640562791097</v>
      </c>
      <c r="D1730" s="885">
        <v>0.99236296715563588</v>
      </c>
      <c r="E1730" s="885">
        <v>1.013765646613255</v>
      </c>
      <c r="F1730" s="885">
        <v>0.99220793297517529</v>
      </c>
      <c r="G1730" s="885">
        <v>0.97829643668487398</v>
      </c>
      <c r="H1730" s="885">
        <v>0.96512610891181172</v>
      </c>
      <c r="I1730" s="885">
        <v>1.0227283804420055</v>
      </c>
      <c r="K1730">
        <v>1.9395940024444436</v>
      </c>
      <c r="L1730">
        <v>0</v>
      </c>
      <c r="M1730">
        <v>1.8512328738698584E-3</v>
      </c>
      <c r="N1730">
        <v>0.19463259871719463</v>
      </c>
      <c r="O1730">
        <v>2.5424125276791398E-2</v>
      </c>
      <c r="P1730">
        <v>2.1405884214732881E-2</v>
      </c>
      <c r="Q1730">
        <v>3.0266117001877561E-3</v>
      </c>
      <c r="R1730">
        <v>1.839789102864778E-3</v>
      </c>
      <c r="S1730">
        <v>0.20911087509507434</v>
      </c>
      <c r="T1730">
        <v>1.057111545877168</v>
      </c>
      <c r="U1730">
        <v>3.7585801456555878E-2</v>
      </c>
      <c r="V1730">
        <v>0.24977760036854263</v>
      </c>
      <c r="W1730">
        <v>0.11525519767974704</v>
      </c>
      <c r="X1730">
        <v>2.1267906377768993E-2</v>
      </c>
      <c r="Y1730">
        <v>5.0072994516831637E-3</v>
      </c>
    </row>
    <row r="1731" spans="1:25" x14ac:dyDescent="0.25">
      <c r="A1731" s="881"/>
      <c r="B1731" s="1131">
        <v>1481</v>
      </c>
      <c r="C1731" s="885">
        <v>0.97815412480409825</v>
      </c>
      <c r="D1731" s="885">
        <v>1.0199291528322332</v>
      </c>
      <c r="E1731" s="885">
        <v>1.0032978934303565</v>
      </c>
      <c r="F1731" s="885">
        <v>1.0165949003983497</v>
      </c>
      <c r="G1731" s="885">
        <v>0.98822126412480471</v>
      </c>
      <c r="H1731" s="885">
        <v>0.99228457734810482</v>
      </c>
      <c r="I1731" s="885">
        <v>0.97510886186316637</v>
      </c>
      <c r="K1731">
        <v>1.9397341038224023</v>
      </c>
      <c r="L1731">
        <v>0</v>
      </c>
      <c r="M1731">
        <v>1.9486479908521952E-3</v>
      </c>
      <c r="N1731">
        <v>0.19834553145069186</v>
      </c>
      <c r="O1731">
        <v>2.5460969184882699E-2</v>
      </c>
      <c r="P1731">
        <v>2.1154246277610977E-2</v>
      </c>
      <c r="Q1731">
        <v>3.0051406639617392E-3</v>
      </c>
      <c r="R1731">
        <v>1.9369095150648884E-3</v>
      </c>
      <c r="S1731">
        <v>0.20257659040902909</v>
      </c>
      <c r="T1731">
        <v>1.0580696037757928</v>
      </c>
      <c r="U1731">
        <v>3.8153814061144257E-2</v>
      </c>
      <c r="V1731">
        <v>0.24847631941916559</v>
      </c>
      <c r="W1731">
        <v>0.1182931329174208</v>
      </c>
      <c r="X1731">
        <v>2.0938864940532414E-2</v>
      </c>
      <c r="Y1731">
        <v>5.2716291979565877E-3</v>
      </c>
    </row>
    <row r="1732" spans="1:25" x14ac:dyDescent="0.25">
      <c r="A1732" s="881"/>
      <c r="B1732" s="1131">
        <v>1482</v>
      </c>
      <c r="C1732" s="885">
        <v>0.95841428245715687</v>
      </c>
      <c r="D1732" s="885">
        <v>1.0185793821409195</v>
      </c>
      <c r="E1732" s="885">
        <v>1.0167236385652689</v>
      </c>
      <c r="F1732" s="885">
        <v>1.0094679079751436</v>
      </c>
      <c r="G1732" s="885">
        <v>0.98257234795696646</v>
      </c>
      <c r="H1732" s="885">
        <v>0.98834500771820255</v>
      </c>
      <c r="I1732" s="885">
        <v>0.97898310850598058</v>
      </c>
      <c r="K1732">
        <v>1.9577008373736591</v>
      </c>
      <c r="L1732">
        <v>0</v>
      </c>
      <c r="M1732">
        <v>1.9268390599660376E-3</v>
      </c>
      <c r="N1732">
        <v>0.20447999073375492</v>
      </c>
      <c r="O1732">
        <v>2.600236667375961E-2</v>
      </c>
      <c r="P1732">
        <v>2.1467089956794423E-2</v>
      </c>
      <c r="Q1732">
        <v>3.1102235181887186E-3</v>
      </c>
      <c r="R1732">
        <v>1.9151867533309316E-3</v>
      </c>
      <c r="S1732">
        <v>0.20729265851612125</v>
      </c>
      <c r="T1732">
        <v>1.0568415917183429</v>
      </c>
      <c r="U1732">
        <v>3.8939643621791663E-2</v>
      </c>
      <c r="V1732">
        <v>0.25156407716988638</v>
      </c>
      <c r="W1732">
        <v>0.12084426360159294</v>
      </c>
      <c r="X1732">
        <v>2.1958077168639293E-2</v>
      </c>
      <c r="Y1732">
        <v>5.212507001423239E-3</v>
      </c>
    </row>
    <row r="1733" spans="1:25" x14ac:dyDescent="0.25">
      <c r="A1733" s="881"/>
      <c r="B1733" s="1131">
        <v>1483</v>
      </c>
      <c r="C1733" s="885">
        <v>0.97114770083768409</v>
      </c>
      <c r="D1733" s="885">
        <v>0.99926053146149008</v>
      </c>
      <c r="E1733" s="885">
        <v>0.98449743379316734</v>
      </c>
      <c r="F1733" s="885">
        <v>0.97155537542009873</v>
      </c>
      <c r="G1733" s="885">
        <v>1.017785764490426</v>
      </c>
      <c r="H1733" s="885">
        <v>0.98653216401143728</v>
      </c>
      <c r="I1733" s="885">
        <v>0.98176359947640002</v>
      </c>
      <c r="K1733">
        <v>1.9484980456360657</v>
      </c>
      <c r="L1733">
        <v>0</v>
      </c>
      <c r="M1733">
        <v>2.0506923195939201E-3</v>
      </c>
      <c r="N1733">
        <v>0.19686313971630592</v>
      </c>
      <c r="O1733">
        <v>2.5905517658115815E-2</v>
      </c>
      <c r="P1733">
        <v>2.0990380596068028E-2</v>
      </c>
      <c r="Q1733">
        <v>2.9959174613120964E-3</v>
      </c>
      <c r="R1733">
        <v>2.0382846488044013E-3</v>
      </c>
      <c r="S1733">
        <v>0.20677841960158158</v>
      </c>
      <c r="T1733">
        <v>1.0598010283301382</v>
      </c>
      <c r="U1733">
        <v>3.8429077851623861E-2</v>
      </c>
      <c r="V1733">
        <v>0.25208965285423957</v>
      </c>
      <c r="W1733">
        <v>0.11893570100430362</v>
      </c>
      <c r="X1733">
        <v>2.0174079339475581E-2</v>
      </c>
      <c r="Y1733">
        <v>5.5475388936916843E-3</v>
      </c>
    </row>
    <row r="1734" spans="1:25" x14ac:dyDescent="0.25">
      <c r="A1734" s="881"/>
      <c r="B1734" s="1131">
        <v>1484</v>
      </c>
      <c r="C1734" s="885">
        <v>0.9829584338129983</v>
      </c>
      <c r="D1734" s="885">
        <v>0.97458940293199436</v>
      </c>
      <c r="E1734" s="885">
        <v>1.0050821592057255</v>
      </c>
      <c r="F1734" s="885">
        <v>0.97604560131909279</v>
      </c>
      <c r="G1734" s="885">
        <v>0.97977333305259351</v>
      </c>
      <c r="H1734" s="885">
        <v>1.0246587811960071</v>
      </c>
      <c r="I1734" s="885">
        <v>0.98156333171683907</v>
      </c>
      <c r="K1734">
        <v>1.9706677669455173</v>
      </c>
      <c r="L1734">
        <v>0</v>
      </c>
      <c r="M1734">
        <v>2.0402657591890275E-3</v>
      </c>
      <c r="N1734">
        <v>0.20887044303572128</v>
      </c>
      <c r="O1734">
        <v>2.591352031620309E-2</v>
      </c>
      <c r="P1734">
        <v>2.1355788129997479E-2</v>
      </c>
      <c r="Q1734">
        <v>3.0543225299515409E-3</v>
      </c>
      <c r="R1734">
        <v>2.0284011959077934E-3</v>
      </c>
      <c r="S1734">
        <v>0.21051555957186302</v>
      </c>
      <c r="T1734">
        <v>1.0579059971947646</v>
      </c>
      <c r="U1734">
        <v>3.7967333426447668E-2</v>
      </c>
      <c r="V1734">
        <v>0.25354909165119105</v>
      </c>
      <c r="W1734">
        <v>0.12441863522450018</v>
      </c>
      <c r="X1734">
        <v>2.1608301035171265E-2</v>
      </c>
      <c r="Y1734">
        <v>5.5206393929864905E-3</v>
      </c>
    </row>
    <row r="1735" spans="1:25" x14ac:dyDescent="0.25">
      <c r="A1735" s="881"/>
      <c r="B1735" s="1131">
        <v>1485</v>
      </c>
      <c r="C1735" s="885">
        <v>0.98948177706516904</v>
      </c>
      <c r="D1735" s="885">
        <v>0.9817264424650245</v>
      </c>
      <c r="E1735" s="885">
        <v>1.0389530536220093</v>
      </c>
      <c r="F1735" s="885">
        <v>0.97253815234118479</v>
      </c>
      <c r="G1735" s="885">
        <v>0.98122627167697596</v>
      </c>
      <c r="H1735" s="885">
        <v>1.0158165640299377</v>
      </c>
      <c r="I1735" s="885">
        <v>1.0286283318933176</v>
      </c>
      <c r="K1735">
        <v>1.9760391530526276</v>
      </c>
      <c r="L1735">
        <v>0</v>
      </c>
      <c r="M1735">
        <v>1.8637868005938107E-3</v>
      </c>
      <c r="N1735">
        <v>0.21195947251346192</v>
      </c>
      <c r="O1735">
        <v>2.5649590322427866E-2</v>
      </c>
      <c r="P1735">
        <v>2.1916064432694695E-2</v>
      </c>
      <c r="Q1735">
        <v>3.1282384844073668E-3</v>
      </c>
      <c r="R1735">
        <v>1.8528485733108717E-3</v>
      </c>
      <c r="S1735">
        <v>0.21748049231956226</v>
      </c>
      <c r="T1735">
        <v>1.0548238262186942</v>
      </c>
      <c r="U1735">
        <v>3.7717026696145975E-2</v>
      </c>
      <c r="V1735">
        <v>0.25164507649468992</v>
      </c>
      <c r="W1735">
        <v>0.12340958673081814</v>
      </c>
      <c r="X1735">
        <v>2.3277874041822084E-2</v>
      </c>
      <c r="Y1735">
        <v>5.0428430251841542E-3</v>
      </c>
    </row>
    <row r="1736" spans="1:25" x14ac:dyDescent="0.25">
      <c r="A1736" s="881"/>
      <c r="B1736" s="1131">
        <v>1486</v>
      </c>
      <c r="C1736" s="885">
        <v>1.0213328182590822</v>
      </c>
      <c r="D1736" s="885">
        <v>0.9909421402147538</v>
      </c>
      <c r="E1736" s="885">
        <v>1.0389093815083574</v>
      </c>
      <c r="F1736" s="885">
        <v>1.0461181429517483</v>
      </c>
      <c r="G1736" s="885">
        <v>0.99180404148445278</v>
      </c>
      <c r="H1736" s="885">
        <v>1.0094430665035508</v>
      </c>
      <c r="I1736" s="885">
        <v>0.97954637305885262</v>
      </c>
      <c r="K1736">
        <v>1.9345275613606374</v>
      </c>
      <c r="L1736">
        <v>0</v>
      </c>
      <c r="M1736">
        <v>1.7862109425336816E-3</v>
      </c>
      <c r="N1736">
        <v>0.20310126914346779</v>
      </c>
      <c r="O1736">
        <v>2.4734807432040908E-2</v>
      </c>
      <c r="P1736">
        <v>2.1561979267294622E-2</v>
      </c>
      <c r="Q1736">
        <v>3.0185187767604459E-3</v>
      </c>
      <c r="R1736">
        <v>1.7756549321721259E-3</v>
      </c>
      <c r="S1736">
        <v>0.19916210811770491</v>
      </c>
      <c r="T1736">
        <v>1.0548277713682581</v>
      </c>
      <c r="U1736">
        <v>3.6540792515148371E-2</v>
      </c>
      <c r="V1736">
        <v>0.24596945918240398</v>
      </c>
      <c r="W1736">
        <v>0.11825549673522322</v>
      </c>
      <c r="X1736">
        <v>2.2533167451816247E-2</v>
      </c>
      <c r="Y1736">
        <v>4.8327473808814532E-3</v>
      </c>
    </row>
    <row r="1737" spans="1:25" x14ac:dyDescent="0.25">
      <c r="A1737" s="881"/>
      <c r="B1737" s="1131">
        <v>1487</v>
      </c>
      <c r="C1737" s="885">
        <v>0.99929161558579138</v>
      </c>
      <c r="D1737" s="885">
        <v>1.0015321195477749</v>
      </c>
      <c r="E1737" s="885">
        <v>0.98372517281102811</v>
      </c>
      <c r="F1737" s="885">
        <v>1.0151822877985452</v>
      </c>
      <c r="G1737" s="885">
        <v>0.96840964931812745</v>
      </c>
      <c r="H1737" s="885">
        <v>0.98670333452294146</v>
      </c>
      <c r="I1737" s="885">
        <v>1.021662709751517</v>
      </c>
      <c r="K1737">
        <v>1.93440622459444</v>
      </c>
      <c r="L1737">
        <v>0</v>
      </c>
      <c r="M1737">
        <v>1.9942782252716238E-3</v>
      </c>
      <c r="N1737">
        <v>0.19098753855800849</v>
      </c>
      <c r="O1737">
        <v>2.5147638540741049E-2</v>
      </c>
      <c r="P1737">
        <v>2.0934404140240847E-2</v>
      </c>
      <c r="Q1737">
        <v>2.9064536530582757E-3</v>
      </c>
      <c r="R1737">
        <v>1.9822120819197996E-3</v>
      </c>
      <c r="S1737">
        <v>0.20892153391879459</v>
      </c>
      <c r="T1737">
        <v>1.0598724433619662</v>
      </c>
      <c r="U1737">
        <v>3.7346766468204069E-2</v>
      </c>
      <c r="V1737">
        <v>0.2477155728135591</v>
      </c>
      <c r="W1737">
        <v>0.11544760120109142</v>
      </c>
      <c r="X1737">
        <v>1.9743410231177157E-2</v>
      </c>
      <c r="Y1737">
        <v>5.3949278509485043E-3</v>
      </c>
    </row>
    <row r="1738" spans="1:25" x14ac:dyDescent="0.25">
      <c r="A1738" s="881"/>
      <c r="B1738" s="1131">
        <v>1488</v>
      </c>
      <c r="C1738" s="885">
        <v>1.008296434473416</v>
      </c>
      <c r="D1738" s="885">
        <v>1.0330038509556043</v>
      </c>
      <c r="E1738" s="885">
        <v>0.9973212864575608</v>
      </c>
      <c r="F1738" s="885">
        <v>1.007806439297052</v>
      </c>
      <c r="G1738" s="885">
        <v>0.992556333170726</v>
      </c>
      <c r="H1738" s="885">
        <v>0.99525519667506501</v>
      </c>
      <c r="I1738" s="885">
        <v>0.98806099742584752</v>
      </c>
      <c r="K1738">
        <v>1.9150078936782509</v>
      </c>
      <c r="L1738">
        <v>0</v>
      </c>
      <c r="M1738">
        <v>1.908055315391378E-3</v>
      </c>
      <c r="N1738">
        <v>0.19063845719387285</v>
      </c>
      <c r="O1738">
        <v>2.4545143369398257E-2</v>
      </c>
      <c r="P1738">
        <v>2.0914673662879142E-2</v>
      </c>
      <c r="Q1738">
        <v>2.8822262546397913E-3</v>
      </c>
      <c r="R1738">
        <v>1.8965856694633449E-3</v>
      </c>
      <c r="S1738">
        <v>0.19826468626399812</v>
      </c>
      <c r="T1738">
        <v>1.0586185269319353</v>
      </c>
      <c r="U1738">
        <v>3.7013232740833221E-2</v>
      </c>
      <c r="V1738">
        <v>0.24270117201590466</v>
      </c>
      <c r="W1738">
        <v>0.11416244641266052</v>
      </c>
      <c r="X1738">
        <v>2.0116917495076169E-2</v>
      </c>
      <c r="Y1738">
        <v>5.161880982981315E-3</v>
      </c>
    </row>
    <row r="1739" spans="1:25" x14ac:dyDescent="0.25">
      <c r="A1739" s="881"/>
      <c r="B1739" s="1131">
        <v>1489</v>
      </c>
      <c r="C1739" s="885">
        <v>1.0162948576651174</v>
      </c>
      <c r="D1739" s="885">
        <v>0.98487034832164655</v>
      </c>
      <c r="E1739" s="885">
        <v>0.99782436526046669</v>
      </c>
      <c r="F1739" s="885">
        <v>0.98709889259615557</v>
      </c>
      <c r="G1739" s="885">
        <v>0.99723039462090324</v>
      </c>
      <c r="H1739" s="885">
        <v>1.020601570477899</v>
      </c>
      <c r="I1739" s="885">
        <v>0.9714218610797285</v>
      </c>
      <c r="K1739">
        <v>1.9353248412927766</v>
      </c>
      <c r="L1739">
        <v>0</v>
      </c>
      <c r="M1739">
        <v>1.9854465459373627E-3</v>
      </c>
      <c r="N1739">
        <v>0.19871527251114535</v>
      </c>
      <c r="O1739">
        <v>2.4933288880407845E-2</v>
      </c>
      <c r="P1739">
        <v>2.1007856235231492E-2</v>
      </c>
      <c r="Q1739">
        <v>2.9195963579976046E-3</v>
      </c>
      <c r="R1739">
        <v>1.9738463612615463E-3</v>
      </c>
      <c r="S1739">
        <v>0.20013891282782389</v>
      </c>
      <c r="T1739">
        <v>1.0585722678895657</v>
      </c>
      <c r="U1739">
        <v>3.6721931946657953E-2</v>
      </c>
      <c r="V1739">
        <v>0.24742552528414177</v>
      </c>
      <c r="W1739">
        <v>0.11895816303951313</v>
      </c>
      <c r="X1739">
        <v>2.0571467387892096E-2</v>
      </c>
      <c r="Y1739">
        <v>5.3721591170758139E-3</v>
      </c>
    </row>
    <row r="1740" spans="1:25" x14ac:dyDescent="0.25">
      <c r="A1740" s="881"/>
      <c r="B1740" s="1131">
        <v>1490</v>
      </c>
      <c r="C1740" s="885">
        <v>0.99682278933027357</v>
      </c>
      <c r="D1740" s="885">
        <v>1.0019788978776174</v>
      </c>
      <c r="E1740" s="885">
        <v>1.0011568323942124</v>
      </c>
      <c r="F1740" s="885">
        <v>0.9626053017492896</v>
      </c>
      <c r="G1740" s="885">
        <v>0.99676145843851649</v>
      </c>
      <c r="H1740" s="885">
        <v>1.0258748756465634</v>
      </c>
      <c r="I1740" s="885">
        <v>0.99529763122104375</v>
      </c>
      <c r="K1740">
        <v>1.9510037083723963</v>
      </c>
      <c r="L1740">
        <v>0</v>
      </c>
      <c r="M1740">
        <v>2.0033089773990485E-3</v>
      </c>
      <c r="N1740">
        <v>0.20259739533529625</v>
      </c>
      <c r="O1740">
        <v>2.520435809522828E-2</v>
      </c>
      <c r="P1740">
        <v>2.1180442890710006E-2</v>
      </c>
      <c r="Q1740">
        <v>2.964810829384666E-3</v>
      </c>
      <c r="R1740">
        <v>1.9916506490127994E-3</v>
      </c>
      <c r="S1740">
        <v>0.20794664876294874</v>
      </c>
      <c r="T1740">
        <v>1.0582660901619458</v>
      </c>
      <c r="U1740">
        <v>3.7439263026872595E-2</v>
      </c>
      <c r="V1740">
        <v>0.24800985767188247</v>
      </c>
      <c r="W1740">
        <v>0.12100581043091764</v>
      </c>
      <c r="X1740">
        <v>2.0980072976442048E-2</v>
      </c>
      <c r="Y1740">
        <v>5.4206165191528427E-3</v>
      </c>
    </row>
    <row r="1741" spans="1:25" x14ac:dyDescent="0.25">
      <c r="A1741" s="881"/>
      <c r="B1741" s="1131">
        <v>1491</v>
      </c>
      <c r="C1741" s="885">
        <v>0.957142650640742</v>
      </c>
      <c r="D1741" s="885">
        <v>1.0314606889302791</v>
      </c>
      <c r="E1741" s="885">
        <v>1.0153587965839226</v>
      </c>
      <c r="F1741" s="885">
        <v>0.98238201906341749</v>
      </c>
      <c r="G1741" s="885">
        <v>0.97682528903999655</v>
      </c>
      <c r="H1741" s="885">
        <v>1.0045282204768091</v>
      </c>
      <c r="I1741" s="885">
        <v>0.99068745145385639</v>
      </c>
      <c r="K1741">
        <v>1.9630715959461296</v>
      </c>
      <c r="L1741">
        <v>0</v>
      </c>
      <c r="M1741">
        <v>1.9545052290011211E-3</v>
      </c>
      <c r="N1741">
        <v>0.20655734194703843</v>
      </c>
      <c r="O1741">
        <v>2.5875998094421343E-2</v>
      </c>
      <c r="P1741">
        <v>2.1473207106328277E-2</v>
      </c>
      <c r="Q1741">
        <v>3.0935819725895156E-3</v>
      </c>
      <c r="R1741">
        <v>1.9428660101623418E-3</v>
      </c>
      <c r="S1741">
        <v>0.21051564555059396</v>
      </c>
      <c r="T1741">
        <v>1.0569661083316688</v>
      </c>
      <c r="U1741">
        <v>3.8991377696870458E-2</v>
      </c>
      <c r="V1741">
        <v>0.25016875432901803</v>
      </c>
      <c r="W1741">
        <v>0.12218472927702259</v>
      </c>
      <c r="X1741">
        <v>2.196865004536213E-2</v>
      </c>
      <c r="Y1741">
        <v>5.2878408140537734E-3</v>
      </c>
    </row>
    <row r="1742" spans="1:25" x14ac:dyDescent="0.25">
      <c r="A1742" s="881"/>
      <c r="B1742" s="1131">
        <v>1492</v>
      </c>
      <c r="C1742" s="885">
        <v>0.97568356051767258</v>
      </c>
      <c r="D1742" s="885">
        <v>0.96274245265574698</v>
      </c>
      <c r="E1742" s="885">
        <v>1.0312757124798231</v>
      </c>
      <c r="F1742" s="885">
        <v>1.0093484879274697</v>
      </c>
      <c r="G1742" s="885">
        <v>1.0405542025158223</v>
      </c>
      <c r="H1742" s="885">
        <v>1.0386602916550007</v>
      </c>
      <c r="I1742" s="885">
        <v>1.0212832757656656</v>
      </c>
      <c r="K1742">
        <v>2.0029005410080196</v>
      </c>
      <c r="L1742">
        <v>0</v>
      </c>
      <c r="M1742">
        <v>1.9834570254090088E-3</v>
      </c>
      <c r="N1742">
        <v>0.22028908070574738</v>
      </c>
      <c r="O1742">
        <v>2.6265966460591282E-2</v>
      </c>
      <c r="P1742">
        <v>2.1959136887624471E-2</v>
      </c>
      <c r="Q1742">
        <v>3.1748775776325789E-3</v>
      </c>
      <c r="R1742">
        <v>1.9720880765797875E-3</v>
      </c>
      <c r="S1742">
        <v>0.22342824156625035</v>
      </c>
      <c r="T1742">
        <v>1.0555185122346356</v>
      </c>
      <c r="U1742">
        <v>3.8250424739262531E-2</v>
      </c>
      <c r="V1742">
        <v>0.25624557816730836</v>
      </c>
      <c r="W1742">
        <v>0.12891856642566443</v>
      </c>
      <c r="X1742">
        <v>2.3494151546339569E-2</v>
      </c>
      <c r="Y1742">
        <v>5.367373645790454E-3</v>
      </c>
    </row>
    <row r="1743" spans="1:25" x14ac:dyDescent="0.25">
      <c r="A1743" s="881"/>
      <c r="B1743" s="1131">
        <v>1493</v>
      </c>
      <c r="C1743" s="885">
        <v>0.99882073753538592</v>
      </c>
      <c r="D1743" s="885">
        <v>1.0046560601837657</v>
      </c>
      <c r="E1743" s="885">
        <v>1.0091413101820621</v>
      </c>
      <c r="F1743" s="885">
        <v>0.99391200157242843</v>
      </c>
      <c r="G1743" s="885">
        <v>0.98731289236811737</v>
      </c>
      <c r="H1743" s="885">
        <v>1.0154561189707174</v>
      </c>
      <c r="I1743" s="885">
        <v>1.0204910306986357</v>
      </c>
      <c r="K1743">
        <v>1.9508605552630123</v>
      </c>
      <c r="L1743">
        <v>0</v>
      </c>
      <c r="M1743">
        <v>1.9434075590803309E-3</v>
      </c>
      <c r="N1743">
        <v>0.20146855488899204</v>
      </c>
      <c r="O1743">
        <v>2.5120755608752522E-2</v>
      </c>
      <c r="P1743">
        <v>2.1335048515519792E-2</v>
      </c>
      <c r="Q1743">
        <v>2.9792735250278482E-3</v>
      </c>
      <c r="R1743">
        <v>1.9319796796010767E-3</v>
      </c>
      <c r="S1743">
        <v>0.21144840315061464</v>
      </c>
      <c r="T1743">
        <v>1.0575342596570745</v>
      </c>
      <c r="U1743">
        <v>3.7364373003513814E-2</v>
      </c>
      <c r="V1743">
        <v>0.24739621015875299</v>
      </c>
      <c r="W1743">
        <v>0.11967831319722462</v>
      </c>
      <c r="X1743">
        <v>2.128857962607298E-2</v>
      </c>
      <c r="Y1743">
        <v>5.2582118109439149E-3</v>
      </c>
    </row>
    <row r="1744" spans="1:25" x14ac:dyDescent="0.25">
      <c r="A1744" s="881"/>
      <c r="B1744" s="1131">
        <v>1494</v>
      </c>
      <c r="C1744" s="885">
        <v>1.0098896954532244</v>
      </c>
      <c r="D1744" s="885">
        <v>0.98411581320588359</v>
      </c>
      <c r="E1744" s="885">
        <v>0.98149857030203547</v>
      </c>
      <c r="F1744" s="885">
        <v>1.0211129087058537</v>
      </c>
      <c r="G1744" s="885">
        <v>1.0256483263212413</v>
      </c>
      <c r="H1744" s="885">
        <v>0.9777198185050624</v>
      </c>
      <c r="I1744" s="885">
        <v>0.96057458751469527</v>
      </c>
      <c r="K1744">
        <v>1.9166102394253663</v>
      </c>
      <c r="L1744">
        <v>0</v>
      </c>
      <c r="M1744">
        <v>1.9816846728425343E-3</v>
      </c>
      <c r="N1744">
        <v>0.18846055561152888</v>
      </c>
      <c r="O1744">
        <v>2.5100968098926323E-2</v>
      </c>
      <c r="P1744">
        <v>2.0719531723141376E-2</v>
      </c>
      <c r="Q1744">
        <v>2.8909623653802525E-3</v>
      </c>
      <c r="R1744">
        <v>1.9695993058022492E-3</v>
      </c>
      <c r="S1744">
        <v>0.19506902260331885</v>
      </c>
      <c r="T1744">
        <v>1.0600784785793931</v>
      </c>
      <c r="U1744">
        <v>3.6954838502603053E-2</v>
      </c>
      <c r="V1744">
        <v>0.24841294646742748</v>
      </c>
      <c r="W1744">
        <v>0.1140959195639152</v>
      </c>
      <c r="X1744">
        <v>1.947850124461558E-2</v>
      </c>
      <c r="Y1744">
        <v>5.3606000321570636E-3</v>
      </c>
    </row>
    <row r="1745" spans="1:25" x14ac:dyDescent="0.25">
      <c r="A1745" s="881"/>
      <c r="B1745" s="1131">
        <v>1495</v>
      </c>
      <c r="C1745" s="885">
        <v>0.98858187754484417</v>
      </c>
      <c r="D1745" s="885">
        <v>0.98963994701060165</v>
      </c>
      <c r="E1745" s="885">
        <v>0.96472965546706602</v>
      </c>
      <c r="F1745" s="885">
        <v>1.0051191278418039</v>
      </c>
      <c r="G1745" s="885">
        <v>1.038386080798124</v>
      </c>
      <c r="H1745" s="885">
        <v>1.0206138985939948</v>
      </c>
      <c r="I1745" s="885">
        <v>1.038069333113725</v>
      </c>
      <c r="K1745">
        <v>1.9617628784573351</v>
      </c>
      <c r="L1745">
        <v>0</v>
      </c>
      <c r="M1745">
        <v>2.1827810984685085E-3</v>
      </c>
      <c r="N1745">
        <v>0.19706284412269137</v>
      </c>
      <c r="O1745">
        <v>2.5570913177744597E-2</v>
      </c>
      <c r="P1745">
        <v>2.0840962169064524E-2</v>
      </c>
      <c r="Q1745">
        <v>2.8962637466582826E-3</v>
      </c>
      <c r="R1745">
        <v>2.1700238252999791E-3</v>
      </c>
      <c r="S1745">
        <v>0.21937844173310028</v>
      </c>
      <c r="T1745">
        <v>1.0616363356751508</v>
      </c>
      <c r="U1745">
        <v>3.7751360255158961E-2</v>
      </c>
      <c r="V1745">
        <v>0.25075543644073761</v>
      </c>
      <c r="W1745">
        <v>0.12070695779900439</v>
      </c>
      <c r="X1745">
        <v>1.9270031106888779E-2</v>
      </c>
      <c r="Y1745">
        <v>5.9060895043047878E-3</v>
      </c>
    </row>
    <row r="1746" spans="1:25" x14ac:dyDescent="0.25">
      <c r="A1746" s="881"/>
      <c r="B1746" s="1131">
        <v>1496</v>
      </c>
      <c r="C1746" s="885">
        <v>0.96637959942524243</v>
      </c>
      <c r="D1746" s="885">
        <v>1.0097836067554451</v>
      </c>
      <c r="E1746" s="885">
        <v>1.0280640064711288</v>
      </c>
      <c r="F1746" s="885">
        <v>1.0183266777657713</v>
      </c>
      <c r="G1746" s="885">
        <v>1.0004105465340567</v>
      </c>
      <c r="H1746" s="885">
        <v>0.99168849479862187</v>
      </c>
      <c r="I1746" s="885">
        <v>1.0024025797103171</v>
      </c>
      <c r="K1746">
        <v>1.9638282272569973</v>
      </c>
      <c r="L1746">
        <v>0</v>
      </c>
      <c r="M1746">
        <v>1.8800511251190241E-3</v>
      </c>
      <c r="N1746">
        <v>0.20667243107551714</v>
      </c>
      <c r="O1746">
        <v>2.5898773721736955E-2</v>
      </c>
      <c r="P1746">
        <v>2.1687029741932477E-2</v>
      </c>
      <c r="Q1746">
        <v>3.1310266102202531E-3</v>
      </c>
      <c r="R1746">
        <v>1.8687268599612123E-3</v>
      </c>
      <c r="S1746">
        <v>0.21168904863794191</v>
      </c>
      <c r="T1746">
        <v>1.0558098090992554</v>
      </c>
      <c r="U1746">
        <v>3.8618686304132691E-2</v>
      </c>
      <c r="V1746">
        <v>0.25147024538224344</v>
      </c>
      <c r="W1746">
        <v>0.12121041937308072</v>
      </c>
      <c r="X1746">
        <v>2.2566023088924643E-2</v>
      </c>
      <c r="Y1746">
        <v>5.0860584871705947E-3</v>
      </c>
    </row>
    <row r="1747" spans="1:25" x14ac:dyDescent="0.25">
      <c r="A1747" s="881"/>
      <c r="B1747" s="1131">
        <v>1497</v>
      </c>
      <c r="C1747" s="885">
        <v>0.97413170976453822</v>
      </c>
      <c r="D1747" s="885">
        <v>1.0308095457986131</v>
      </c>
      <c r="E1747" s="885">
        <v>0.99700757020945818</v>
      </c>
      <c r="F1747" s="885">
        <v>0.98735361257470933</v>
      </c>
      <c r="G1747" s="885">
        <v>0.99264430307237506</v>
      </c>
      <c r="H1747" s="885">
        <v>1.0247269912138208</v>
      </c>
      <c r="I1747" s="885">
        <v>1.0198067669327187</v>
      </c>
      <c r="K1747">
        <v>1.9610016112733542</v>
      </c>
      <c r="L1747">
        <v>0</v>
      </c>
      <c r="M1747">
        <v>2.0369332786574772E-3</v>
      </c>
      <c r="N1747">
        <v>0.2033519284599416</v>
      </c>
      <c r="O1747">
        <v>2.5432630220854551E-2</v>
      </c>
      <c r="P1747">
        <v>2.1225655621211797E-2</v>
      </c>
      <c r="Q1747">
        <v>2.9850603362886101E-3</v>
      </c>
      <c r="R1747">
        <v>2.0250428087446514E-3</v>
      </c>
      <c r="S1747">
        <v>0.21509359878536555</v>
      </c>
      <c r="T1747">
        <v>1.0586473787194184</v>
      </c>
      <c r="U1747">
        <v>3.831135998019998E-2</v>
      </c>
      <c r="V1747">
        <v>0.24774273699408997</v>
      </c>
      <c r="W1747">
        <v>0.12180201047473682</v>
      </c>
      <c r="X1747">
        <v>2.0909643180937843E-2</v>
      </c>
      <c r="Y1747">
        <v>5.5114989702204483E-3</v>
      </c>
    </row>
    <row r="1748" spans="1:25" x14ac:dyDescent="0.25">
      <c r="A1748" s="881"/>
      <c r="B1748" s="1131">
        <v>1498</v>
      </c>
      <c r="C1748" s="885">
        <v>0.99282459581440485</v>
      </c>
      <c r="D1748" s="885">
        <v>1.0004974386397245</v>
      </c>
      <c r="E1748" s="885">
        <v>1.0078840989094837</v>
      </c>
      <c r="F1748" s="885">
        <v>0.998689859577228</v>
      </c>
      <c r="G1748" s="885">
        <v>0.98505377516217596</v>
      </c>
      <c r="H1748" s="885">
        <v>0.9901946074262884</v>
      </c>
      <c r="I1748" s="885">
        <v>1.0175852646892694</v>
      </c>
      <c r="K1748">
        <v>1.9451899646686599</v>
      </c>
      <c r="L1748">
        <v>0</v>
      </c>
      <c r="M1748">
        <v>1.9154917131124396E-3</v>
      </c>
      <c r="N1748">
        <v>0.19777039441211461</v>
      </c>
      <c r="O1748">
        <v>2.5324396018998864E-2</v>
      </c>
      <c r="P1748">
        <v>2.1317419752983274E-2</v>
      </c>
      <c r="Q1748">
        <v>2.9987833230024647E-3</v>
      </c>
      <c r="R1748">
        <v>1.9039439475837972E-3</v>
      </c>
      <c r="S1748">
        <v>0.20990454286981572</v>
      </c>
      <c r="T1748">
        <v>1.0576493265085847</v>
      </c>
      <c r="U1748">
        <v>3.7590034290300153E-2</v>
      </c>
      <c r="V1748">
        <v>0.24876165051314231</v>
      </c>
      <c r="W1748">
        <v>0.11758200238447306</v>
      </c>
      <c r="X1748">
        <v>2.1121054570405424E-2</v>
      </c>
      <c r="Y1748">
        <v>5.1819077903694543E-3</v>
      </c>
    </row>
    <row r="1749" spans="1:25" x14ac:dyDescent="0.25">
      <c r="A1749" s="881"/>
      <c r="B1749" s="1131">
        <v>1499</v>
      </c>
      <c r="C1749" s="885">
        <v>0.98347965549084448</v>
      </c>
      <c r="D1749" s="885">
        <v>0.97884378552781171</v>
      </c>
      <c r="E1749" s="885">
        <v>0.98707070367635186</v>
      </c>
      <c r="F1749" s="885">
        <v>1.0132345310287305</v>
      </c>
      <c r="G1749" s="885">
        <v>0.96727854449921558</v>
      </c>
      <c r="H1749" s="885">
        <v>1.0368022780109405</v>
      </c>
      <c r="I1749" s="885">
        <v>0.99728663785181138</v>
      </c>
      <c r="K1749">
        <v>1.973310527748841</v>
      </c>
      <c r="L1749">
        <v>0</v>
      </c>
      <c r="M1749">
        <v>2.1384428881385167E-3</v>
      </c>
      <c r="N1749">
        <v>0.20700166634178344</v>
      </c>
      <c r="O1749">
        <v>2.58438226313806E-2</v>
      </c>
      <c r="P1749">
        <v>2.1138362448450895E-2</v>
      </c>
      <c r="Q1749">
        <v>2.9922545303355821E-3</v>
      </c>
      <c r="R1749">
        <v>2.126149306147759E-3</v>
      </c>
      <c r="S1749">
        <v>0.21460489813153066</v>
      </c>
      <c r="T1749">
        <v>1.0595632316799364</v>
      </c>
      <c r="U1749">
        <v>3.794721160987384E-2</v>
      </c>
      <c r="V1749">
        <v>0.25290736961709337</v>
      </c>
      <c r="W1749">
        <v>0.12483873209627502</v>
      </c>
      <c r="X1749">
        <v>2.069859471776609E-2</v>
      </c>
      <c r="Y1749">
        <v>5.7866775264037943E-3</v>
      </c>
    </row>
    <row r="1750" spans="1:25" x14ac:dyDescent="0.25">
      <c r="A1750" s="881"/>
      <c r="B1750" s="1131">
        <v>1500</v>
      </c>
      <c r="C1750" s="885">
        <v>0.99656951654985249</v>
      </c>
      <c r="D1750" s="885">
        <v>1.0012964316577002</v>
      </c>
      <c r="E1750" s="885">
        <v>0.99275191351249781</v>
      </c>
      <c r="F1750" s="885">
        <v>0.97914209568345312</v>
      </c>
      <c r="G1750" s="885">
        <v>0.97493131675255951</v>
      </c>
      <c r="H1750" s="885">
        <v>1.0139171820834265</v>
      </c>
      <c r="I1750" s="885">
        <v>1.0049112314605437</v>
      </c>
      <c r="K1750">
        <v>1.9465889305989672</v>
      </c>
      <c r="L1750">
        <v>0</v>
      </c>
      <c r="M1750">
        <v>2.0164904051622147E-3</v>
      </c>
      <c r="N1750">
        <v>0.19865223139098515</v>
      </c>
      <c r="O1750">
        <v>2.521926581313123E-2</v>
      </c>
      <c r="P1750">
        <v>2.1072207393486083E-2</v>
      </c>
      <c r="Q1750">
        <v>2.9414255498544282E-3</v>
      </c>
      <c r="R1750">
        <v>2.0046175292785292E-3</v>
      </c>
      <c r="S1750">
        <v>0.20885485423325181</v>
      </c>
      <c r="T1750">
        <v>1.0590391404431301</v>
      </c>
      <c r="U1750">
        <v>3.7448778014122566E-2</v>
      </c>
      <c r="V1750">
        <v>0.24812914990547075</v>
      </c>
      <c r="W1750">
        <v>0.11933525411879711</v>
      </c>
      <c r="X1750">
        <v>2.0452588519916437E-2</v>
      </c>
      <c r="Y1750">
        <v>5.4559080927052295E-3</v>
      </c>
    </row>
    <row r="1751" spans="1:25" x14ac:dyDescent="0.25">
      <c r="A1751" s="881"/>
      <c r="B1751" s="1131">
        <v>1501</v>
      </c>
      <c r="C1751" s="885">
        <v>0.96863813896841933</v>
      </c>
      <c r="D1751" s="885">
        <v>0.96700655370521349</v>
      </c>
      <c r="E1751" s="885">
        <v>1.0064057058333689</v>
      </c>
      <c r="F1751" s="885">
        <v>1.0073089192788967</v>
      </c>
      <c r="G1751" s="885">
        <v>1.0129524194092221</v>
      </c>
      <c r="H1751" s="885">
        <v>1.0098473554432492</v>
      </c>
      <c r="I1751" s="885">
        <v>1.012085825573436</v>
      </c>
      <c r="K1751">
        <v>1.9859145593672496</v>
      </c>
      <c r="L1751">
        <v>0</v>
      </c>
      <c r="M1751">
        <v>2.0427246970578512E-3</v>
      </c>
      <c r="N1751">
        <v>0.20996735326770785</v>
      </c>
      <c r="O1751">
        <v>2.6398913638551059E-2</v>
      </c>
      <c r="P1751">
        <v>2.1549477288673867E-2</v>
      </c>
      <c r="Q1751">
        <v>3.1139448862993291E-3</v>
      </c>
      <c r="R1751">
        <v>2.0306782146995751E-3</v>
      </c>
      <c r="S1751">
        <v>0.21947378755166835</v>
      </c>
      <c r="T1751">
        <v>1.0577847160190184</v>
      </c>
      <c r="U1751">
        <v>3.8528640469042696E-2</v>
      </c>
      <c r="V1751">
        <v>0.25674416097245162</v>
      </c>
      <c r="W1751">
        <v>0.12495927136911213</v>
      </c>
      <c r="X1751">
        <v>2.1879503699566153E-2</v>
      </c>
      <c r="Y1751">
        <v>5.5268366875186768E-3</v>
      </c>
    </row>
    <row r="1752" spans="1:25" x14ac:dyDescent="0.25">
      <c r="A1752" s="881"/>
      <c r="B1752" s="1131">
        <v>1502</v>
      </c>
      <c r="C1752" s="885">
        <v>0.98180746800078667</v>
      </c>
      <c r="D1752" s="885">
        <v>0.98953070005943811</v>
      </c>
      <c r="E1752" s="885">
        <v>0.96169120660948304</v>
      </c>
      <c r="F1752" s="885">
        <v>0.9959827716866354</v>
      </c>
      <c r="G1752" s="885">
        <v>1.0217237227544509</v>
      </c>
      <c r="H1752" s="885">
        <v>1.0023618509855798</v>
      </c>
      <c r="I1752" s="885">
        <v>0.97708685098214965</v>
      </c>
      <c r="K1752">
        <v>1.9454487266992502</v>
      </c>
      <c r="L1752">
        <v>0</v>
      </c>
      <c r="M1752">
        <v>2.1724312550094704E-3</v>
      </c>
      <c r="N1752">
        <v>0.19425738948131563</v>
      </c>
      <c r="O1752">
        <v>2.5748759917569065E-2</v>
      </c>
      <c r="P1752">
        <v>2.0636369413026094E-2</v>
      </c>
      <c r="Q1752">
        <v>2.9073076699750121E-3</v>
      </c>
      <c r="R1752">
        <v>2.1595033746519172E-3</v>
      </c>
      <c r="S1752">
        <v>0.20607833961531713</v>
      </c>
      <c r="T1752">
        <v>1.061919775906319</v>
      </c>
      <c r="U1752">
        <v>3.8011842257536135E-2</v>
      </c>
      <c r="V1752">
        <v>0.25176090438309778</v>
      </c>
      <c r="W1752">
        <v>0.11924265403242301</v>
      </c>
      <c r="X1752">
        <v>1.9020855597321949E-2</v>
      </c>
      <c r="Y1752">
        <v>5.8774563057063869E-3</v>
      </c>
    </row>
    <row r="1753" spans="1:25" x14ac:dyDescent="0.25">
      <c r="A1753" s="881"/>
      <c r="B1753" s="1131">
        <v>1503</v>
      </c>
      <c r="C1753" s="885">
        <v>1.0100110363329518</v>
      </c>
      <c r="D1753" s="885">
        <v>0.98917288481449761</v>
      </c>
      <c r="E1753" s="885">
        <v>1.0274519411169916</v>
      </c>
      <c r="F1753" s="885">
        <v>0.98735355021011184</v>
      </c>
      <c r="G1753" s="885">
        <v>0.97899173399962869</v>
      </c>
      <c r="H1753" s="885">
        <v>0.98365534059403548</v>
      </c>
      <c r="I1753" s="885">
        <v>1.0047618385180805</v>
      </c>
      <c r="K1753">
        <v>1.9352426432548213</v>
      </c>
      <c r="L1753">
        <v>0</v>
      </c>
      <c r="M1753">
        <v>1.8048909034969515E-3</v>
      </c>
      <c r="N1753">
        <v>0.19802537912960469</v>
      </c>
      <c r="O1753">
        <v>2.5034238947128647E-2</v>
      </c>
      <c r="P1753">
        <v>2.1498065089075362E-2</v>
      </c>
      <c r="Q1753">
        <v>3.0203294584334687E-3</v>
      </c>
      <c r="R1753">
        <v>1.7939462282962589E-3</v>
      </c>
      <c r="S1753">
        <v>0.20413860606438408</v>
      </c>
      <c r="T1753">
        <v>1.0558653683086574</v>
      </c>
      <c r="U1753">
        <v>3.6950398815854366E-2</v>
      </c>
      <c r="V1753">
        <v>0.24775853231316686</v>
      </c>
      <c r="W1753">
        <v>0.11618676610062288</v>
      </c>
      <c r="X1753">
        <v>2.1893373443885752E-2</v>
      </c>
      <c r="Y1753">
        <v>4.8825302592071943E-3</v>
      </c>
    </row>
    <row r="1754" spans="1:25" x14ac:dyDescent="0.25">
      <c r="A1754" s="881"/>
      <c r="B1754" s="1131">
        <v>1504</v>
      </c>
      <c r="C1754" s="885">
        <v>0.99779239870904857</v>
      </c>
      <c r="D1754" s="885">
        <v>0.98930381934969314</v>
      </c>
      <c r="E1754" s="885">
        <v>0.97178340134136842</v>
      </c>
      <c r="F1754" s="885">
        <v>0.95282464113812637</v>
      </c>
      <c r="G1754" s="885">
        <v>0.9533793606384352</v>
      </c>
      <c r="H1754" s="885">
        <v>0.97099160527289541</v>
      </c>
      <c r="I1754" s="885">
        <v>1.0065002815056401</v>
      </c>
      <c r="K1754">
        <v>1.9281833600269693</v>
      </c>
      <c r="L1754">
        <v>0</v>
      </c>
      <c r="M1754">
        <v>2.0276394900256276E-3</v>
      </c>
      <c r="N1754">
        <v>0.18707162472134289</v>
      </c>
      <c r="O1754">
        <v>2.5339137330782975E-2</v>
      </c>
      <c r="P1754">
        <v>2.0740530925701751E-2</v>
      </c>
      <c r="Q1754">
        <v>2.8907294474865503E-3</v>
      </c>
      <c r="R1754">
        <v>2.0151836178220104E-3</v>
      </c>
      <c r="S1754">
        <v>0.20568370950418172</v>
      </c>
      <c r="T1754">
        <v>1.0609797058309893</v>
      </c>
      <c r="U1754">
        <v>3.7402881249849369E-2</v>
      </c>
      <c r="V1754">
        <v>0.24946326504209129</v>
      </c>
      <c r="W1754">
        <v>0.11402292570275512</v>
      </c>
      <c r="X1754">
        <v>1.9116640641380321E-2</v>
      </c>
      <c r="Y1754">
        <v>5.484665502610433E-3</v>
      </c>
    </row>
    <row r="1755" spans="1:25" x14ac:dyDescent="0.25">
      <c r="A1755" s="881"/>
      <c r="B1755" s="1131">
        <v>1505</v>
      </c>
      <c r="C1755" s="885">
        <v>1.0139976211778108</v>
      </c>
      <c r="D1755" s="885">
        <v>1.0250942276757371</v>
      </c>
      <c r="E1755" s="885">
        <v>1.0078287428380852</v>
      </c>
      <c r="F1755" s="885">
        <v>0.98458785220884848</v>
      </c>
      <c r="G1755" s="885">
        <v>1.0302373286945419</v>
      </c>
      <c r="H1755" s="885">
        <v>1.0380233455033101</v>
      </c>
      <c r="I1755" s="885">
        <v>0.99943467554600673</v>
      </c>
      <c r="K1755">
        <v>1.9363463068221352</v>
      </c>
      <c r="L1755">
        <v>0</v>
      </c>
      <c r="M1755">
        <v>1.9428779359659427E-3</v>
      </c>
      <c r="N1755">
        <v>0.20061754575348878</v>
      </c>
      <c r="O1755">
        <v>2.4499809792511124E-2</v>
      </c>
      <c r="P1755">
        <v>2.1148247828769992E-2</v>
      </c>
      <c r="Q1755">
        <v>2.9058678789253842E-3</v>
      </c>
      <c r="R1755">
        <v>1.9316860446322447E-3</v>
      </c>
      <c r="S1755">
        <v>0.20433526382013159</v>
      </c>
      <c r="T1755">
        <v>1.0576543944164372</v>
      </c>
      <c r="U1755">
        <v>3.6805126384386815E-2</v>
      </c>
      <c r="V1755">
        <v>0.24285086737899192</v>
      </c>
      <c r="W1755">
        <v>0.1192792350229829</v>
      </c>
      <c r="X1755">
        <v>2.1003727803485653E-2</v>
      </c>
      <c r="Y1755">
        <v>5.2574126333554969E-3</v>
      </c>
    </row>
    <row r="1756" spans="1:25" x14ac:dyDescent="0.25">
      <c r="A1756" s="881"/>
      <c r="B1756" s="1131">
        <v>1506</v>
      </c>
      <c r="C1756" s="885">
        <v>1.0073392979872235</v>
      </c>
      <c r="D1756" s="885">
        <v>1.0049832016435942</v>
      </c>
      <c r="E1756" s="885">
        <v>1.0005239709911413</v>
      </c>
      <c r="F1756" s="885">
        <v>1.0219485779578044</v>
      </c>
      <c r="G1756" s="885">
        <v>1.0061954471871499</v>
      </c>
      <c r="H1756" s="885">
        <v>0.97248360139648637</v>
      </c>
      <c r="I1756" s="885">
        <v>1.0358737497278239</v>
      </c>
      <c r="K1756">
        <v>1.9271377662479376</v>
      </c>
      <c r="L1756">
        <v>0</v>
      </c>
      <c r="M1756">
        <v>1.8789453375987774E-3</v>
      </c>
      <c r="N1756">
        <v>0.18958539894231652</v>
      </c>
      <c r="O1756">
        <v>2.4904310919117278E-2</v>
      </c>
      <c r="P1756">
        <v>2.1145965771998659E-2</v>
      </c>
      <c r="Q1756">
        <v>2.9282640458332229E-3</v>
      </c>
      <c r="R1756">
        <v>1.8674080276230177E-3</v>
      </c>
      <c r="S1756">
        <v>0.20832786372621165</v>
      </c>
      <c r="T1756">
        <v>1.0583242024159789</v>
      </c>
      <c r="U1756">
        <v>3.7048401343506641E-2</v>
      </c>
      <c r="V1756">
        <v>0.24616817629324669</v>
      </c>
      <c r="W1756">
        <v>0.11328312111026093</v>
      </c>
      <c r="X1756">
        <v>2.0351129929142439E-2</v>
      </c>
      <c r="Y1756">
        <v>5.0824690602989924E-3</v>
      </c>
    </row>
    <row r="1757" spans="1:25" x14ac:dyDescent="0.25">
      <c r="A1757" s="881"/>
      <c r="B1757" s="1131">
        <v>1507</v>
      </c>
      <c r="C1757" s="885">
        <v>0.99306389368571313</v>
      </c>
      <c r="D1757" s="885">
        <v>0.96228792958589715</v>
      </c>
      <c r="E1757" s="885">
        <v>0.99385680164078494</v>
      </c>
      <c r="F1757" s="885">
        <v>1.0070283527536508</v>
      </c>
      <c r="G1757" s="885">
        <v>1.0121009902664979</v>
      </c>
      <c r="H1757" s="885">
        <v>1.0393502582969638</v>
      </c>
      <c r="I1757" s="885">
        <v>0.96941804647186025</v>
      </c>
      <c r="K1757">
        <v>1.9693731253206321</v>
      </c>
      <c r="L1757">
        <v>0</v>
      </c>
      <c r="M1757">
        <v>2.11073493039285E-3</v>
      </c>
      <c r="N1757">
        <v>0.20868655808724229</v>
      </c>
      <c r="O1757">
        <v>2.581233155268739E-2</v>
      </c>
      <c r="P1757">
        <v>2.1160655091468857E-2</v>
      </c>
      <c r="Q1757">
        <v>3.0055495580498725E-3</v>
      </c>
      <c r="R1757">
        <v>2.09864487298176E-3</v>
      </c>
      <c r="S1757">
        <v>0.20848475418377777</v>
      </c>
      <c r="T1757">
        <v>1.0589373603558099</v>
      </c>
      <c r="U1757">
        <v>3.7580976247564707E-2</v>
      </c>
      <c r="V1757">
        <v>0.25369203921042432</v>
      </c>
      <c r="W1757">
        <v>0.12526793545274156</v>
      </c>
      <c r="X1757">
        <v>2.1045236112116013E-2</v>
      </c>
      <c r="Y1757">
        <v>5.7118195261599038E-3</v>
      </c>
    </row>
    <row r="1758" spans="1:25" x14ac:dyDescent="0.25">
      <c r="A1758" s="881"/>
      <c r="B1758" s="1131">
        <v>1508</v>
      </c>
      <c r="C1758" s="885">
        <v>0.9878973318436739</v>
      </c>
      <c r="D1758" s="885">
        <v>1.0401858953773753</v>
      </c>
      <c r="E1758" s="885">
        <v>1.0020143037494991</v>
      </c>
      <c r="F1758" s="885">
        <v>0.98336626744710676</v>
      </c>
      <c r="G1758" s="885">
        <v>0.99255545796520506</v>
      </c>
      <c r="H1758" s="885">
        <v>1.0408480078488342</v>
      </c>
      <c r="I1758" s="885">
        <v>1.0219092541924855</v>
      </c>
      <c r="K1758">
        <v>1.9550121073620834</v>
      </c>
      <c r="L1758">
        <v>0</v>
      </c>
      <c r="M1758">
        <v>2.0097748781142911E-3</v>
      </c>
      <c r="N1758">
        <v>0.20380830767856792</v>
      </c>
      <c r="O1758">
        <v>2.4966629441482677E-2</v>
      </c>
      <c r="P1758">
        <v>2.1225245540000635E-2</v>
      </c>
      <c r="Q1758">
        <v>2.9469852464097997E-3</v>
      </c>
      <c r="R1758">
        <v>1.9982175130643723E-3</v>
      </c>
      <c r="S1758">
        <v>0.21331085330736702</v>
      </c>
      <c r="T1758">
        <v>1.0581873780823565</v>
      </c>
      <c r="U1758">
        <v>3.7777519381763533E-2</v>
      </c>
      <c r="V1758">
        <v>0.24467337924823715</v>
      </c>
      <c r="W1758">
        <v>0.121657734223357</v>
      </c>
      <c r="X1758">
        <v>2.1031143219256216E-2</v>
      </c>
      <c r="Y1758">
        <v>5.438489358335072E-3</v>
      </c>
    </row>
    <row r="1759" spans="1:25" x14ac:dyDescent="0.25">
      <c r="A1759" s="881"/>
      <c r="B1759" s="1131">
        <v>1509</v>
      </c>
      <c r="C1759" s="885">
        <v>0.9860065424640222</v>
      </c>
      <c r="D1759" s="885">
        <v>0.95626319579710017</v>
      </c>
      <c r="E1759" s="885">
        <v>1.0026906276076144</v>
      </c>
      <c r="F1759" s="885">
        <v>0.98502145149640252</v>
      </c>
      <c r="G1759" s="885">
        <v>1.0228492594159757</v>
      </c>
      <c r="H1759" s="885">
        <v>0.97491943817519189</v>
      </c>
      <c r="I1759" s="885">
        <v>1.0265278659012615</v>
      </c>
      <c r="K1759">
        <v>1.9631036770309487</v>
      </c>
      <c r="L1759">
        <v>0</v>
      </c>
      <c r="M1759">
        <v>1.9634392916259946E-3</v>
      </c>
      <c r="N1759">
        <v>0.19945793010430293</v>
      </c>
      <c r="O1759">
        <v>2.6078497740723156E-2</v>
      </c>
      <c r="P1759">
        <v>2.14225648822471E-2</v>
      </c>
      <c r="Q1759">
        <v>3.062285237635545E-3</v>
      </c>
      <c r="R1759">
        <v>1.9514549863771274E-3</v>
      </c>
      <c r="S1759">
        <v>0.21605328335771762</v>
      </c>
      <c r="T1759">
        <v>1.0581253147547121</v>
      </c>
      <c r="U1759">
        <v>3.7849962443102743E-2</v>
      </c>
      <c r="V1759">
        <v>0.25556753185365721</v>
      </c>
      <c r="W1759">
        <v>0.1190059020879282</v>
      </c>
      <c r="X1759">
        <v>2.1181171698217208E-2</v>
      </c>
      <c r="Y1759">
        <v>5.3112171759551723E-3</v>
      </c>
    </row>
    <row r="1760" spans="1:25" x14ac:dyDescent="0.25">
      <c r="A1760" s="881"/>
      <c r="B1760" s="1131">
        <v>1510</v>
      </c>
      <c r="C1760" s="885">
        <v>0.98611666671341824</v>
      </c>
      <c r="D1760" s="885">
        <v>0.99523356047608036</v>
      </c>
      <c r="E1760" s="885">
        <v>0.95884906345833276</v>
      </c>
      <c r="F1760" s="885">
        <v>0.99489197699249354</v>
      </c>
      <c r="G1760" s="885">
        <v>0.98504155949325589</v>
      </c>
      <c r="H1760" s="885">
        <v>1.0253868347132988</v>
      </c>
      <c r="I1760" s="885">
        <v>1.0164893700602564</v>
      </c>
      <c r="K1760">
        <v>1.9575741221441108</v>
      </c>
      <c r="L1760">
        <v>0</v>
      </c>
      <c r="M1760">
        <v>2.2194974783389947E-3</v>
      </c>
      <c r="N1760">
        <v>0.19673972479958773</v>
      </c>
      <c r="O1760">
        <v>2.5563344416343257E-2</v>
      </c>
      <c r="P1760">
        <v>2.0696225769871814E-2</v>
      </c>
      <c r="Q1760">
        <v>2.8791113418868779E-3</v>
      </c>
      <c r="R1760">
        <v>2.2065809365320313E-3</v>
      </c>
      <c r="S1760">
        <v>0.21529643126044953</v>
      </c>
      <c r="T1760">
        <v>1.062185226388445</v>
      </c>
      <c r="U1760">
        <v>3.7845735561188747E-2</v>
      </c>
      <c r="V1760">
        <v>0.25039562740379512</v>
      </c>
      <c r="W1760">
        <v>0.12100814742842522</v>
      </c>
      <c r="X1760">
        <v>1.8971878405892355E-2</v>
      </c>
      <c r="Y1760">
        <v>6.0055859100299541E-3</v>
      </c>
    </row>
    <row r="1761" spans="1:25" x14ac:dyDescent="0.25">
      <c r="A1761" s="881"/>
      <c r="B1761" s="1131">
        <v>1511</v>
      </c>
      <c r="C1761" s="885">
        <v>0.98681259469041471</v>
      </c>
      <c r="D1761" s="885">
        <v>0.97966555172615588</v>
      </c>
      <c r="E1761" s="885">
        <v>1.0047093925225341</v>
      </c>
      <c r="F1761" s="885">
        <v>1.0027754353102543</v>
      </c>
      <c r="G1761" s="885">
        <v>0.98892367787691671</v>
      </c>
      <c r="H1761" s="885">
        <v>1.0012712211369459</v>
      </c>
      <c r="I1761" s="885">
        <v>0.9971138736741616</v>
      </c>
      <c r="K1761">
        <v>1.9583404545801528</v>
      </c>
      <c r="L1761">
        <v>0</v>
      </c>
      <c r="M1761">
        <v>1.982355102024466E-3</v>
      </c>
      <c r="N1761">
        <v>0.20267861954386696</v>
      </c>
      <c r="O1761">
        <v>2.574580792659726E-2</v>
      </c>
      <c r="P1761">
        <v>2.1325422308735503E-2</v>
      </c>
      <c r="Q1761">
        <v>3.034531133712388E-3</v>
      </c>
      <c r="R1761">
        <v>1.9705537453654901E-3</v>
      </c>
      <c r="S1761">
        <v>0.21008986965915891</v>
      </c>
      <c r="T1761">
        <v>1.0579401674300708</v>
      </c>
      <c r="U1761">
        <v>3.7819045684783836E-2</v>
      </c>
      <c r="V1761">
        <v>0.25230356862895087</v>
      </c>
      <c r="W1761">
        <v>0.12076102127968685</v>
      </c>
      <c r="X1761">
        <v>2.1291004639230938E-2</v>
      </c>
      <c r="Y1761">
        <v>5.3631977020172873E-3</v>
      </c>
    </row>
    <row r="1762" spans="1:25" x14ac:dyDescent="0.25">
      <c r="A1762" s="881"/>
      <c r="B1762" s="1131">
        <v>1512</v>
      </c>
      <c r="C1762" s="885">
        <v>0.98966415438705335</v>
      </c>
      <c r="D1762" s="885">
        <v>0.97733996024520498</v>
      </c>
      <c r="E1762" s="885">
        <v>1.0352665969134422</v>
      </c>
      <c r="F1762" s="885">
        <v>0.99206674847303045</v>
      </c>
      <c r="G1762" s="885">
        <v>1.018465114573019</v>
      </c>
      <c r="H1762" s="885">
        <v>1.0314289371124821</v>
      </c>
      <c r="I1762" s="885">
        <v>0.97845724158488867</v>
      </c>
      <c r="K1762">
        <v>1.9731706525869157</v>
      </c>
      <c r="L1762">
        <v>0</v>
      </c>
      <c r="M1762">
        <v>1.9111525008590122E-3</v>
      </c>
      <c r="N1762">
        <v>0.21489399478718296</v>
      </c>
      <c r="O1762">
        <v>2.5701935451417478E-2</v>
      </c>
      <c r="P1762">
        <v>2.1749019117929768E-2</v>
      </c>
      <c r="Q1762">
        <v>3.1222788755844795E-3</v>
      </c>
      <c r="R1762">
        <v>1.9001095271476524E-3</v>
      </c>
      <c r="S1762">
        <v>0.20884192003086552</v>
      </c>
      <c r="T1762">
        <v>1.0551571079070807</v>
      </c>
      <c r="U1762">
        <v>3.7710076125805736E-2</v>
      </c>
      <c r="V1762">
        <v>0.25219065521421885</v>
      </c>
      <c r="W1762">
        <v>0.12542610761632744</v>
      </c>
      <c r="X1762">
        <v>2.3217128672252594E-2</v>
      </c>
      <c r="Y1762">
        <v>5.1714717619586259E-3</v>
      </c>
    </row>
    <row r="1763" spans="1:25" x14ac:dyDescent="0.25">
      <c r="A1763" s="881"/>
      <c r="B1763" s="1131">
        <v>1513</v>
      </c>
      <c r="C1763" s="885">
        <v>1.016149458511161</v>
      </c>
      <c r="D1763" s="885">
        <v>1.005117902194153</v>
      </c>
      <c r="E1763" s="885">
        <v>1.0116257585928878</v>
      </c>
      <c r="F1763" s="885">
        <v>1.0179840414708703</v>
      </c>
      <c r="G1763" s="885">
        <v>1.0167219876877502</v>
      </c>
      <c r="H1763" s="885">
        <v>1.0186686659775435</v>
      </c>
      <c r="I1763" s="885">
        <v>1.0288129877903922</v>
      </c>
      <c r="K1763">
        <v>1.9412432667158841</v>
      </c>
      <c r="L1763">
        <v>0</v>
      </c>
      <c r="M1763">
        <v>1.9058604356087087E-3</v>
      </c>
      <c r="N1763">
        <v>0.19911168694630813</v>
      </c>
      <c r="O1763">
        <v>2.4686750347812359E-2</v>
      </c>
      <c r="P1763">
        <v>2.1306168869135979E-2</v>
      </c>
      <c r="Q1763">
        <v>2.9351740073584481E-3</v>
      </c>
      <c r="R1763">
        <v>1.8946883340900948E-3</v>
      </c>
      <c r="S1763">
        <v>0.20982156265224755</v>
      </c>
      <c r="T1763">
        <v>1.0573070507409101</v>
      </c>
      <c r="U1763">
        <v>3.6727186427474669E-2</v>
      </c>
      <c r="V1763">
        <v>0.2449398321063577</v>
      </c>
      <c r="W1763">
        <v>0.11807881384262679</v>
      </c>
      <c r="X1763">
        <v>2.118349581561876E-2</v>
      </c>
      <c r="Y1763">
        <v>5.1567170615517662E-3</v>
      </c>
    </row>
    <row r="1764" spans="1:25" x14ac:dyDescent="0.25">
      <c r="A1764" s="881"/>
      <c r="B1764" s="1131">
        <v>1514</v>
      </c>
      <c r="C1764" s="885">
        <v>1.0113428133352755</v>
      </c>
      <c r="D1764" s="885">
        <v>1.0092708691665948</v>
      </c>
      <c r="E1764" s="885">
        <v>1.008426692987529</v>
      </c>
      <c r="F1764" s="885">
        <v>1.0456990158216104</v>
      </c>
      <c r="G1764" s="885">
        <v>0.96431748309545395</v>
      </c>
      <c r="H1764" s="885">
        <v>0.99824356864404262</v>
      </c>
      <c r="I1764" s="885">
        <v>0.99666938519883663</v>
      </c>
      <c r="K1764">
        <v>1.9270833174956126</v>
      </c>
      <c r="L1764">
        <v>0</v>
      </c>
      <c r="M1764">
        <v>1.8853823910489596E-3</v>
      </c>
      <c r="N1764">
        <v>0.19499918058463081</v>
      </c>
      <c r="O1764">
        <v>2.4753556352108692E-2</v>
      </c>
      <c r="P1764">
        <v>2.1154428729709983E-2</v>
      </c>
      <c r="Q1764">
        <v>2.9345611014108628E-3</v>
      </c>
      <c r="R1764">
        <v>1.8741009819165527E-3</v>
      </c>
      <c r="S1764">
        <v>0.20181825415219984</v>
      </c>
      <c r="T1764">
        <v>1.0575996577664788</v>
      </c>
      <c r="U1764">
        <v>3.6901741040547276E-2</v>
      </c>
      <c r="V1764">
        <v>0.245093687176135</v>
      </c>
      <c r="W1764">
        <v>0.1158916202642227</v>
      </c>
      <c r="X1764">
        <v>2.0847226661746557E-2</v>
      </c>
      <c r="Y1764">
        <v>5.100685075554205E-3</v>
      </c>
    </row>
    <row r="1765" spans="1:25" x14ac:dyDescent="0.25">
      <c r="A1765" s="881"/>
      <c r="B1765" s="1131">
        <v>1515</v>
      </c>
      <c r="C1765" s="885">
        <v>1.0020710891566114</v>
      </c>
      <c r="D1765" s="885">
        <v>1.0154478236379445</v>
      </c>
      <c r="E1765" s="885">
        <v>1.0123353605249688</v>
      </c>
      <c r="F1765" s="885">
        <v>0.98120594162237107</v>
      </c>
      <c r="G1765" s="885">
        <v>1.0031001588529078</v>
      </c>
      <c r="H1765" s="885">
        <v>0.98532743770254783</v>
      </c>
      <c r="I1765" s="885">
        <v>0.96968295083065104</v>
      </c>
      <c r="K1765">
        <v>1.9211655706862545</v>
      </c>
      <c r="L1765">
        <v>0</v>
      </c>
      <c r="M1765">
        <v>1.8571820034865808E-3</v>
      </c>
      <c r="N1765">
        <v>0.19441488574644539</v>
      </c>
      <c r="O1765">
        <v>2.4907378439547413E-2</v>
      </c>
      <c r="P1765">
        <v>2.1147642221316848E-2</v>
      </c>
      <c r="Q1765">
        <v>2.9656086949611023E-3</v>
      </c>
      <c r="R1765">
        <v>1.8459189292507549E-3</v>
      </c>
      <c r="S1765">
        <v>0.19636187980757322</v>
      </c>
      <c r="T1765">
        <v>1.0572422001369519</v>
      </c>
      <c r="U1765">
        <v>3.7243176661575339E-2</v>
      </c>
      <c r="V1765">
        <v>0.24562788553650308</v>
      </c>
      <c r="W1765">
        <v>0.11523797850668765</v>
      </c>
      <c r="X1765">
        <v>2.1004215190518909E-2</v>
      </c>
      <c r="Y1765">
        <v>5.0239828184090668E-3</v>
      </c>
    </row>
    <row r="1766" spans="1:25" x14ac:dyDescent="0.25">
      <c r="A1766" s="881"/>
      <c r="B1766" s="1131">
        <v>1516</v>
      </c>
      <c r="C1766" s="885">
        <v>0.99146383764771306</v>
      </c>
      <c r="D1766" s="885">
        <v>1.0146460055684328</v>
      </c>
      <c r="E1766" s="885">
        <v>1.0184473969900987</v>
      </c>
      <c r="F1766" s="885">
        <v>0.97141477652794606</v>
      </c>
      <c r="G1766" s="885">
        <v>1.0035094984763315</v>
      </c>
      <c r="H1766" s="885">
        <v>0.98813357993762596</v>
      </c>
      <c r="I1766" s="885">
        <v>0.97678122592019068</v>
      </c>
      <c r="K1766">
        <v>1.9332863904075754</v>
      </c>
      <c r="L1766">
        <v>0</v>
      </c>
      <c r="M1766">
        <v>1.858991094715882E-3</v>
      </c>
      <c r="N1766">
        <v>0.19833932406855317</v>
      </c>
      <c r="O1766">
        <v>2.5183676790326185E-2</v>
      </c>
      <c r="P1766">
        <v>2.131674251047453E-2</v>
      </c>
      <c r="Q1766">
        <v>3.01666297756967E-3</v>
      </c>
      <c r="R1766">
        <v>1.8477496768715656E-3</v>
      </c>
      <c r="S1766">
        <v>0.20026554176419528</v>
      </c>
      <c r="T1766">
        <v>1.0566844346281559</v>
      </c>
      <c r="U1766">
        <v>3.7641625628485623E-2</v>
      </c>
      <c r="V1766">
        <v>0.24721308524389432</v>
      </c>
      <c r="W1766">
        <v>0.11707874327919965</v>
      </c>
      <c r="X1766">
        <v>2.1528829424637914E-2</v>
      </c>
      <c r="Y1766">
        <v>5.0289655099271229E-3</v>
      </c>
    </row>
    <row r="1767" spans="1:25" x14ac:dyDescent="0.25">
      <c r="A1767" s="881"/>
      <c r="B1767" s="1131">
        <v>1517</v>
      </c>
      <c r="C1767" s="885">
        <v>1.0228651520547831</v>
      </c>
      <c r="D1767" s="885">
        <v>1.0012984864357155</v>
      </c>
      <c r="E1767" s="885">
        <v>0.99521448153109004</v>
      </c>
      <c r="F1767" s="885">
        <v>1.0037948821491063</v>
      </c>
      <c r="G1767" s="885">
        <v>1.0085724333603512</v>
      </c>
      <c r="H1767" s="885">
        <v>1.0049105121463349</v>
      </c>
      <c r="I1767" s="885">
        <v>0.99530067150627077</v>
      </c>
      <c r="K1767">
        <v>1.9217763027434285</v>
      </c>
      <c r="L1767">
        <v>0</v>
      </c>
      <c r="M1767">
        <v>1.9371341409323451E-3</v>
      </c>
      <c r="N1767">
        <v>0.19229264889987691</v>
      </c>
      <c r="O1767">
        <v>2.4570908456385942E-2</v>
      </c>
      <c r="P1767">
        <v>2.0934018603065718E-2</v>
      </c>
      <c r="Q1767">
        <v>2.8729317237393419E-3</v>
      </c>
      <c r="R1767">
        <v>1.9256262796417567E-3</v>
      </c>
      <c r="S1767">
        <v>0.20065306764435453</v>
      </c>
      <c r="T1767">
        <v>1.0588123586351099</v>
      </c>
      <c r="U1767">
        <v>3.6486051485815116E-2</v>
      </c>
      <c r="V1767">
        <v>0.24449304816986836</v>
      </c>
      <c r="W1767">
        <v>0.11531960103659007</v>
      </c>
      <c r="X1767">
        <v>2.0112255999259268E-2</v>
      </c>
      <c r="Y1767">
        <v>5.2409199506523807E-3</v>
      </c>
    </row>
    <row r="1768" spans="1:25" x14ac:dyDescent="0.25">
      <c r="A1768" s="881"/>
      <c r="B1768" s="1131">
        <v>1518</v>
      </c>
      <c r="C1768" s="885">
        <v>0.99943967876929163</v>
      </c>
      <c r="D1768" s="885">
        <v>1.0087777864729743</v>
      </c>
      <c r="E1768" s="885">
        <v>0.97423736499997482</v>
      </c>
      <c r="F1768" s="885">
        <v>0.9907287783863542</v>
      </c>
      <c r="G1768" s="885">
        <v>0.99974223372566706</v>
      </c>
      <c r="H1768" s="885">
        <v>1.0020758652187935</v>
      </c>
      <c r="I1768" s="885">
        <v>0.9939886569131603</v>
      </c>
      <c r="K1768">
        <v>1.9303676190984045</v>
      </c>
      <c r="L1768">
        <v>0</v>
      </c>
      <c r="M1768">
        <v>2.0584345058103806E-3</v>
      </c>
      <c r="N1768">
        <v>0.1914063146659899</v>
      </c>
      <c r="O1768">
        <v>2.5054418593672689E-2</v>
      </c>
      <c r="P1768">
        <v>2.0718837940164516E-2</v>
      </c>
      <c r="Q1768">
        <v>2.8693122739006059E-3</v>
      </c>
      <c r="R1768">
        <v>2.0461651368466095E-3</v>
      </c>
      <c r="S1768">
        <v>0.20410225996098927</v>
      </c>
      <c r="T1768">
        <v>1.0607517188249096</v>
      </c>
      <c r="U1768">
        <v>3.7341233686932533E-2</v>
      </c>
      <c r="V1768">
        <v>0.24680289463439276</v>
      </c>
      <c r="W1768">
        <v>0.11646552088981516</v>
      </c>
      <c r="X1768">
        <v>1.9298390012257978E-2</v>
      </c>
      <c r="Y1768">
        <v>5.5689869843403919E-3</v>
      </c>
    </row>
    <row r="1769" spans="1:25" x14ac:dyDescent="0.25">
      <c r="A1769" s="881"/>
      <c r="B1769" s="1131">
        <v>1519</v>
      </c>
      <c r="C1769" s="885">
        <v>1.0007071980256903</v>
      </c>
      <c r="D1769" s="885">
        <v>1.0212640254891205</v>
      </c>
      <c r="E1769" s="885">
        <v>1.0003754950495678</v>
      </c>
      <c r="F1769" s="885">
        <v>0.99634837581526292</v>
      </c>
      <c r="G1769" s="885">
        <v>1.0099062714662883</v>
      </c>
      <c r="H1769" s="885">
        <v>1.0092072299014776</v>
      </c>
      <c r="I1769" s="885">
        <v>0.99737431292036427</v>
      </c>
      <c r="K1769">
        <v>1.9335001613430751</v>
      </c>
      <c r="L1769">
        <v>0</v>
      </c>
      <c r="M1769">
        <v>1.9479203582466237E-3</v>
      </c>
      <c r="N1769">
        <v>0.19649707731928648</v>
      </c>
      <c r="O1769">
        <v>2.4871089999866522E-2</v>
      </c>
      <c r="P1769">
        <v>2.1075125300107501E-2</v>
      </c>
      <c r="Q1769">
        <v>2.9271803277650856E-3</v>
      </c>
      <c r="R1769">
        <v>1.9363819896470273E-3</v>
      </c>
      <c r="S1769">
        <v>0.20410048650715465</v>
      </c>
      <c r="T1769">
        <v>1.0583378384218753</v>
      </c>
      <c r="U1769">
        <v>3.7293936402722702E-2</v>
      </c>
      <c r="V1769">
        <v>0.24511882220774903</v>
      </c>
      <c r="W1769">
        <v>0.1174249872825695</v>
      </c>
      <c r="X1769">
        <v>2.0594962494908411E-2</v>
      </c>
      <c r="Y1769">
        <v>5.2701934476678753E-3</v>
      </c>
    </row>
    <row r="1770" spans="1:25" x14ac:dyDescent="0.25">
      <c r="A1770" s="881"/>
      <c r="B1770" s="1131">
        <v>1520</v>
      </c>
      <c r="C1770" s="885">
        <v>0.9636716520779236</v>
      </c>
      <c r="D1770" s="885">
        <v>1.001874158001955</v>
      </c>
      <c r="E1770" s="885">
        <v>0.98144383631685339</v>
      </c>
      <c r="F1770" s="885">
        <v>0.97314794029460183</v>
      </c>
      <c r="G1770" s="885">
        <v>0.99950031253900451</v>
      </c>
      <c r="H1770" s="885">
        <v>1.0143066298738541</v>
      </c>
      <c r="I1770" s="885">
        <v>0.98372894177120063</v>
      </c>
      <c r="K1770">
        <v>1.9653974376424159</v>
      </c>
      <c r="L1770">
        <v>0</v>
      </c>
      <c r="M1770">
        <v>2.1356941679066695E-3</v>
      </c>
      <c r="N1770">
        <v>0.20311586199324422</v>
      </c>
      <c r="O1770">
        <v>2.6072758544531643E-2</v>
      </c>
      <c r="P1770">
        <v>2.1022763797776341E-2</v>
      </c>
      <c r="Q1770">
        <v>3.0064773292822478E-3</v>
      </c>
      <c r="R1770">
        <v>2.1231237592995718E-3</v>
      </c>
      <c r="S1770">
        <v>0.21141625718407805</v>
      </c>
      <c r="T1770">
        <v>1.0600835457266182</v>
      </c>
      <c r="U1770">
        <v>3.8727206015082734E-2</v>
      </c>
      <c r="V1770">
        <v>0.25288236431657085</v>
      </c>
      <c r="W1770">
        <v>0.12297305526613907</v>
      </c>
      <c r="X1770">
        <v>2.033127489244476E-2</v>
      </c>
      <c r="Y1770">
        <v>5.7784429852542809E-3</v>
      </c>
    </row>
    <row r="1771" spans="1:25" x14ac:dyDescent="0.25">
      <c r="A1771" s="881"/>
      <c r="B1771" s="1131">
        <v>1521</v>
      </c>
      <c r="C1771" s="885">
        <v>0.95798068755299171</v>
      </c>
      <c r="D1771" s="885">
        <v>0.96696927600244831</v>
      </c>
      <c r="E1771" s="885">
        <v>0.95593427630680261</v>
      </c>
      <c r="F1771" s="885">
        <v>1.0061061062860597</v>
      </c>
      <c r="G1771" s="885">
        <v>1.017220957439116</v>
      </c>
      <c r="H1771" s="885">
        <v>1.000957514544496</v>
      </c>
      <c r="I1771" s="885">
        <v>1.0384197167558813</v>
      </c>
      <c r="K1771">
        <v>1.985672451500643</v>
      </c>
      <c r="L1771">
        <v>0</v>
      </c>
      <c r="M1771">
        <v>2.2761800887541807E-3</v>
      </c>
      <c r="N1771">
        <v>0.19991089464743902</v>
      </c>
      <c r="O1771">
        <v>2.6693110974711342E-2</v>
      </c>
      <c r="P1771">
        <v>2.0924055723422857E-2</v>
      </c>
      <c r="Q1771">
        <v>2.9912822672307337E-3</v>
      </c>
      <c r="R1771">
        <v>2.2626376793137438E-3</v>
      </c>
      <c r="S1771">
        <v>0.22670201395174519</v>
      </c>
      <c r="T1771">
        <v>1.0624577852224735</v>
      </c>
      <c r="U1771">
        <v>3.8957268226612891E-2</v>
      </c>
      <c r="V1771">
        <v>0.25841028039018277</v>
      </c>
      <c r="W1771">
        <v>0.1232115702108255</v>
      </c>
      <c r="X1771">
        <v>1.9269578410655828E-2</v>
      </c>
      <c r="Y1771">
        <v>6.158153884781482E-3</v>
      </c>
    </row>
    <row r="1772" spans="1:25" x14ac:dyDescent="0.25">
      <c r="A1772" s="881"/>
      <c r="B1772" s="1131">
        <v>1522</v>
      </c>
      <c r="C1772" s="885">
        <v>0.97940398276049623</v>
      </c>
      <c r="D1772" s="885">
        <v>0.98720195286537726</v>
      </c>
      <c r="E1772" s="885">
        <v>0.98561775788055583</v>
      </c>
      <c r="F1772" s="885">
        <v>1.002204075820649</v>
      </c>
      <c r="G1772" s="885">
        <v>1.0070273880192944</v>
      </c>
      <c r="H1772" s="885">
        <v>1.0238795346896181</v>
      </c>
      <c r="I1772" s="885">
        <v>0.99085193390196824</v>
      </c>
      <c r="K1772">
        <v>1.9655925290595369</v>
      </c>
      <c r="L1772">
        <v>0</v>
      </c>
      <c r="M1772">
        <v>2.1181148549510947E-3</v>
      </c>
      <c r="N1772">
        <v>0.20409265150205319</v>
      </c>
      <c r="O1772">
        <v>2.5842118440764308E-2</v>
      </c>
      <c r="P1772">
        <v>2.107648857698936E-2</v>
      </c>
      <c r="Q1772">
        <v>2.9894421602178665E-3</v>
      </c>
      <c r="R1772">
        <v>2.1057771272029301E-3</v>
      </c>
      <c r="S1772">
        <v>0.21193865063374809</v>
      </c>
      <c r="T1772">
        <v>1.0596974672341899</v>
      </c>
      <c r="U1772">
        <v>3.8105124399972184E-2</v>
      </c>
      <c r="V1772">
        <v>0.25241650933598248</v>
      </c>
      <c r="W1772">
        <v>0.12320796386430716</v>
      </c>
      <c r="X1772">
        <v>2.0507219468054772E-2</v>
      </c>
      <c r="Y1772">
        <v>5.7312311710029564E-3</v>
      </c>
    </row>
    <row r="1773" spans="1:25" x14ac:dyDescent="0.25">
      <c r="A1773" s="881"/>
      <c r="B1773" s="1131">
        <v>1523</v>
      </c>
      <c r="C1773" s="885">
        <v>0.99725204224930586</v>
      </c>
      <c r="D1773" s="885">
        <v>0.99800166777339216</v>
      </c>
      <c r="E1773" s="885">
        <v>0.98504581180154049</v>
      </c>
      <c r="F1773" s="885">
        <v>0.98758680105828123</v>
      </c>
      <c r="G1773" s="885">
        <v>0.99090105416015883</v>
      </c>
      <c r="H1773" s="885">
        <v>0.9603511701953773</v>
      </c>
      <c r="I1773" s="885">
        <v>0.95544728170302706</v>
      </c>
      <c r="K1773">
        <v>1.912549773066669</v>
      </c>
      <c r="L1773">
        <v>0</v>
      </c>
      <c r="M1773">
        <v>1.9429881090772337E-3</v>
      </c>
      <c r="N1773">
        <v>0.18681165847108697</v>
      </c>
      <c r="O1773">
        <v>2.5243157094796808E-2</v>
      </c>
      <c r="P1773">
        <v>2.0756983149004191E-2</v>
      </c>
      <c r="Q1773">
        <v>2.920683339098258E-3</v>
      </c>
      <c r="R1773">
        <v>1.9309126647599493E-3</v>
      </c>
      <c r="S1773">
        <v>0.19354054606248278</v>
      </c>
      <c r="T1773">
        <v>1.0597503309916776</v>
      </c>
      <c r="U1773">
        <v>3.7423147830051857E-2</v>
      </c>
      <c r="V1773">
        <v>0.24844442412161408</v>
      </c>
      <c r="W1773">
        <v>0.11282026163594661</v>
      </c>
      <c r="X1773">
        <v>1.9595348066937968E-2</v>
      </c>
      <c r="Y1773">
        <v>5.2553077482877129E-3</v>
      </c>
    </row>
    <row r="1774" spans="1:25" x14ac:dyDescent="0.25">
      <c r="A1774" s="881"/>
      <c r="B1774" s="1131">
        <v>1524</v>
      </c>
      <c r="C1774" s="885">
        <v>1.0194087714203173</v>
      </c>
      <c r="D1774" s="885">
        <v>0.97247529573849001</v>
      </c>
      <c r="E1774" s="885">
        <v>1.0058223567983529</v>
      </c>
      <c r="F1774" s="885">
        <v>1.0271772228265419</v>
      </c>
      <c r="G1774" s="885">
        <v>1.0202185260040535</v>
      </c>
      <c r="H1774" s="885">
        <v>0.98131586653107306</v>
      </c>
      <c r="I1774" s="885">
        <v>0.96743912942347099</v>
      </c>
      <c r="K1774">
        <v>1.9220936600436189</v>
      </c>
      <c r="L1774">
        <v>0</v>
      </c>
      <c r="M1774">
        <v>1.8831881120126002E-3</v>
      </c>
      <c r="N1774">
        <v>0.19318430783766383</v>
      </c>
      <c r="O1774">
        <v>2.5013920763296456E-2</v>
      </c>
      <c r="P1774">
        <v>2.1081423765763392E-2</v>
      </c>
      <c r="Q1774">
        <v>2.9500262751077071E-3</v>
      </c>
      <c r="R1774">
        <v>1.8717550373440921E-3</v>
      </c>
      <c r="S1774">
        <v>0.19604727101962946</v>
      </c>
      <c r="T1774">
        <v>1.0578381618981267</v>
      </c>
      <c r="U1774">
        <v>3.6609760134709721E-2</v>
      </c>
      <c r="V1774">
        <v>0.24856983795777945</v>
      </c>
      <c r="W1774">
        <v>0.11501677020551697</v>
      </c>
      <c r="X1774">
        <v>2.0699313072921655E-2</v>
      </c>
      <c r="Y1774">
        <v>5.0943001877683872E-3</v>
      </c>
    </row>
    <row r="1775" spans="1:25" x14ac:dyDescent="0.25">
      <c r="A1775" s="881"/>
      <c r="B1775" s="1131">
        <v>1525</v>
      </c>
      <c r="C1775" s="885">
        <v>0.9580991465372698</v>
      </c>
      <c r="D1775" s="885">
        <v>0.96087365672277192</v>
      </c>
      <c r="E1775" s="885">
        <v>1.0185979249983981</v>
      </c>
      <c r="F1775" s="885">
        <v>1.0070465492771616</v>
      </c>
      <c r="G1775" s="885">
        <v>1.0107478792091298</v>
      </c>
      <c r="H1775" s="885">
        <v>0.98473443386192216</v>
      </c>
      <c r="I1775" s="885">
        <v>0.97539380769288186</v>
      </c>
      <c r="K1775">
        <v>1.980372988480299</v>
      </c>
      <c r="L1775">
        <v>0</v>
      </c>
      <c r="M1775">
        <v>1.9689086217275472E-3</v>
      </c>
      <c r="N1775">
        <v>0.21016534560444355</v>
      </c>
      <c r="O1775">
        <v>2.6773914424169425E-2</v>
      </c>
      <c r="P1775">
        <v>2.1663568833353169E-2</v>
      </c>
      <c r="Q1775">
        <v>3.1954116228985075E-3</v>
      </c>
      <c r="R1775">
        <v>1.957006674986789E-3</v>
      </c>
      <c r="S1775">
        <v>0.21183378764590585</v>
      </c>
      <c r="T1775">
        <v>1.0566707163250815</v>
      </c>
      <c r="U1775">
        <v>3.89524515659979E-2</v>
      </c>
      <c r="V1775">
        <v>0.25924306163206695</v>
      </c>
      <c r="W1775">
        <v>0.12404697316833975</v>
      </c>
      <c r="X1775">
        <v>2.251333256254524E-2</v>
      </c>
      <c r="Y1775">
        <v>5.3263270422370121E-3</v>
      </c>
    </row>
    <row r="1776" spans="1:25" x14ac:dyDescent="0.25">
      <c r="A1776" s="881"/>
      <c r="B1776" s="1131">
        <v>1526</v>
      </c>
      <c r="C1776" s="885">
        <v>0.99615389517159791</v>
      </c>
      <c r="D1776" s="885">
        <v>1.0020151707117917</v>
      </c>
      <c r="E1776" s="885">
        <v>0.9754046823160567</v>
      </c>
      <c r="F1776" s="885">
        <v>0.98912581671768451</v>
      </c>
      <c r="G1776" s="885">
        <v>1.0212726747426784</v>
      </c>
      <c r="H1776" s="885">
        <v>1.0211355331315433</v>
      </c>
      <c r="I1776" s="885">
        <v>1.0452928881294694</v>
      </c>
      <c r="K1776">
        <v>1.9547477621020286</v>
      </c>
      <c r="L1776">
        <v>0</v>
      </c>
      <c r="M1776">
        <v>2.1063487823282981E-3</v>
      </c>
      <c r="N1776">
        <v>0.19659815621379315</v>
      </c>
      <c r="O1776">
        <v>2.5220830424337919E-2</v>
      </c>
      <c r="P1776">
        <v>2.094152112031962E-2</v>
      </c>
      <c r="Q1776">
        <v>2.8904567143580992E-3</v>
      </c>
      <c r="R1776">
        <v>2.0940338869595474E-3</v>
      </c>
      <c r="S1776">
        <v>0.21803234655361234</v>
      </c>
      <c r="T1776">
        <v>1.0606433503330943</v>
      </c>
      <c r="U1776">
        <v>3.7464402620729705E-2</v>
      </c>
      <c r="V1776">
        <v>0.24810046049714632</v>
      </c>
      <c r="W1776">
        <v>0.11952740637401404</v>
      </c>
      <c r="X1776">
        <v>1.9641876203772047E-2</v>
      </c>
      <c r="Y1776">
        <v>5.699269942218573E-3</v>
      </c>
    </row>
    <row r="1777" spans="1:25" x14ac:dyDescent="0.25">
      <c r="A1777" s="881"/>
      <c r="B1777" s="1131">
        <v>1527</v>
      </c>
      <c r="C1777" s="885">
        <v>1.0225365748253714</v>
      </c>
      <c r="D1777" s="885">
        <v>0.98506180665710219</v>
      </c>
      <c r="E1777" s="885">
        <v>0.9933043656258983</v>
      </c>
      <c r="F1777" s="885">
        <v>1.005316930804947</v>
      </c>
      <c r="G1777" s="885">
        <v>0.97218584230277949</v>
      </c>
      <c r="H1777" s="885">
        <v>1.0459946969356368</v>
      </c>
      <c r="I1777" s="885">
        <v>0.9906096646900302</v>
      </c>
      <c r="K1777">
        <v>1.9445152007860993</v>
      </c>
      <c r="L1777">
        <v>0</v>
      </c>
      <c r="M1777">
        <v>2.0415574640959035E-3</v>
      </c>
      <c r="N1777">
        <v>0.20150574253899597</v>
      </c>
      <c r="O1777">
        <v>2.4778703087084193E-2</v>
      </c>
      <c r="P1777">
        <v>2.0997984679551641E-2</v>
      </c>
      <c r="Q1777">
        <v>2.8883492711340047E-3</v>
      </c>
      <c r="R1777">
        <v>2.0299188585027497E-3</v>
      </c>
      <c r="S1777">
        <v>0.20533630798964905</v>
      </c>
      <c r="T1777">
        <v>1.0589882437218476</v>
      </c>
      <c r="U1777">
        <v>3.649777574683867E-2</v>
      </c>
      <c r="V1777">
        <v>0.24653997537330785</v>
      </c>
      <c r="W1777">
        <v>0.12100345533676277</v>
      </c>
      <c r="X1777">
        <v>2.0465531676245766E-2</v>
      </c>
      <c r="Y1777">
        <v>5.5247699702726206E-3</v>
      </c>
    </row>
    <row r="1778" spans="1:25" x14ac:dyDescent="0.25">
      <c r="A1778" s="881"/>
      <c r="B1778" s="1131">
        <v>1528</v>
      </c>
      <c r="C1778" s="885">
        <v>1.0249450409363152</v>
      </c>
      <c r="D1778" s="885">
        <v>1.0248467000962858</v>
      </c>
      <c r="E1778" s="885">
        <v>1.020908116609871</v>
      </c>
      <c r="F1778" s="885">
        <v>1.0123306224283839</v>
      </c>
      <c r="G1778" s="885">
        <v>1.0086016999309653</v>
      </c>
      <c r="H1778" s="885">
        <v>0.98725408277730753</v>
      </c>
      <c r="I1778" s="885">
        <v>0.97819503553728626</v>
      </c>
      <c r="K1778">
        <v>1.9053788446486148</v>
      </c>
      <c r="L1778">
        <v>0</v>
      </c>
      <c r="M1778">
        <v>1.7785526670510037E-3</v>
      </c>
      <c r="N1778">
        <v>0.19121150131765288</v>
      </c>
      <c r="O1778">
        <v>2.4241015491658864E-2</v>
      </c>
      <c r="P1778">
        <v>2.115455299897312E-2</v>
      </c>
      <c r="Q1778">
        <v>2.912871512777021E-3</v>
      </c>
      <c r="R1778">
        <v>1.7677806832371542E-3</v>
      </c>
      <c r="S1778">
        <v>0.19303415099666668</v>
      </c>
      <c r="T1778">
        <v>1.0564602891498578</v>
      </c>
      <c r="U1778">
        <v>3.6412011483878022E-2</v>
      </c>
      <c r="V1778">
        <v>0.24141850851015523</v>
      </c>
      <c r="W1778">
        <v>0.11268392172786974</v>
      </c>
      <c r="X1778">
        <v>2.1049477171911146E-2</v>
      </c>
      <c r="Y1778">
        <v>4.8113162710259226E-3</v>
      </c>
    </row>
    <row r="1779" spans="1:25" x14ac:dyDescent="0.25">
      <c r="A1779" s="881"/>
      <c r="B1779" s="1131">
        <v>1529</v>
      </c>
      <c r="C1779" s="885">
        <v>1.0442422151290949</v>
      </c>
      <c r="D1779" s="885">
        <v>1.0066226734764765</v>
      </c>
      <c r="E1779" s="885">
        <v>1.006418192764293</v>
      </c>
      <c r="F1779" s="885">
        <v>0.96842777291222781</v>
      </c>
      <c r="G1779" s="885">
        <v>1.0089443383899359</v>
      </c>
      <c r="H1779" s="885">
        <v>0.9922507463637108</v>
      </c>
      <c r="I1779" s="885">
        <v>0.98162820710405851</v>
      </c>
      <c r="K1779">
        <v>1.8988581700691496</v>
      </c>
      <c r="L1779">
        <v>0</v>
      </c>
      <c r="M1779">
        <v>1.8250899740334654E-3</v>
      </c>
      <c r="N1779">
        <v>0.18758151371450138</v>
      </c>
      <c r="O1779">
        <v>2.4004846471333365E-2</v>
      </c>
      <c r="P1779">
        <v>2.0921589455008119E-2</v>
      </c>
      <c r="Q1779">
        <v>2.8395662973008757E-3</v>
      </c>
      <c r="R1779">
        <v>1.8141053682237459E-3</v>
      </c>
      <c r="S1779">
        <v>0.19217389020063308</v>
      </c>
      <c r="T1779">
        <v>1.0577835721234765</v>
      </c>
      <c r="U1779">
        <v>3.5739132224512873E-2</v>
      </c>
      <c r="V1779">
        <v>0.24103284104950337</v>
      </c>
      <c r="W1779">
        <v>0.11163568779900099</v>
      </c>
      <c r="X1779">
        <v>2.0219118547055156E-2</v>
      </c>
      <c r="Y1779">
        <v>4.9373967926311215E-3</v>
      </c>
    </row>
    <row r="1780" spans="1:25" x14ac:dyDescent="0.25">
      <c r="A1780" s="881"/>
      <c r="B1780" s="1131">
        <v>1530</v>
      </c>
      <c r="C1780" s="885">
        <v>0.99690288300856433</v>
      </c>
      <c r="D1780" s="885">
        <v>0.98750951054954639</v>
      </c>
      <c r="E1780" s="885">
        <v>1.0171460065595925</v>
      </c>
      <c r="F1780" s="885">
        <v>0.99619521414770007</v>
      </c>
      <c r="G1780" s="885">
        <v>0.99482612704710172</v>
      </c>
      <c r="H1780" s="885">
        <v>1.0344465428015461</v>
      </c>
      <c r="I1780" s="885">
        <v>0.99684032270973144</v>
      </c>
      <c r="K1780">
        <v>1.9644283667996658</v>
      </c>
      <c r="L1780">
        <v>0</v>
      </c>
      <c r="M1780">
        <v>1.9670219185091257E-3</v>
      </c>
      <c r="N1780">
        <v>0.2090776859761502</v>
      </c>
      <c r="O1780">
        <v>2.5384583693571439E-2</v>
      </c>
      <c r="P1780">
        <v>2.1472997082359283E-2</v>
      </c>
      <c r="Q1780">
        <v>3.0310616615935545E-3</v>
      </c>
      <c r="R1780">
        <v>1.9556810814026358E-3</v>
      </c>
      <c r="S1780">
        <v>0.21052278798495996</v>
      </c>
      <c r="T1780">
        <v>1.0568030731896809</v>
      </c>
      <c r="U1780">
        <v>3.7436255062566898E-2</v>
      </c>
      <c r="V1780">
        <v>0.24982092384506055</v>
      </c>
      <c r="W1780">
        <v>0.12352613918645163</v>
      </c>
      <c r="X1780">
        <v>2.2041480740892662E-2</v>
      </c>
      <c r="Y1780">
        <v>5.3227192134827558E-3</v>
      </c>
    </row>
    <row r="1781" spans="1:25" x14ac:dyDescent="0.25">
      <c r="A1781" s="881"/>
      <c r="B1781" s="1131">
        <v>1531</v>
      </c>
      <c r="C1781" s="885">
        <v>0.98031391585721284</v>
      </c>
      <c r="D1781" s="885">
        <v>0.97199418638503687</v>
      </c>
      <c r="E1781" s="885">
        <v>0.98635864722874267</v>
      </c>
      <c r="F1781" s="885">
        <v>0.98339087368588218</v>
      </c>
      <c r="G1781" s="885">
        <v>1.0033410305781578</v>
      </c>
      <c r="H1781" s="885">
        <v>0.97414577413255055</v>
      </c>
      <c r="I1781" s="885">
        <v>1.0132469994191953</v>
      </c>
      <c r="K1781">
        <v>1.9542834190021798</v>
      </c>
      <c r="L1781">
        <v>0</v>
      </c>
      <c r="M1781">
        <v>2.0257660417862741E-3</v>
      </c>
      <c r="N1781">
        <v>0.19558800111428015</v>
      </c>
      <c r="O1781">
        <v>2.6017871392208125E-2</v>
      </c>
      <c r="P1781">
        <v>2.1123941272782266E-2</v>
      </c>
      <c r="Q1781">
        <v>3.00874562713495E-3</v>
      </c>
      <c r="R1781">
        <v>2.0133772653615082E-3</v>
      </c>
      <c r="S1781">
        <v>0.21280664064449714</v>
      </c>
      <c r="T1781">
        <v>1.059629007296838</v>
      </c>
      <c r="U1781">
        <v>3.8069755001165086E-2</v>
      </c>
      <c r="V1781">
        <v>0.25429111707810387</v>
      </c>
      <c r="W1781">
        <v>0.11801339051353195</v>
      </c>
      <c r="X1781">
        <v>2.0267588631386311E-2</v>
      </c>
      <c r="Y1781">
        <v>5.4797492066768752E-3</v>
      </c>
    </row>
    <row r="1782" spans="1:25" x14ac:dyDescent="0.25">
      <c r="A1782" s="881"/>
      <c r="B1782" s="1131">
        <v>1532</v>
      </c>
      <c r="C1782" s="885">
        <v>1.0293681318733447</v>
      </c>
      <c r="D1782" s="885">
        <v>0.9989222200801714</v>
      </c>
      <c r="E1782" s="885">
        <v>1.0290493547912822</v>
      </c>
      <c r="F1782" s="885">
        <v>1.0189875718258656</v>
      </c>
      <c r="G1782" s="885">
        <v>0.96412751980038347</v>
      </c>
      <c r="H1782" s="885">
        <v>0.99335491333221648</v>
      </c>
      <c r="I1782" s="885">
        <v>0.9873586776491784</v>
      </c>
      <c r="K1782">
        <v>1.9182026051225285</v>
      </c>
      <c r="L1782">
        <v>0</v>
      </c>
      <c r="M1782">
        <v>1.7737492255752811E-3</v>
      </c>
      <c r="N1782">
        <v>0.19558701496224992</v>
      </c>
      <c r="O1782">
        <v>2.4444414836461315E-2</v>
      </c>
      <c r="P1782">
        <v>2.135656803284847E-2</v>
      </c>
      <c r="Q1782">
        <v>2.9558599065399832E-3</v>
      </c>
      <c r="R1782">
        <v>1.7630911551342707E-3</v>
      </c>
      <c r="S1782">
        <v>0.19688806302962472</v>
      </c>
      <c r="T1782">
        <v>1.0557203965583439</v>
      </c>
      <c r="U1782">
        <v>3.6255552746710565E-2</v>
      </c>
      <c r="V1782">
        <v>0.24390669945000898</v>
      </c>
      <c r="W1782">
        <v>0.1146331889387855</v>
      </c>
      <c r="X1782">
        <v>2.1666951809960734E-2</v>
      </c>
      <c r="Y1782">
        <v>4.7985529214323976E-3</v>
      </c>
    </row>
    <row r="1783" spans="1:25" x14ac:dyDescent="0.25">
      <c r="A1783" s="881"/>
      <c r="B1783" s="1131">
        <v>1533</v>
      </c>
      <c r="C1783" s="885">
        <v>0.98357579305548259</v>
      </c>
      <c r="D1783" s="885">
        <v>0.99023043026926416</v>
      </c>
      <c r="E1783" s="885">
        <v>1.0089002682163069</v>
      </c>
      <c r="F1783" s="885">
        <v>0.98675532244966035</v>
      </c>
      <c r="G1783" s="885">
        <v>0.96185134584545873</v>
      </c>
      <c r="H1783" s="885">
        <v>0.98662260618567854</v>
      </c>
      <c r="I1783" s="885">
        <v>1.0085163114913043</v>
      </c>
      <c r="K1783">
        <v>1.9532468768340625</v>
      </c>
      <c r="L1783">
        <v>0</v>
      </c>
      <c r="M1783">
        <v>1.9322436061127086E-3</v>
      </c>
      <c r="N1783">
        <v>0.20012777624237493</v>
      </c>
      <c r="O1783">
        <v>2.569346300670973E-2</v>
      </c>
      <c r="P1783">
        <v>2.1383139343236626E-2</v>
      </c>
      <c r="Q1783">
        <v>3.0433875425968804E-3</v>
      </c>
      <c r="R1783">
        <v>1.9205610467514303E-3</v>
      </c>
      <c r="S1783">
        <v>0.21061459345695768</v>
      </c>
      <c r="T1783">
        <v>1.0575563163574004</v>
      </c>
      <c r="U1783">
        <v>3.7943502538814226E-2</v>
      </c>
      <c r="V1783">
        <v>0.25140640881432758</v>
      </c>
      <c r="W1783">
        <v>0.1189013367202759</v>
      </c>
      <c r="X1783">
        <v>2.1361501314249708E-2</v>
      </c>
      <c r="Y1783">
        <v>5.2271340564784873E-3</v>
      </c>
    </row>
    <row r="1784" spans="1:25" x14ac:dyDescent="0.25">
      <c r="A1784" s="881"/>
      <c r="B1784" s="1131">
        <v>1534</v>
      </c>
      <c r="C1784" s="885">
        <v>1.0052544848330447</v>
      </c>
      <c r="D1784" s="885">
        <v>1.0082112730811164</v>
      </c>
      <c r="E1784" s="885">
        <v>1.0284193261784793</v>
      </c>
      <c r="F1784" s="885">
        <v>0.97276528101647808</v>
      </c>
      <c r="G1784" s="885">
        <v>0.97506017027725855</v>
      </c>
      <c r="H1784" s="885">
        <v>0.99945890627740663</v>
      </c>
      <c r="I1784" s="885">
        <v>0.97275970518370858</v>
      </c>
      <c r="K1784">
        <v>1.9316099371666389</v>
      </c>
      <c r="L1784">
        <v>0</v>
      </c>
      <c r="M1784">
        <v>1.8215411736978392E-3</v>
      </c>
      <c r="N1784">
        <v>0.20047106904119474</v>
      </c>
      <c r="O1784">
        <v>2.4916412659330287E-2</v>
      </c>
      <c r="P1784">
        <v>2.1410580241402358E-2</v>
      </c>
      <c r="Q1784">
        <v>3.0129976710230036E-3</v>
      </c>
      <c r="R1784">
        <v>1.8106558090181613E-3</v>
      </c>
      <c r="S1784">
        <v>0.19838370057297969</v>
      </c>
      <c r="T1784">
        <v>1.0557775622739083</v>
      </c>
      <c r="U1784">
        <v>3.7125236608235752E-2</v>
      </c>
      <c r="V1784">
        <v>0.24606211577760417</v>
      </c>
      <c r="W1784">
        <v>0.11754538377877966</v>
      </c>
      <c r="X1784">
        <v>2.1987755677239457E-2</v>
      </c>
      <c r="Y1784">
        <v>4.9280082296204071E-3</v>
      </c>
    </row>
    <row r="1785" spans="1:25" x14ac:dyDescent="0.25">
      <c r="A1785" s="881"/>
      <c r="B1785" s="1131">
        <v>1535</v>
      </c>
      <c r="C1785" s="885">
        <v>1.0121380672336417</v>
      </c>
      <c r="D1785" s="885">
        <v>0.97290332990796258</v>
      </c>
      <c r="E1785" s="885">
        <v>1.0169732300033087</v>
      </c>
      <c r="F1785" s="885">
        <v>0.99286981532979557</v>
      </c>
      <c r="G1785" s="885">
        <v>0.98206628959877607</v>
      </c>
      <c r="H1785" s="885">
        <v>0.99687235656706774</v>
      </c>
      <c r="I1785" s="885">
        <v>0.95892635448756181</v>
      </c>
      <c r="K1785">
        <v>1.934412022486963</v>
      </c>
      <c r="L1785">
        <v>0</v>
      </c>
      <c r="M1785">
        <v>1.8815761037492842E-3</v>
      </c>
      <c r="N1785">
        <v>0.19984574680698702</v>
      </c>
      <c r="O1785">
        <v>2.5188100312845838E-2</v>
      </c>
      <c r="P1785">
        <v>2.1274462883152094E-2</v>
      </c>
      <c r="Q1785">
        <v>3.0039334418093299E-3</v>
      </c>
      <c r="R1785">
        <v>1.8703307325079329E-3</v>
      </c>
      <c r="S1785">
        <v>0.19719042849037199</v>
      </c>
      <c r="T1785">
        <v>1.0568188289831226</v>
      </c>
      <c r="U1785">
        <v>3.6872746722114803E-2</v>
      </c>
      <c r="V1785">
        <v>0.24953291946569281</v>
      </c>
      <c r="W1785">
        <v>0.11808556963883263</v>
      </c>
      <c r="X1785">
        <v>2.1520107413749399E-2</v>
      </c>
      <c r="Y1785">
        <v>5.0904236995263242E-3</v>
      </c>
    </row>
    <row r="1786" spans="1:25" x14ac:dyDescent="0.25">
      <c r="A1786" s="881"/>
      <c r="B1786" s="1131">
        <v>1536</v>
      </c>
      <c r="C1786" s="885">
        <v>0.99306287153046402</v>
      </c>
      <c r="D1786" s="885">
        <v>0.99983046357020466</v>
      </c>
      <c r="E1786" s="885">
        <v>1.0055619212468454</v>
      </c>
      <c r="F1786" s="885">
        <v>0.98538940883721626</v>
      </c>
      <c r="G1786" s="885">
        <v>0.98489020864808086</v>
      </c>
      <c r="H1786" s="885">
        <v>0.98940209341825158</v>
      </c>
      <c r="I1786" s="885">
        <v>0.99177736308320696</v>
      </c>
      <c r="K1786">
        <v>1.9390429957332762</v>
      </c>
      <c r="L1786">
        <v>0</v>
      </c>
      <c r="M1786">
        <v>1.9235240164388477E-3</v>
      </c>
      <c r="N1786">
        <v>0.19716989518258488</v>
      </c>
      <c r="O1786">
        <v>2.5326678271050538E-2</v>
      </c>
      <c r="P1786">
        <v>2.1210391041819977E-2</v>
      </c>
      <c r="Q1786">
        <v>2.9919481670167979E-3</v>
      </c>
      <c r="R1786">
        <v>1.9119190748907351E-3</v>
      </c>
      <c r="S1786">
        <v>0.2045143713808483</v>
      </c>
      <c r="T1786">
        <v>1.0578620270386885</v>
      </c>
      <c r="U1786">
        <v>3.7581014929498419E-2</v>
      </c>
      <c r="V1786">
        <v>0.2488156836271084</v>
      </c>
      <c r="W1786">
        <v>0.11741052017303391</v>
      </c>
      <c r="X1786">
        <v>2.096845740527355E-2</v>
      </c>
      <c r="Y1786">
        <v>5.2036134578989299E-3</v>
      </c>
    </row>
    <row r="1787" spans="1:25" x14ac:dyDescent="0.25">
      <c r="A1787" s="881"/>
      <c r="B1787" s="1131">
        <v>1537</v>
      </c>
      <c r="C1787" s="885">
        <v>1.0128032932830604</v>
      </c>
      <c r="D1787" s="885">
        <v>0.98305394045411953</v>
      </c>
      <c r="E1787" s="885">
        <v>1.0124641126737128</v>
      </c>
      <c r="F1787" s="885">
        <v>0.98232921043345633</v>
      </c>
      <c r="G1787" s="885">
        <v>1.0152736214996312</v>
      </c>
      <c r="H1787" s="885">
        <v>1.0354575831692812</v>
      </c>
      <c r="I1787" s="885">
        <v>0.98710506275049026</v>
      </c>
      <c r="K1787">
        <v>1.9514218377939276</v>
      </c>
      <c r="L1787">
        <v>0</v>
      </c>
      <c r="M1787">
        <v>1.9616714218895557E-3</v>
      </c>
      <c r="N1787">
        <v>0.20549868464026935</v>
      </c>
      <c r="O1787">
        <v>2.5042167879764255E-2</v>
      </c>
      <c r="P1787">
        <v>2.1307563666052267E-2</v>
      </c>
      <c r="Q1787">
        <v>2.9753060174557019E-3</v>
      </c>
      <c r="R1787">
        <v>1.9503760394850599E-3</v>
      </c>
      <c r="S1787">
        <v>0.20572246388858634</v>
      </c>
      <c r="T1787">
        <v>1.0572304355701274</v>
      </c>
      <c r="U1787">
        <v>3.6848528088747577E-2</v>
      </c>
      <c r="V1787">
        <v>0.24813774410987804</v>
      </c>
      <c r="W1787">
        <v>0.1217971797705777</v>
      </c>
      <c r="X1787">
        <v>2.1564778906682031E-2</v>
      </c>
      <c r="Y1787">
        <v>5.3082806381897114E-3</v>
      </c>
    </row>
    <row r="1788" spans="1:25" x14ac:dyDescent="0.25">
      <c r="A1788" s="881"/>
      <c r="B1788" s="1131">
        <v>1538</v>
      </c>
      <c r="C1788" s="885">
        <v>1.010234151047374</v>
      </c>
      <c r="D1788" s="885">
        <v>0.98621803055765267</v>
      </c>
      <c r="E1788" s="885">
        <v>1.0107546294731591</v>
      </c>
      <c r="F1788" s="885">
        <v>1.0303973409548308</v>
      </c>
      <c r="G1788" s="885">
        <v>0.96926400289158654</v>
      </c>
      <c r="H1788" s="885">
        <v>0.96981964776030094</v>
      </c>
      <c r="I1788" s="885">
        <v>0.98266181457547008</v>
      </c>
      <c r="K1788">
        <v>1.9223639007657636</v>
      </c>
      <c r="L1788">
        <v>0</v>
      </c>
      <c r="M1788">
        <v>1.8457061451259899E-3</v>
      </c>
      <c r="N1788">
        <v>0.19225016086090321</v>
      </c>
      <c r="O1788">
        <v>2.5065864901566499E-2</v>
      </c>
      <c r="P1788">
        <v>2.1184319662502737E-2</v>
      </c>
      <c r="Q1788">
        <v>2.9737117644325715E-3</v>
      </c>
      <c r="R1788">
        <v>1.8343566659406495E-3</v>
      </c>
      <c r="S1788">
        <v>0.19850773564008012</v>
      </c>
      <c r="T1788">
        <v>1.0573866902127462</v>
      </c>
      <c r="U1788">
        <v>3.6942238155604323E-2</v>
      </c>
      <c r="V1788">
        <v>0.2480983774222352</v>
      </c>
      <c r="W1788">
        <v>0.1140771852060912</v>
      </c>
      <c r="X1788">
        <v>2.0896452269609806E-2</v>
      </c>
      <c r="Y1788">
        <v>4.9925141491780354E-3</v>
      </c>
    </row>
    <row r="1789" spans="1:25" x14ac:dyDescent="0.25">
      <c r="A1789" s="881"/>
      <c r="B1789" s="1131">
        <v>1539</v>
      </c>
      <c r="C1789" s="885">
        <v>1.0246507148900148</v>
      </c>
      <c r="D1789" s="885">
        <v>0.96728656273944069</v>
      </c>
      <c r="E1789" s="885">
        <v>1.0056367004552806</v>
      </c>
      <c r="F1789" s="885">
        <v>1.025321289373043</v>
      </c>
      <c r="G1789" s="885">
        <v>1.031748556968006</v>
      </c>
      <c r="H1789" s="885">
        <v>0.98727822433381296</v>
      </c>
      <c r="I1789" s="885">
        <v>0.98835447148009437</v>
      </c>
      <c r="K1789">
        <v>1.9272715634908679</v>
      </c>
      <c r="L1789">
        <v>0</v>
      </c>
      <c r="M1789">
        <v>1.8906924466525292E-3</v>
      </c>
      <c r="N1789">
        <v>0.19384977495592107</v>
      </c>
      <c r="O1789">
        <v>2.4952223120705597E-2</v>
      </c>
      <c r="P1789">
        <v>2.1134347789301313E-2</v>
      </c>
      <c r="Q1789">
        <v>2.9410906971883504E-3</v>
      </c>
      <c r="R1789">
        <v>1.8792874197468908E-3</v>
      </c>
      <c r="S1789">
        <v>0.20034457188492796</v>
      </c>
      <c r="T1789">
        <v>1.0578551743382307</v>
      </c>
      <c r="U1789">
        <v>3.64224706610611E-2</v>
      </c>
      <c r="V1789">
        <v>0.24851644331719192</v>
      </c>
      <c r="W1789">
        <v>0.11542757529597342</v>
      </c>
      <c r="X1789">
        <v>2.0724495607653035E-2</v>
      </c>
      <c r="Y1789">
        <v>5.1148008496196117E-3</v>
      </c>
    </row>
    <row r="1790" spans="1:25" x14ac:dyDescent="0.25">
      <c r="A1790" s="881"/>
      <c r="B1790" s="1131">
        <v>1540</v>
      </c>
      <c r="C1790" s="885">
        <v>1.0102615892083002</v>
      </c>
      <c r="D1790" s="885">
        <v>0.95953128883479999</v>
      </c>
      <c r="E1790" s="885">
        <v>0.99132403148834958</v>
      </c>
      <c r="F1790" s="885">
        <v>1.0142560086154113</v>
      </c>
      <c r="G1790" s="885">
        <v>1.0258159195677785</v>
      </c>
      <c r="H1790" s="885">
        <v>0.97489463255567332</v>
      </c>
      <c r="I1790" s="885">
        <v>1.0199413921302858</v>
      </c>
      <c r="K1790">
        <v>1.9394349222092579</v>
      </c>
      <c r="L1790">
        <v>0</v>
      </c>
      <c r="M1790">
        <v>1.9593236809764161E-3</v>
      </c>
      <c r="N1790">
        <v>0.19212242361607731</v>
      </c>
      <c r="O1790">
        <v>2.5409183594588262E-2</v>
      </c>
      <c r="P1790">
        <v>2.1095482247610906E-2</v>
      </c>
      <c r="Q1790">
        <v>2.9504535085403795E-3</v>
      </c>
      <c r="R1790">
        <v>1.9473613105193386E-3</v>
      </c>
      <c r="S1790">
        <v>0.20918092174688305</v>
      </c>
      <c r="T1790">
        <v>1.0591707444151115</v>
      </c>
      <c r="U1790">
        <v>3.6941234824302512E-2</v>
      </c>
      <c r="V1790">
        <v>0.25156258364302553</v>
      </c>
      <c r="W1790">
        <v>0.11552608385749029</v>
      </c>
      <c r="X1790">
        <v>2.0187697586334572E-2</v>
      </c>
      <c r="Y1790">
        <v>5.3000755397501539E-3</v>
      </c>
    </row>
    <row r="1791" spans="1:25" x14ac:dyDescent="0.25">
      <c r="A1791" s="881"/>
      <c r="B1791" s="1131">
        <v>1541</v>
      </c>
      <c r="C1791" s="885">
        <v>0.99224754169765705</v>
      </c>
      <c r="D1791" s="885">
        <v>0.99694362445670126</v>
      </c>
      <c r="E1791" s="885">
        <v>1.0178681061549193</v>
      </c>
      <c r="F1791" s="885">
        <v>0.99966132295778831</v>
      </c>
      <c r="G1791" s="885">
        <v>0.98165723053234022</v>
      </c>
      <c r="H1791" s="885">
        <v>1.0411026473646152</v>
      </c>
      <c r="I1791" s="885">
        <v>0.99253273674306197</v>
      </c>
      <c r="K1791">
        <v>1.9662946681256015</v>
      </c>
      <c r="L1791">
        <v>0</v>
      </c>
      <c r="M1791">
        <v>1.976609403310139E-3</v>
      </c>
      <c r="N1791">
        <v>0.21057566530789928</v>
      </c>
      <c r="O1791">
        <v>2.5383802427938175E-2</v>
      </c>
      <c r="P1791">
        <v>2.1476295958838258E-2</v>
      </c>
      <c r="Q1791">
        <v>3.0351659924808729E-3</v>
      </c>
      <c r="R1791">
        <v>1.9652786601375588E-3</v>
      </c>
      <c r="S1791">
        <v>0.21035186287087054</v>
      </c>
      <c r="T1791">
        <v>1.0567372363026757</v>
      </c>
      <c r="U1791">
        <v>3.7611895250518654E-2</v>
      </c>
      <c r="V1791">
        <v>0.24929656038330317</v>
      </c>
      <c r="W1791">
        <v>0.12435045671302412</v>
      </c>
      <c r="X1791">
        <v>2.2138217002264877E-2</v>
      </c>
      <c r="Y1791">
        <v>5.3488406589582331E-3</v>
      </c>
    </row>
    <row r="1792" spans="1:25" x14ac:dyDescent="0.25">
      <c r="A1792" s="881"/>
      <c r="B1792" s="1131">
        <v>1542</v>
      </c>
      <c r="C1792" s="885">
        <v>0.9914408645190933</v>
      </c>
      <c r="D1792" s="885">
        <v>0.95346195538894185</v>
      </c>
      <c r="E1792" s="885">
        <v>0.9930903870365797</v>
      </c>
      <c r="F1792" s="885">
        <v>0.98468680663473307</v>
      </c>
      <c r="G1792" s="885">
        <v>0.97171440194049563</v>
      </c>
      <c r="H1792" s="885">
        <v>1.0082392462732899</v>
      </c>
      <c r="I1792" s="885">
        <v>0.99903799465678622</v>
      </c>
      <c r="K1792">
        <v>1.9670615500951487</v>
      </c>
      <c r="L1792">
        <v>0</v>
      </c>
      <c r="M1792">
        <v>2.0636542958499173E-3</v>
      </c>
      <c r="N1792">
        <v>0.2035101907922979</v>
      </c>
      <c r="O1792">
        <v>2.5973486916061248E-2</v>
      </c>
      <c r="P1792">
        <v>2.1229524652582463E-2</v>
      </c>
      <c r="Q1792">
        <v>3.0199994907043866E-3</v>
      </c>
      <c r="R1792">
        <v>2.0514770977132233E-3</v>
      </c>
      <c r="S1792">
        <v>0.21287752317536121</v>
      </c>
      <c r="T1792">
        <v>1.0590079558926437</v>
      </c>
      <c r="U1792">
        <v>3.7642497839767156E-2</v>
      </c>
      <c r="V1792">
        <v>0.25513586763811186</v>
      </c>
      <c r="W1792">
        <v>0.12222509841650073</v>
      </c>
      <c r="X1792">
        <v>2.0868138088522489E-2</v>
      </c>
      <c r="Y1792">
        <v>5.5834443907318851E-3</v>
      </c>
    </row>
    <row r="1793" spans="1:25" x14ac:dyDescent="0.25">
      <c r="A1793" s="881"/>
      <c r="B1793" s="1131">
        <v>1543</v>
      </c>
      <c r="C1793" s="885">
        <v>0.96626485091464109</v>
      </c>
      <c r="D1793" s="885">
        <v>0.98969247426319684</v>
      </c>
      <c r="E1793" s="885">
        <v>1.0229250460764321</v>
      </c>
      <c r="F1793" s="885">
        <v>1.0036841809026342</v>
      </c>
      <c r="G1793" s="885">
        <v>1.0284179337249277</v>
      </c>
      <c r="H1793" s="885">
        <v>1.0087874985416032</v>
      </c>
      <c r="I1793" s="885">
        <v>0.99993570572514545</v>
      </c>
      <c r="K1793">
        <v>1.9784726094519849</v>
      </c>
      <c r="L1793">
        <v>0</v>
      </c>
      <c r="M1793">
        <v>1.9529036511123862E-3</v>
      </c>
      <c r="N1793">
        <v>0.21130586628827486</v>
      </c>
      <c r="O1793">
        <v>2.616081528799338E-2</v>
      </c>
      <c r="P1793">
        <v>2.1693744997539063E-2</v>
      </c>
      <c r="Q1793">
        <v>3.1422320151485725E-3</v>
      </c>
      <c r="R1793">
        <v>1.9413560471931077E-3</v>
      </c>
      <c r="S1793">
        <v>0.21495003777886812</v>
      </c>
      <c r="T1793">
        <v>1.0562767448067696</v>
      </c>
      <c r="U1793">
        <v>3.8623272455363025E-2</v>
      </c>
      <c r="V1793">
        <v>0.25406840299217215</v>
      </c>
      <c r="W1793">
        <v>0.12435670769106263</v>
      </c>
      <c r="X1793">
        <v>2.2622601550099247E-2</v>
      </c>
      <c r="Y1793">
        <v>5.2837311926106781E-3</v>
      </c>
    </row>
    <row r="1794" spans="1:25" x14ac:dyDescent="0.25">
      <c r="A1794" s="881"/>
      <c r="B1794" s="1131">
        <v>1544</v>
      </c>
      <c r="C1794" s="885">
        <v>1.0167494400697923</v>
      </c>
      <c r="D1794" s="885">
        <v>1.029167626361599</v>
      </c>
      <c r="E1794" s="885">
        <v>1.0280814703678569</v>
      </c>
      <c r="F1794" s="885">
        <v>1.0399163940385885</v>
      </c>
      <c r="G1794" s="885">
        <v>1.0171068680063144</v>
      </c>
      <c r="H1794" s="885">
        <v>0.98647531072431249</v>
      </c>
      <c r="I1794" s="885">
        <v>1.0076023661937368</v>
      </c>
      <c r="K1794">
        <v>1.9165849670507433</v>
      </c>
      <c r="L1794">
        <v>0</v>
      </c>
      <c r="M1794">
        <v>1.760861049004377E-3</v>
      </c>
      <c r="N1794">
        <v>0.19357272128939862</v>
      </c>
      <c r="O1794">
        <v>2.4385760924735409E-2</v>
      </c>
      <c r="P1794">
        <v>2.1365613287623271E-2</v>
      </c>
      <c r="Q1794">
        <v>2.9520396076817791E-3</v>
      </c>
      <c r="R1794">
        <v>1.7501847210940925E-3</v>
      </c>
      <c r="S1794">
        <v>0.19997797964402117</v>
      </c>
      <c r="T1794">
        <v>1.0558082240583835</v>
      </c>
      <c r="U1794">
        <v>3.6705513797337448E-2</v>
      </c>
      <c r="V1794">
        <v>0.24200731989978405</v>
      </c>
      <c r="W1794">
        <v>0.11352629693070301</v>
      </c>
      <c r="X1794">
        <v>2.1530748076405596E-2</v>
      </c>
      <c r="Y1794">
        <v>4.7634258625798686E-3</v>
      </c>
    </row>
    <row r="1795" spans="1:25" x14ac:dyDescent="0.25">
      <c r="A1795" s="881"/>
      <c r="B1795" s="1131">
        <v>1545</v>
      </c>
      <c r="C1795" s="885">
        <v>0.98303896099711607</v>
      </c>
      <c r="D1795" s="885">
        <v>1.0278611212984132</v>
      </c>
      <c r="E1795" s="885">
        <v>1.0010825312533802</v>
      </c>
      <c r="F1795" s="885">
        <v>1.0106185064749256</v>
      </c>
      <c r="G1795" s="885">
        <v>1.0072538461431246</v>
      </c>
      <c r="H1795" s="885">
        <v>0.98557763554053246</v>
      </c>
      <c r="I1795" s="885">
        <v>0.99441519812295198</v>
      </c>
      <c r="K1795">
        <v>1.93360089892936</v>
      </c>
      <c r="L1795">
        <v>0</v>
      </c>
      <c r="M1795">
        <v>1.9274931111396437E-3</v>
      </c>
      <c r="N1795">
        <v>0.19483625181220196</v>
      </c>
      <c r="O1795">
        <v>2.5237802727765272E-2</v>
      </c>
      <c r="P1795">
        <v>2.1118418423113284E-2</v>
      </c>
      <c r="Q1795">
        <v>2.9737715084568691E-3</v>
      </c>
      <c r="R1795">
        <v>1.9157968441092248E-3</v>
      </c>
      <c r="S1795">
        <v>0.2041565130055818</v>
      </c>
      <c r="T1795">
        <v>1.0582729120270276</v>
      </c>
      <c r="U1795">
        <v>3.7964223272556934E-2</v>
      </c>
      <c r="V1795">
        <v>0.24681315925286479</v>
      </c>
      <c r="W1795">
        <v>0.11637620623868954</v>
      </c>
      <c r="X1795">
        <v>2.0649169460725987E-2</v>
      </c>
      <c r="Y1795">
        <v>5.2141674674053805E-3</v>
      </c>
    </row>
    <row r="1796" spans="1:25" x14ac:dyDescent="0.25">
      <c r="A1796" s="881"/>
      <c r="B1796" s="1131">
        <v>1546</v>
      </c>
      <c r="C1796" s="885">
        <v>1.0053991238418922</v>
      </c>
      <c r="D1796" s="885">
        <v>0.98683935033633674</v>
      </c>
      <c r="E1796" s="885">
        <v>1.0239113916214491</v>
      </c>
      <c r="F1796" s="885">
        <v>1.0104899975137569</v>
      </c>
      <c r="G1796" s="885">
        <v>1.0150004048140111</v>
      </c>
      <c r="H1796" s="885">
        <v>0.98241432478072754</v>
      </c>
      <c r="I1796" s="885">
        <v>1.0078583638198435</v>
      </c>
      <c r="K1796">
        <v>1.9390133540106438</v>
      </c>
      <c r="L1796">
        <v>0</v>
      </c>
      <c r="M1796">
        <v>1.8266245121615204E-3</v>
      </c>
      <c r="N1796">
        <v>0.19821731033357373</v>
      </c>
      <c r="O1796">
        <v>2.5178542885287664E-2</v>
      </c>
      <c r="P1796">
        <v>2.148559342774737E-2</v>
      </c>
      <c r="Q1796">
        <v>3.0265981759392633E-3</v>
      </c>
      <c r="R1796">
        <v>1.8155358790434182E-3</v>
      </c>
      <c r="S1796">
        <v>0.20580372213309595</v>
      </c>
      <c r="T1796">
        <v>1.0561870434505563</v>
      </c>
      <c r="U1796">
        <v>3.7119895687104144E-2</v>
      </c>
      <c r="V1796">
        <v>0.24869642429587482</v>
      </c>
      <c r="W1796">
        <v>0.11657646295999723</v>
      </c>
      <c r="X1796">
        <v>2.1791559123068245E-2</v>
      </c>
      <c r="Y1796">
        <v>4.9412901715145049E-3</v>
      </c>
    </row>
    <row r="1797" spans="1:25" x14ac:dyDescent="0.25">
      <c r="A1797" s="881"/>
      <c r="B1797" s="1131">
        <v>1547</v>
      </c>
      <c r="C1797" s="885">
        <v>1.0029607760059212</v>
      </c>
      <c r="D1797" s="885">
        <v>1.0300740365566181</v>
      </c>
      <c r="E1797" s="885">
        <v>0.97129741302287298</v>
      </c>
      <c r="F1797" s="885">
        <v>0.9965626466149482</v>
      </c>
      <c r="G1797" s="885">
        <v>1.0218119273391182</v>
      </c>
      <c r="H1797" s="885">
        <v>1.0031875039189382</v>
      </c>
      <c r="I1797" s="885">
        <v>1.0081206660350581</v>
      </c>
      <c r="K1797">
        <v>1.9224077947862044</v>
      </c>
      <c r="L1797">
        <v>0</v>
      </c>
      <c r="M1797">
        <v>2.0449991575620385E-3</v>
      </c>
      <c r="N1797">
        <v>0.18842181342089265</v>
      </c>
      <c r="O1797">
        <v>2.4710288620883682E-2</v>
      </c>
      <c r="P1797">
        <v>2.0637949919314478E-2</v>
      </c>
      <c r="Q1797">
        <v>2.8255011583163819E-3</v>
      </c>
      <c r="R1797">
        <v>2.0328058869762099E-3</v>
      </c>
      <c r="S1797">
        <v>0.20442527410628503</v>
      </c>
      <c r="T1797">
        <v>1.0610248845281902</v>
      </c>
      <c r="U1797">
        <v>3.7210139712080356E-2</v>
      </c>
      <c r="V1797">
        <v>0.24376629085951643</v>
      </c>
      <c r="W1797">
        <v>0.11488485192629537</v>
      </c>
      <c r="X1797">
        <v>1.8980366294946118E-2</v>
      </c>
      <c r="Y1797">
        <v>5.5326275100686982E-3</v>
      </c>
    </row>
    <row r="1798" spans="1:25" x14ac:dyDescent="0.25">
      <c r="A1798" s="881"/>
      <c r="B1798" s="1131">
        <v>1548</v>
      </c>
      <c r="C1798" s="885">
        <v>0.98612304097943793</v>
      </c>
      <c r="D1798" s="885">
        <v>0.99617254765166241</v>
      </c>
      <c r="E1798" s="885">
        <v>0.99841145685460764</v>
      </c>
      <c r="F1798" s="885">
        <v>0.96462632314091867</v>
      </c>
      <c r="G1798" s="885">
        <v>0.98834175574567462</v>
      </c>
      <c r="H1798" s="885">
        <v>0.99970134192653815</v>
      </c>
      <c r="I1798" s="885">
        <v>0.97374184370657479</v>
      </c>
      <c r="K1798">
        <v>1.9450400628106965</v>
      </c>
      <c r="L1798">
        <v>0</v>
      </c>
      <c r="M1798">
        <v>1.9905356688774576E-3</v>
      </c>
      <c r="N1798">
        <v>0.19956341677202954</v>
      </c>
      <c r="O1798">
        <v>2.5551242046098613E-2</v>
      </c>
      <c r="P1798">
        <v>2.1117438948755694E-2</v>
      </c>
      <c r="Q1798">
        <v>2.9961166680220735E-3</v>
      </c>
      <c r="R1798">
        <v>1.9786531788593838E-3</v>
      </c>
      <c r="S1798">
        <v>0.20357999678744804</v>
      </c>
      <c r="T1798">
        <v>1.0585182961736803</v>
      </c>
      <c r="U1798">
        <v>3.7845490927632758E-2</v>
      </c>
      <c r="V1798">
        <v>0.25027709996782199</v>
      </c>
      <c r="W1798">
        <v>0.11941784856924108</v>
      </c>
      <c r="X1798">
        <v>2.079975674997149E-2</v>
      </c>
      <c r="Y1798">
        <v>5.385241690010133E-3</v>
      </c>
    </row>
    <row r="1799" spans="1:25" x14ac:dyDescent="0.25">
      <c r="A1799" s="881"/>
      <c r="B1799" s="1131">
        <v>1549</v>
      </c>
      <c r="C1799" s="885">
        <v>1.0158664859769881</v>
      </c>
      <c r="D1799" s="885">
        <v>1.0365718908698092</v>
      </c>
      <c r="E1799" s="885">
        <v>1.0111027882206025</v>
      </c>
      <c r="F1799" s="885">
        <v>1.0084025515839252</v>
      </c>
      <c r="G1799" s="885">
        <v>0.97083760745597059</v>
      </c>
      <c r="H1799" s="885">
        <v>0.99497258371333075</v>
      </c>
      <c r="I1799" s="885">
        <v>1.0014899650660118</v>
      </c>
      <c r="K1799">
        <v>1.9135118197880494</v>
      </c>
      <c r="L1799">
        <v>0</v>
      </c>
      <c r="M1799">
        <v>1.8359862267042597E-3</v>
      </c>
      <c r="N1799">
        <v>0.19147078507070697</v>
      </c>
      <c r="O1799">
        <v>2.4320887326936023E-2</v>
      </c>
      <c r="P1799">
        <v>2.110106100173768E-2</v>
      </c>
      <c r="Q1799">
        <v>2.8963229908527269E-3</v>
      </c>
      <c r="R1799">
        <v>1.8249440670215008E-3</v>
      </c>
      <c r="S1799">
        <v>0.19912028613927954</v>
      </c>
      <c r="T1799">
        <v>1.0573548576474068</v>
      </c>
      <c r="U1799">
        <v>3.6737416890985253E-2</v>
      </c>
      <c r="V1799">
        <v>0.24127584235815497</v>
      </c>
      <c r="W1799">
        <v>0.11358786288223491</v>
      </c>
      <c r="X1799">
        <v>2.0690643481654926E-2</v>
      </c>
      <c r="Y1799">
        <v>4.9668961577825155E-3</v>
      </c>
    </row>
    <row r="1800" spans="1:25" x14ac:dyDescent="0.25">
      <c r="A1800" s="881"/>
      <c r="B1800" s="1131">
        <v>1550</v>
      </c>
      <c r="C1800" s="885">
        <v>1.0161267980488173</v>
      </c>
      <c r="D1800" s="885">
        <v>0.99086059805123394</v>
      </c>
      <c r="E1800" s="885">
        <v>0.97333765903297254</v>
      </c>
      <c r="F1800" s="885">
        <v>1.0254795744254628</v>
      </c>
      <c r="G1800" s="885">
        <v>0.97529289105799699</v>
      </c>
      <c r="H1800" s="885">
        <v>0.99753887991864831</v>
      </c>
      <c r="I1800" s="885">
        <v>1.0112036065897587</v>
      </c>
      <c r="K1800">
        <v>1.9266761380091957</v>
      </c>
      <c r="L1800">
        <v>0</v>
      </c>
      <c r="M1800">
        <v>2.0372475975411371E-3</v>
      </c>
      <c r="N1800">
        <v>0.18890194641771824</v>
      </c>
      <c r="O1800">
        <v>2.4862547645789695E-2</v>
      </c>
      <c r="P1800">
        <v>2.0714144639247666E-2</v>
      </c>
      <c r="Q1800">
        <v>2.8411750026186996E-3</v>
      </c>
      <c r="R1800">
        <v>2.0250644251966063E-3</v>
      </c>
      <c r="S1800">
        <v>0.20545554280459349</v>
      </c>
      <c r="T1800">
        <v>1.0608352794930254</v>
      </c>
      <c r="U1800">
        <v>3.6728005473903445E-2</v>
      </c>
      <c r="V1800">
        <v>0.24669310864669222</v>
      </c>
      <c r="W1800">
        <v>0.11501377544988627</v>
      </c>
      <c r="X1800">
        <v>1.9131237804986517E-2</v>
      </c>
      <c r="Y1800">
        <v>5.5115578030768084E-3</v>
      </c>
    </row>
    <row r="1801" spans="1:25" x14ac:dyDescent="0.25">
      <c r="A1801" s="881"/>
      <c r="B1801" s="1131">
        <v>1551</v>
      </c>
      <c r="C1801" s="885">
        <v>0.96851217831151093</v>
      </c>
      <c r="D1801" s="885">
        <v>1.0135360340676667</v>
      </c>
      <c r="E1801" s="885">
        <v>0.98536537939765589</v>
      </c>
      <c r="F1801" s="885">
        <v>0.98602794941568639</v>
      </c>
      <c r="G1801" s="885">
        <v>1.0055846004656341</v>
      </c>
      <c r="H1801" s="885">
        <v>1.000332164878571</v>
      </c>
      <c r="I1801" s="885">
        <v>0.99859621223991168</v>
      </c>
      <c r="K1801">
        <v>1.95465673083841</v>
      </c>
      <c r="L1801">
        <v>0</v>
      </c>
      <c r="M1801">
        <v>2.0667007406222362E-3</v>
      </c>
      <c r="N1801">
        <v>0.19895251573914663</v>
      </c>
      <c r="O1801">
        <v>2.5794420335574792E-2</v>
      </c>
      <c r="P1801">
        <v>2.1041879244146678E-2</v>
      </c>
      <c r="Q1801">
        <v>2.9886404591584533E-3</v>
      </c>
      <c r="R1801">
        <v>2.0543566226358125E-3</v>
      </c>
      <c r="S1801">
        <v>0.21095952264776169</v>
      </c>
      <c r="T1801">
        <v>1.0597207924737178</v>
      </c>
      <c r="U1801">
        <v>3.8533651343425082E-2</v>
      </c>
      <c r="V1801">
        <v>0.25067785761200639</v>
      </c>
      <c r="W1801">
        <v>0.12012588774419651</v>
      </c>
      <c r="X1801">
        <v>2.0282625848926397E-2</v>
      </c>
      <c r="Y1801">
        <v>5.5912815083360374E-3</v>
      </c>
    </row>
    <row r="1802" spans="1:25" x14ac:dyDescent="0.25">
      <c r="A1802" s="881"/>
      <c r="B1802" s="1131">
        <v>1552</v>
      </c>
      <c r="C1802" s="885">
        <v>1.0150853140852656</v>
      </c>
      <c r="D1802" s="885">
        <v>1.002544136225213</v>
      </c>
      <c r="E1802" s="885">
        <v>0.98103154190267317</v>
      </c>
      <c r="F1802" s="885">
        <v>0.98593590680513676</v>
      </c>
      <c r="G1802" s="885">
        <v>1.0083959838045748</v>
      </c>
      <c r="H1802" s="885">
        <v>0.97613168334050238</v>
      </c>
      <c r="I1802" s="885">
        <v>0.98307448139182629</v>
      </c>
      <c r="K1802">
        <v>1.9095461626925549</v>
      </c>
      <c r="L1802">
        <v>0</v>
      </c>
      <c r="M1802">
        <v>1.9522578387419524E-3</v>
      </c>
      <c r="N1802">
        <v>0.18538876685094025</v>
      </c>
      <c r="O1802">
        <v>2.4743997119330573E-2</v>
      </c>
      <c r="P1802">
        <v>2.0692653214219973E-2</v>
      </c>
      <c r="Q1802">
        <v>2.8521946325007382E-3</v>
      </c>
      <c r="R1802">
        <v>1.9403171751809294E-3</v>
      </c>
      <c r="S1802">
        <v>0.19677626110342911</v>
      </c>
      <c r="T1802">
        <v>1.060121718735997</v>
      </c>
      <c r="U1802">
        <v>3.6765688640218175E-2</v>
      </c>
      <c r="V1802">
        <v>0.24539974619573515</v>
      </c>
      <c r="W1802">
        <v>0.11227257328773367</v>
      </c>
      <c r="X1802">
        <v>1.9263599850549904E-2</v>
      </c>
      <c r="Y1802">
        <v>5.2809037254575959E-3</v>
      </c>
    </row>
    <row r="1803" spans="1:25" x14ac:dyDescent="0.25">
      <c r="A1803" s="881"/>
      <c r="B1803" s="1131">
        <v>1553</v>
      </c>
      <c r="C1803" s="885">
        <v>0.99011121054580764</v>
      </c>
      <c r="D1803" s="885">
        <v>0.96220997139438846</v>
      </c>
      <c r="E1803" s="885">
        <v>0.98037300633936519</v>
      </c>
      <c r="F1803" s="885">
        <v>0.96941632868872418</v>
      </c>
      <c r="G1803" s="885">
        <v>0.98438464958826499</v>
      </c>
      <c r="H1803" s="885">
        <v>0.99019695429822396</v>
      </c>
      <c r="I1803" s="885">
        <v>0.97519798194816865</v>
      </c>
      <c r="K1803">
        <v>1.948563502563931</v>
      </c>
      <c r="L1803">
        <v>0</v>
      </c>
      <c r="M1803">
        <v>2.0749682481678369E-3</v>
      </c>
      <c r="N1803">
        <v>0.19665824360641246</v>
      </c>
      <c r="O1803">
        <v>2.5890352195714735E-2</v>
      </c>
      <c r="P1803">
        <v>2.0928684873506909E-2</v>
      </c>
      <c r="Q1803">
        <v>2.9737443766774396E-3</v>
      </c>
      <c r="R1803">
        <v>2.0624931496553167E-3</v>
      </c>
      <c r="S1803">
        <v>0.20536725816144685</v>
      </c>
      <c r="T1803">
        <v>1.0601827040961829</v>
      </c>
      <c r="U1803">
        <v>3.7693049228625257E-2</v>
      </c>
      <c r="V1803">
        <v>0.25414116302527578</v>
      </c>
      <c r="W1803">
        <v>0.11915184481432989</v>
      </c>
      <c r="X1803">
        <v>1.9975506831593465E-2</v>
      </c>
      <c r="Y1803">
        <v>5.6134264526777142E-3</v>
      </c>
    </row>
    <row r="1804" spans="1:25" x14ac:dyDescent="0.25">
      <c r="A1804" s="881"/>
      <c r="B1804" s="1131">
        <v>1554</v>
      </c>
      <c r="C1804" s="885">
        <v>0.99188857794819452</v>
      </c>
      <c r="D1804" s="885">
        <v>1.040830908461196</v>
      </c>
      <c r="E1804" s="885">
        <v>0.99996012292486769</v>
      </c>
      <c r="F1804" s="885">
        <v>1.0041450485364585</v>
      </c>
      <c r="G1804" s="885">
        <v>1.0299557422350849</v>
      </c>
      <c r="H1804" s="885">
        <v>0.96727501066622668</v>
      </c>
      <c r="I1804" s="885">
        <v>1.0020120875417566</v>
      </c>
      <c r="K1804">
        <v>1.9155366848675566</v>
      </c>
      <c r="L1804">
        <v>0</v>
      </c>
      <c r="M1804">
        <v>1.8676934474572274E-3</v>
      </c>
      <c r="N1804">
        <v>0.18811073019793192</v>
      </c>
      <c r="O1804">
        <v>2.4858579311712658E-2</v>
      </c>
      <c r="P1804">
        <v>2.1014959771498712E-2</v>
      </c>
      <c r="Q1804">
        <v>2.9283065739435336E-3</v>
      </c>
      <c r="R1804">
        <v>1.8561357135493343E-3</v>
      </c>
      <c r="S1804">
        <v>0.2008823785103945</v>
      </c>
      <c r="T1804">
        <v>1.0583759906910479</v>
      </c>
      <c r="U1804">
        <v>3.7625506967846313E-2</v>
      </c>
      <c r="V1804">
        <v>0.24403724161627641</v>
      </c>
      <c r="W1804">
        <v>0.11244532767307719</v>
      </c>
      <c r="X1804">
        <v>2.0217431750423787E-2</v>
      </c>
      <c r="Y1804">
        <v>5.0517895373077618E-3</v>
      </c>
    </row>
    <row r="1805" spans="1:25" x14ac:dyDescent="0.25">
      <c r="A1805" s="881"/>
      <c r="B1805" s="1131">
        <v>1555</v>
      </c>
      <c r="C1805" s="885">
        <v>0.98855411168180485</v>
      </c>
      <c r="D1805" s="885">
        <v>0.99373157864186479</v>
      </c>
      <c r="E1805" s="885">
        <v>1.003781134637747</v>
      </c>
      <c r="F1805" s="885">
        <v>1.0214947552402867</v>
      </c>
      <c r="G1805" s="885">
        <v>1.0248060773758438</v>
      </c>
      <c r="H1805" s="885">
        <v>0.97146120861027996</v>
      </c>
      <c r="I1805" s="885">
        <v>0.96664050384573064</v>
      </c>
      <c r="K1805">
        <v>1.9314349386737835</v>
      </c>
      <c r="L1805">
        <v>0</v>
      </c>
      <c r="M1805">
        <v>1.9101665277030889E-3</v>
      </c>
      <c r="N1805">
        <v>0.19469796863021679</v>
      </c>
      <c r="O1805">
        <v>2.5519399331542052E-2</v>
      </c>
      <c r="P1805">
        <v>2.1131152850176995E-2</v>
      </c>
      <c r="Q1805">
        <v>3.0080523556002105E-3</v>
      </c>
      <c r="R1805">
        <v>1.8984343254928096E-3</v>
      </c>
      <c r="S1805">
        <v>0.19902242628302286</v>
      </c>
      <c r="T1805">
        <v>1.0580252811700364</v>
      </c>
      <c r="U1805">
        <v>3.7752420590740091E-2</v>
      </c>
      <c r="V1805">
        <v>0.25023309264457672</v>
      </c>
      <c r="W1805">
        <v>0.11607943538251361</v>
      </c>
      <c r="X1805">
        <v>2.0810529222281389E-2</v>
      </c>
      <c r="Y1805">
        <v>5.166912415284222E-3</v>
      </c>
    </row>
    <row r="1806" spans="1:25" x14ac:dyDescent="0.25">
      <c r="A1806" s="881"/>
      <c r="B1806" s="1131">
        <v>1556</v>
      </c>
      <c r="C1806" s="885">
        <v>0.99882965277046898</v>
      </c>
      <c r="D1806" s="885">
        <v>1.0083168320758658</v>
      </c>
      <c r="E1806" s="885">
        <v>1.0296157287700187</v>
      </c>
      <c r="F1806" s="885">
        <v>0.98362896058807103</v>
      </c>
      <c r="G1806" s="885">
        <v>1.0049556082799578</v>
      </c>
      <c r="H1806" s="885">
        <v>1.0181842883948928</v>
      </c>
      <c r="I1806" s="885">
        <v>1.0036945463887494</v>
      </c>
      <c r="K1806">
        <v>1.9513279850156227</v>
      </c>
      <c r="L1806">
        <v>0</v>
      </c>
      <c r="M1806">
        <v>1.862788410727961E-3</v>
      </c>
      <c r="N1806">
        <v>0.20579616407059992</v>
      </c>
      <c r="O1806">
        <v>2.5075385971382522E-2</v>
      </c>
      <c r="P1806">
        <v>2.1576029904209072E-2</v>
      </c>
      <c r="Q1806">
        <v>3.0358342740642971E-3</v>
      </c>
      <c r="R1806">
        <v>1.8518612027587857E-3</v>
      </c>
      <c r="S1806">
        <v>0.20789574097436533</v>
      </c>
      <c r="T1806">
        <v>1.0556690198164684</v>
      </c>
      <c r="U1806">
        <v>3.7364039501030975E-2</v>
      </c>
      <c r="V1806">
        <v>0.24694507736366006</v>
      </c>
      <c r="W1806">
        <v>0.12057096153644302</v>
      </c>
      <c r="X1806">
        <v>2.2370503083340442E-2</v>
      </c>
      <c r="Y1806">
        <v>5.0401557280279905E-3</v>
      </c>
    </row>
    <row r="1807" spans="1:25" x14ac:dyDescent="0.25">
      <c r="A1807" s="881"/>
      <c r="B1807" s="1131">
        <v>1557</v>
      </c>
      <c r="C1807" s="885">
        <v>1.0020657091219833</v>
      </c>
      <c r="D1807" s="885">
        <v>0.98712216054295143</v>
      </c>
      <c r="E1807" s="885">
        <v>0.99201644736212091</v>
      </c>
      <c r="F1807" s="885">
        <v>0.98827117170963963</v>
      </c>
      <c r="G1807" s="885">
        <v>0.97263093300673498</v>
      </c>
      <c r="H1807" s="885">
        <v>0.99358692823674</v>
      </c>
      <c r="I1807" s="885">
        <v>0.95209096655339209</v>
      </c>
      <c r="K1807">
        <v>1.9281644226435124</v>
      </c>
      <c r="L1807">
        <v>0</v>
      </c>
      <c r="M1807">
        <v>1.9822004331584743E-3</v>
      </c>
      <c r="N1807">
        <v>0.19480519810939786</v>
      </c>
      <c r="O1807">
        <v>2.5258711058986843E-2</v>
      </c>
      <c r="P1807">
        <v>2.0899569299881932E-2</v>
      </c>
      <c r="Q1807">
        <v>2.9409080441220085E-3</v>
      </c>
      <c r="R1807">
        <v>1.9703024379400169E-3</v>
      </c>
      <c r="S1807">
        <v>0.19611830601710914</v>
      </c>
      <c r="T1807">
        <v>1.0591069164397704</v>
      </c>
      <c r="U1807">
        <v>3.7243376618103403E-2</v>
      </c>
      <c r="V1807">
        <v>0.24913634715662522</v>
      </c>
      <c r="W1807">
        <v>0.11708346726970054</v>
      </c>
      <c r="X1807">
        <v>2.0221006898983859E-2</v>
      </c>
      <c r="Y1807">
        <v>5.3625137260486164E-3</v>
      </c>
    </row>
    <row r="1808" spans="1:25" x14ac:dyDescent="0.25">
      <c r="A1808" s="881"/>
      <c r="B1808" s="1131">
        <v>1558</v>
      </c>
      <c r="C1808" s="885">
        <v>1.0064629425090248</v>
      </c>
      <c r="D1808" s="885">
        <v>1.0107988864829156</v>
      </c>
      <c r="E1808" s="885">
        <v>1.0130243514108317</v>
      </c>
      <c r="F1808" s="885">
        <v>0.98422377446342468</v>
      </c>
      <c r="G1808" s="885">
        <v>1.0069120922915071</v>
      </c>
      <c r="H1808" s="885">
        <v>0.98136613964004815</v>
      </c>
      <c r="I1808" s="885">
        <v>0.98647068785194381</v>
      </c>
      <c r="K1808">
        <v>1.9216327283874588</v>
      </c>
      <c r="L1808">
        <v>0</v>
      </c>
      <c r="M1808">
        <v>1.8431393802725814E-3</v>
      </c>
      <c r="N1808">
        <v>0.19335411498295257</v>
      </c>
      <c r="O1808">
        <v>2.4854981092966716E-2</v>
      </c>
      <c r="P1808">
        <v>2.1189810799225432E-2</v>
      </c>
      <c r="Q1808">
        <v>2.9604641704526775E-3</v>
      </c>
      <c r="R1808">
        <v>1.8319198968532572E-3</v>
      </c>
      <c r="S1808">
        <v>0.19891726401191259</v>
      </c>
      <c r="T1808">
        <v>1.0571792519910774</v>
      </c>
      <c r="U1808">
        <v>3.7080660424397366E-2</v>
      </c>
      <c r="V1808">
        <v>0.24557760896804759</v>
      </c>
      <c r="W1808">
        <v>0.11455567157513205</v>
      </c>
      <c r="X1808">
        <v>2.0988237787709488E-2</v>
      </c>
      <c r="Y1808">
        <v>4.9858820670028673E-3</v>
      </c>
    </row>
    <row r="1809" spans="1:25" x14ac:dyDescent="0.25">
      <c r="A1809" s="881"/>
      <c r="B1809" s="1131">
        <v>1559</v>
      </c>
      <c r="C1809" s="885">
        <v>0.98888407588226568</v>
      </c>
      <c r="D1809" s="885">
        <v>0.99617629381132788</v>
      </c>
      <c r="E1809" s="885">
        <v>0.97349345429808443</v>
      </c>
      <c r="F1809" s="885">
        <v>1.0107707256693026</v>
      </c>
      <c r="G1809" s="885">
        <v>1.0053738117838809</v>
      </c>
      <c r="H1809" s="885">
        <v>0.99968221678799707</v>
      </c>
      <c r="I1809" s="885">
        <v>1.0046598702447891</v>
      </c>
      <c r="K1809">
        <v>1.9444209874869067</v>
      </c>
      <c r="L1809">
        <v>0</v>
      </c>
      <c r="M1809">
        <v>2.0916370544615996E-3</v>
      </c>
      <c r="N1809">
        <v>0.194041442319417</v>
      </c>
      <c r="O1809">
        <v>2.5479853700675622E-2</v>
      </c>
      <c r="P1809">
        <v>2.0826079401234012E-2</v>
      </c>
      <c r="Q1809">
        <v>2.9132701314561718E-3</v>
      </c>
      <c r="R1809">
        <v>2.0791507982332721E-3</v>
      </c>
      <c r="S1809">
        <v>0.20945523215411641</v>
      </c>
      <c r="T1809">
        <v>1.0608208076814389</v>
      </c>
      <c r="U1809">
        <v>3.7739823616454102E-2</v>
      </c>
      <c r="V1809">
        <v>0.24987881744086629</v>
      </c>
      <c r="W1809">
        <v>0.11813014962298966</v>
      </c>
      <c r="X1809">
        <v>1.9489234593570885E-2</v>
      </c>
      <c r="Y1809">
        <v>5.6587630809145318E-3</v>
      </c>
    </row>
    <row r="1810" spans="1:25" x14ac:dyDescent="0.25">
      <c r="A1810" s="881"/>
      <c r="B1810" s="1131">
        <v>1560</v>
      </c>
      <c r="C1810" s="885">
        <v>0.97866520580075844</v>
      </c>
      <c r="D1810" s="885">
        <v>0.99158032394717577</v>
      </c>
      <c r="E1810" s="885">
        <v>1.0292629617218183</v>
      </c>
      <c r="F1810" s="885">
        <v>1.0058173347975807</v>
      </c>
      <c r="G1810" s="885">
        <v>0.96577888280083046</v>
      </c>
      <c r="H1810" s="885">
        <v>1.0048760853263383</v>
      </c>
      <c r="I1810" s="885">
        <v>0.99711487465555004</v>
      </c>
      <c r="K1810">
        <v>1.9666197137367156</v>
      </c>
      <c r="L1810">
        <v>0</v>
      </c>
      <c r="M1810">
        <v>1.8933294018850563E-3</v>
      </c>
      <c r="N1810">
        <v>0.20892643693906165</v>
      </c>
      <c r="O1810">
        <v>2.5804954831853598E-2</v>
      </c>
      <c r="P1810">
        <v>2.1695386018793329E-2</v>
      </c>
      <c r="Q1810">
        <v>3.1194301185204559E-3</v>
      </c>
      <c r="R1810">
        <v>1.8820889955783039E-3</v>
      </c>
      <c r="S1810">
        <v>0.21103741515379751</v>
      </c>
      <c r="T1810">
        <v>1.0557010184372515</v>
      </c>
      <c r="U1810">
        <v>3.8133889280738145E-2</v>
      </c>
      <c r="V1810">
        <v>0.25195751946540734</v>
      </c>
      <c r="W1810">
        <v>0.1224338627233086</v>
      </c>
      <c r="X1810">
        <v>2.2698615358793833E-2</v>
      </c>
      <c r="Y1810">
        <v>5.1224258154934947E-3</v>
      </c>
    </row>
    <row r="1811" spans="1:25" x14ac:dyDescent="0.25">
      <c r="A1811" s="881"/>
      <c r="B1811" s="1131">
        <v>1561</v>
      </c>
      <c r="C1811" s="885">
        <v>1.0398850030614655</v>
      </c>
      <c r="D1811" s="885">
        <v>1.0159503481415588</v>
      </c>
      <c r="E1811" s="885">
        <v>0.99998978488708246</v>
      </c>
      <c r="F1811" s="885">
        <v>1.023083767815159</v>
      </c>
      <c r="G1811" s="885">
        <v>0.98494871189876232</v>
      </c>
      <c r="H1811" s="885">
        <v>1.0062014651746998</v>
      </c>
      <c r="I1811" s="885">
        <v>1.0181554164614932</v>
      </c>
      <c r="K1811">
        <v>1.9101930311652553</v>
      </c>
      <c r="L1811">
        <v>0</v>
      </c>
      <c r="M1811">
        <v>1.875287756510859E-3</v>
      </c>
      <c r="N1811">
        <v>0.18894041978527554</v>
      </c>
      <c r="O1811">
        <v>2.3995792973758544E-2</v>
      </c>
      <c r="P1811">
        <v>2.0940792564428424E-2</v>
      </c>
      <c r="Q1811">
        <v>2.8220502670161197E-3</v>
      </c>
      <c r="R1811">
        <v>1.8641504334658506E-3</v>
      </c>
      <c r="S1811">
        <v>0.20068745932708035</v>
      </c>
      <c r="T1811">
        <v>1.0583732659927294</v>
      </c>
      <c r="U1811">
        <v>3.5888882415886718E-2</v>
      </c>
      <c r="V1811">
        <v>0.24050305261274332</v>
      </c>
      <c r="W1811">
        <v>0.11293899179182341</v>
      </c>
      <c r="X1811">
        <v>2.0039857794687074E-2</v>
      </c>
      <c r="Y1811">
        <v>5.0736029628688081E-3</v>
      </c>
    </row>
    <row r="1812" spans="1:25" x14ac:dyDescent="0.25">
      <c r="A1812" s="881"/>
      <c r="B1812" s="1131">
        <v>1562</v>
      </c>
      <c r="C1812" s="885">
        <v>0.96167197089760537</v>
      </c>
      <c r="D1812" s="885">
        <v>1.0089736936761931</v>
      </c>
      <c r="E1812" s="885">
        <v>1.0384811581598778</v>
      </c>
      <c r="F1812" s="885">
        <v>0.99493589737842492</v>
      </c>
      <c r="G1812" s="885">
        <v>1.0198553860896455</v>
      </c>
      <c r="H1812" s="885">
        <v>0.9724236521604499</v>
      </c>
      <c r="I1812" s="885">
        <v>1.0322156503652808</v>
      </c>
      <c r="K1812">
        <v>1.9677730414362622</v>
      </c>
      <c r="L1812">
        <v>0</v>
      </c>
      <c r="M1812">
        <v>1.8128729026575384E-3</v>
      </c>
      <c r="N1812">
        <v>0.20581103798067871</v>
      </c>
      <c r="O1812">
        <v>2.6035880233410778E-2</v>
      </c>
      <c r="P1812">
        <v>2.1927344289623157E-2</v>
      </c>
      <c r="Q1812">
        <v>3.1799521084323124E-3</v>
      </c>
      <c r="R1812">
        <v>1.801737563715964E-3</v>
      </c>
      <c r="S1812">
        <v>0.21704929508200957</v>
      </c>
      <c r="T1812">
        <v>1.0548664591710433</v>
      </c>
      <c r="U1812">
        <v>3.8807734581348799E-2</v>
      </c>
      <c r="V1812">
        <v>0.25227765392445045</v>
      </c>
      <c r="W1812">
        <v>0.11986744271878325</v>
      </c>
      <c r="X1812">
        <v>2.3057640979617648E-2</v>
      </c>
      <c r="Y1812">
        <v>4.9037357058066017E-3</v>
      </c>
    </row>
    <row r="1813" spans="1:25" x14ac:dyDescent="0.25">
      <c r="A1813" s="881"/>
      <c r="B1813" s="1131">
        <v>1563</v>
      </c>
      <c r="C1813" s="885">
        <v>0.99614969156363409</v>
      </c>
      <c r="D1813" s="885">
        <v>0.99611001520464548</v>
      </c>
      <c r="E1813" s="885">
        <v>0.97773486888288996</v>
      </c>
      <c r="F1813" s="885">
        <v>0.99859733381279303</v>
      </c>
      <c r="G1813" s="885">
        <v>1.0148372190012878</v>
      </c>
      <c r="H1813" s="885">
        <v>1.0469774294767316</v>
      </c>
      <c r="I1813" s="885">
        <v>1.0198932230229121</v>
      </c>
      <c r="K1813">
        <v>1.9633801493801943</v>
      </c>
      <c r="L1813">
        <v>0</v>
      </c>
      <c r="M1813">
        <v>2.1554227119593501E-3</v>
      </c>
      <c r="N1813">
        <v>0.20267470225509049</v>
      </c>
      <c r="O1813">
        <v>2.5294844827410078E-2</v>
      </c>
      <c r="P1813">
        <v>2.0958457795263719E-2</v>
      </c>
      <c r="Q1813">
        <v>2.9046287661267057E-3</v>
      </c>
      <c r="R1813">
        <v>2.143136980677523E-3</v>
      </c>
      <c r="S1813">
        <v>0.2159965172717902</v>
      </c>
      <c r="T1813">
        <v>1.0604271841574815</v>
      </c>
      <c r="U1813">
        <v>3.7464560715102957E-2</v>
      </c>
      <c r="V1813">
        <v>0.2488401047930511</v>
      </c>
      <c r="W1813">
        <v>0.12302225880996506</v>
      </c>
      <c r="X1813">
        <v>1.9976263343707026E-2</v>
      </c>
      <c r="Y1813">
        <v>5.832912376488409E-3</v>
      </c>
    </row>
    <row r="1814" spans="1:25" x14ac:dyDescent="0.25">
      <c r="A1814" s="881"/>
      <c r="B1814" s="1131">
        <v>1564</v>
      </c>
      <c r="C1814" s="885">
        <v>0.97091941487892741</v>
      </c>
      <c r="D1814" s="885">
        <v>1.0019459511174085</v>
      </c>
      <c r="E1814" s="885">
        <v>0.97058570833838265</v>
      </c>
      <c r="F1814" s="885">
        <v>0.97115667793117089</v>
      </c>
      <c r="G1814" s="885">
        <v>0.96828125116944708</v>
      </c>
      <c r="H1814" s="885">
        <v>1.0033749701828634</v>
      </c>
      <c r="I1814" s="885">
        <v>0.97457532297506155</v>
      </c>
      <c r="K1814">
        <v>1.9505567459166211</v>
      </c>
      <c r="L1814">
        <v>0</v>
      </c>
      <c r="M1814">
        <v>2.1451462665781945E-3</v>
      </c>
      <c r="N1814">
        <v>0.19721353330345345</v>
      </c>
      <c r="O1814">
        <v>2.5877211827256545E-2</v>
      </c>
      <c r="P1814">
        <v>2.0782274367623903E-2</v>
      </c>
      <c r="Q1814">
        <v>2.9511208272083598E-3</v>
      </c>
      <c r="R1814">
        <v>2.1323826015263482E-3</v>
      </c>
      <c r="S1814">
        <v>0.20676930180749889</v>
      </c>
      <c r="T1814">
        <v>1.061091062879195</v>
      </c>
      <c r="U1814">
        <v>3.8438113430423762E-2</v>
      </c>
      <c r="V1814">
        <v>0.25178339607232508</v>
      </c>
      <c r="W1814">
        <v>0.12030513031244497</v>
      </c>
      <c r="X1814">
        <v>1.9554722252622475E-2</v>
      </c>
      <c r="Y1814">
        <v>5.8036425016190444E-3</v>
      </c>
    </row>
    <row r="1815" spans="1:25" x14ac:dyDescent="0.25">
      <c r="A1815" s="881"/>
      <c r="B1815" s="1131">
        <v>1565</v>
      </c>
      <c r="C1815" s="885">
        <v>1.0131490739099269</v>
      </c>
      <c r="D1815" s="885">
        <v>1.0065671647148504</v>
      </c>
      <c r="E1815" s="885">
        <v>1.0043306050111378</v>
      </c>
      <c r="F1815" s="885">
        <v>1.0327863997096118</v>
      </c>
      <c r="G1815" s="885">
        <v>0.98950757792698019</v>
      </c>
      <c r="H1815" s="885">
        <v>1.0451078179640181</v>
      </c>
      <c r="I1815" s="885">
        <v>1.0223999456329158</v>
      </c>
      <c r="K1815">
        <v>1.9514171778483755</v>
      </c>
      <c r="L1815">
        <v>0</v>
      </c>
      <c r="M1815">
        <v>1.9900983919477677E-3</v>
      </c>
      <c r="N1815">
        <v>0.20327959940056911</v>
      </c>
      <c r="O1815">
        <v>2.4742220391191835E-2</v>
      </c>
      <c r="P1815">
        <v>2.123059700317876E-2</v>
      </c>
      <c r="Q1815">
        <v>2.920663127273617E-3</v>
      </c>
      <c r="R1815">
        <v>1.9787264815530731E-3</v>
      </c>
      <c r="S1815">
        <v>0.21168422978872803</v>
      </c>
      <c r="T1815">
        <v>1.0579748951238317</v>
      </c>
      <c r="U1815">
        <v>3.6835951946233382E-2</v>
      </c>
      <c r="V1815">
        <v>0.24517039735962651</v>
      </c>
      <c r="W1815">
        <v>0.1211503972667137</v>
      </c>
      <c r="X1815">
        <v>2.1054157155642426E-2</v>
      </c>
      <c r="Y1815">
        <v>5.3854411957781258E-3</v>
      </c>
    </row>
    <row r="1816" spans="1:25" x14ac:dyDescent="0.25">
      <c r="A1816" s="881"/>
      <c r="B1816" s="1131">
        <v>1566</v>
      </c>
      <c r="C1816" s="885">
        <v>1.0002958861999223</v>
      </c>
      <c r="D1816" s="885">
        <v>1.0222954756625111</v>
      </c>
      <c r="E1816" s="885">
        <v>0.99669856659301603</v>
      </c>
      <c r="F1816" s="885">
        <v>1.0425695975646121</v>
      </c>
      <c r="G1816" s="885">
        <v>1.0313610948568201</v>
      </c>
      <c r="H1816" s="885">
        <v>0.99626468833184822</v>
      </c>
      <c r="I1816" s="885">
        <v>1.0083830824462714</v>
      </c>
      <c r="K1816">
        <v>1.9294251997450471</v>
      </c>
      <c r="L1816">
        <v>0</v>
      </c>
      <c r="M1816">
        <v>1.9377157841903561E-3</v>
      </c>
      <c r="N1816">
        <v>0.19322912891206856</v>
      </c>
      <c r="O1816">
        <v>2.4868924144967337E-2</v>
      </c>
      <c r="P1816">
        <v>2.1033981166015375E-2</v>
      </c>
      <c r="Q1816">
        <v>2.9163220956138088E-3</v>
      </c>
      <c r="R1816">
        <v>1.9260879455403552E-3</v>
      </c>
      <c r="S1816">
        <v>0.20503670150968595</v>
      </c>
      <c r="T1816">
        <v>1.0586758008422306</v>
      </c>
      <c r="U1816">
        <v>3.7309271302409318E-2</v>
      </c>
      <c r="V1816">
        <v>0.24505494105721431</v>
      </c>
      <c r="W1816">
        <v>0.11576326943649684</v>
      </c>
      <c r="X1816">
        <v>2.0306310663955683E-2</v>
      </c>
      <c r="Y1816">
        <v>5.2421764530402419E-3</v>
      </c>
    </row>
    <row r="1817" spans="1:25" x14ac:dyDescent="0.25">
      <c r="A1817" s="881"/>
      <c r="B1817" s="1131">
        <v>1567</v>
      </c>
      <c r="C1817" s="885">
        <v>1.0008830484261217</v>
      </c>
      <c r="D1817" s="885">
        <v>1.0181877951018599</v>
      </c>
      <c r="E1817" s="885">
        <v>1.0215591653866536</v>
      </c>
      <c r="F1817" s="885">
        <v>0.99860833265510507</v>
      </c>
      <c r="G1817" s="885">
        <v>0.9774452853430432</v>
      </c>
      <c r="H1817" s="885">
        <v>1.0236544999923423</v>
      </c>
      <c r="I1817" s="885">
        <v>0.98667727565966046</v>
      </c>
      <c r="K1817">
        <v>1.9429147496415458</v>
      </c>
      <c r="L1817">
        <v>0</v>
      </c>
      <c r="M1817">
        <v>1.8919389272622563E-3</v>
      </c>
      <c r="N1817">
        <v>0.20385806825206648</v>
      </c>
      <c r="O1817">
        <v>2.4903780193431129E-2</v>
      </c>
      <c r="P1817">
        <v>2.1378309054141235E-2</v>
      </c>
      <c r="Q1817">
        <v>2.9930996873912667E-3</v>
      </c>
      <c r="R1817">
        <v>1.880892616169945E-3</v>
      </c>
      <c r="S1817">
        <v>0.20358359148751481</v>
      </c>
      <c r="T1817">
        <v>1.0564010251094216</v>
      </c>
      <c r="U1817">
        <v>3.7287384035130447E-2</v>
      </c>
      <c r="V1817">
        <v>0.24546153244439037</v>
      </c>
      <c r="W1817">
        <v>0.1200840200421721</v>
      </c>
      <c r="X1817">
        <v>2.1855815981848763E-2</v>
      </c>
      <c r="Y1817">
        <v>5.1191696651303074E-3</v>
      </c>
    </row>
    <row r="1818" spans="1:25" x14ac:dyDescent="0.25">
      <c r="A1818" s="881"/>
      <c r="B1818" s="1131">
        <v>1568</v>
      </c>
      <c r="C1818" s="885">
        <v>0.97642583044548603</v>
      </c>
      <c r="D1818" s="885">
        <v>1.01717621361525</v>
      </c>
      <c r="E1818" s="885">
        <v>1.0004658374141049</v>
      </c>
      <c r="F1818" s="885">
        <v>0.98254501155942298</v>
      </c>
      <c r="G1818" s="885">
        <v>1.0024498814941758</v>
      </c>
      <c r="H1818" s="885">
        <v>1.0010860742017802</v>
      </c>
      <c r="I1818" s="885">
        <v>0.98303463769455213</v>
      </c>
      <c r="K1818">
        <v>1.9471116079329154</v>
      </c>
      <c r="L1818">
        <v>0</v>
      </c>
      <c r="M1818">
        <v>1.9838398433162513E-3</v>
      </c>
      <c r="N1818">
        <v>0.2001673746521532</v>
      </c>
      <c r="O1818">
        <v>2.5540095429353812E-2</v>
      </c>
      <c r="P1818">
        <v>2.1165215842508318E-2</v>
      </c>
      <c r="Q1818">
        <v>3.0053578530720377E-3</v>
      </c>
      <c r="R1818">
        <v>1.9719966433767943E-3</v>
      </c>
      <c r="S1818">
        <v>0.20572709779444678</v>
      </c>
      <c r="T1818">
        <v>1.0583295412917675</v>
      </c>
      <c r="U1818">
        <v>3.8221347118490123E-2</v>
      </c>
      <c r="V1818">
        <v>0.24906781327141822</v>
      </c>
      <c r="W1818">
        <v>0.11961093392782224</v>
      </c>
      <c r="X1818">
        <v>2.0921549157068009E-2</v>
      </c>
      <c r="Y1818">
        <v>5.3671247947528547E-3</v>
      </c>
    </row>
    <row r="1819" spans="1:25" x14ac:dyDescent="0.25">
      <c r="A1819" s="881"/>
      <c r="B1819" s="1131">
        <v>1569</v>
      </c>
      <c r="C1819" s="885">
        <v>0.95637313615898623</v>
      </c>
      <c r="D1819" s="885">
        <v>1.0140350050043194</v>
      </c>
      <c r="E1819" s="885">
        <v>1.0271570410678146</v>
      </c>
      <c r="F1819" s="885">
        <v>1.0114937016600898</v>
      </c>
      <c r="G1819" s="885">
        <v>1.0039463238120654</v>
      </c>
      <c r="H1819" s="885">
        <v>1.0114518569566842</v>
      </c>
      <c r="I1819" s="885">
        <v>1.0018123801908752</v>
      </c>
      <c r="K1819">
        <v>1.9789351329748959</v>
      </c>
      <c r="L1819">
        <v>0</v>
      </c>
      <c r="M1819">
        <v>1.9372783519538313E-3</v>
      </c>
      <c r="N1819">
        <v>0.21238930949825438</v>
      </c>
      <c r="O1819">
        <v>2.6115472249763596E-2</v>
      </c>
      <c r="P1819">
        <v>2.1745339525448402E-2</v>
      </c>
      <c r="Q1819">
        <v>3.1553099651690664E-3</v>
      </c>
      <c r="R1819">
        <v>1.9258340782795814E-3</v>
      </c>
      <c r="S1819">
        <v>0.21544760586845577</v>
      </c>
      <c r="T1819">
        <v>1.0558921426018766</v>
      </c>
      <c r="U1819">
        <v>3.9022750838447681E-2</v>
      </c>
      <c r="V1819">
        <v>0.25244155899034498</v>
      </c>
      <c r="W1819">
        <v>0.1246391411759102</v>
      </c>
      <c r="X1819">
        <v>2.2856461024853624E-2</v>
      </c>
      <c r="Y1819">
        <v>5.2414855100437353E-3</v>
      </c>
    </row>
    <row r="1820" spans="1:25" x14ac:dyDescent="0.25">
      <c r="A1820" s="881"/>
      <c r="B1820" s="1131">
        <v>1570</v>
      </c>
      <c r="C1820" s="885">
        <v>0.98069444198775613</v>
      </c>
      <c r="D1820" s="885">
        <v>0.98599440844594821</v>
      </c>
      <c r="E1820" s="885">
        <v>1.0086722354548907</v>
      </c>
      <c r="F1820" s="885">
        <v>0.99505537641278863</v>
      </c>
      <c r="G1820" s="885">
        <v>0.98917735778948612</v>
      </c>
      <c r="H1820" s="885">
        <v>0.97602383369592782</v>
      </c>
      <c r="I1820" s="885">
        <v>0.96193157036527144</v>
      </c>
      <c r="K1820">
        <v>1.9425758522877643</v>
      </c>
      <c r="L1820">
        <v>0</v>
      </c>
      <c r="M1820">
        <v>1.9221024335856021E-3</v>
      </c>
      <c r="N1820">
        <v>0.19892356101477493</v>
      </c>
      <c r="O1820">
        <v>2.5823783421704705E-2</v>
      </c>
      <c r="P1820">
        <v>2.1260183461390483E-2</v>
      </c>
      <c r="Q1820">
        <v>3.0572077415652594E-3</v>
      </c>
      <c r="R1820">
        <v>1.910358499855221E-3</v>
      </c>
      <c r="S1820">
        <v>0.20081419201719811</v>
      </c>
      <c r="T1820">
        <v>1.0575771847290352</v>
      </c>
      <c r="U1820">
        <v>3.8054983288446989E-2</v>
      </c>
      <c r="V1820">
        <v>0.2523859544891448</v>
      </c>
      <c r="W1820">
        <v>0.11820420904931549</v>
      </c>
      <c r="X1820">
        <v>2.1286970921822697E-2</v>
      </c>
      <c r="Y1820">
        <v>5.1993660870956826E-3</v>
      </c>
    </row>
    <row r="1821" spans="1:25" x14ac:dyDescent="0.25">
      <c r="A1821" s="881"/>
      <c r="B1821" s="1131">
        <v>1571</v>
      </c>
      <c r="C1821" s="885">
        <v>0.99733302479098362</v>
      </c>
      <c r="D1821" s="885">
        <v>1.0030856049572083</v>
      </c>
      <c r="E1821" s="885">
        <v>1.0360870095976538</v>
      </c>
      <c r="F1821" s="885">
        <v>0.99040298006018479</v>
      </c>
      <c r="G1821" s="885">
        <v>1.0312891904848966</v>
      </c>
      <c r="H1821" s="885">
        <v>1.0025197085780648</v>
      </c>
      <c r="I1821" s="885">
        <v>1.0304070251794342</v>
      </c>
      <c r="K1821">
        <v>1.9546659431903244</v>
      </c>
      <c r="L1821">
        <v>0</v>
      </c>
      <c r="M1821">
        <v>1.8165594629703057E-3</v>
      </c>
      <c r="N1821">
        <v>0.20474185313558013</v>
      </c>
      <c r="O1821">
        <v>2.5177706811871162E-2</v>
      </c>
      <c r="P1821">
        <v>2.1748346814137016E-2</v>
      </c>
      <c r="Q1821">
        <v>3.0666474164139693E-3</v>
      </c>
      <c r="R1821">
        <v>1.8057408240880334E-3</v>
      </c>
      <c r="S1821">
        <v>0.21262460678165274</v>
      </c>
      <c r="T1821">
        <v>1.055082890741537</v>
      </c>
      <c r="U1821">
        <v>3.7420109104216559E-2</v>
      </c>
      <c r="V1821">
        <v>0.24780323493471709</v>
      </c>
      <c r="W1821">
        <v>0.11943523504990476</v>
      </c>
      <c r="X1821">
        <v>2.2661499778308929E-2</v>
      </c>
      <c r="Y1821">
        <v>4.914631260864946E-3</v>
      </c>
    </row>
    <row r="1822" spans="1:25" x14ac:dyDescent="0.25">
      <c r="A1822" s="881"/>
      <c r="B1822" s="1131">
        <v>1572</v>
      </c>
      <c r="C1822" s="885">
        <v>0.98157545001734015</v>
      </c>
      <c r="D1822" s="885">
        <v>0.99075823966363485</v>
      </c>
      <c r="E1822" s="885">
        <v>1.0065476426909683</v>
      </c>
      <c r="F1822" s="885">
        <v>0.97097926554177605</v>
      </c>
      <c r="G1822" s="885">
        <v>0.99809126754311417</v>
      </c>
      <c r="H1822" s="885">
        <v>0.99828735918097133</v>
      </c>
      <c r="I1822" s="885">
        <v>0.97563472640838644</v>
      </c>
      <c r="K1822">
        <v>1.952257115447366</v>
      </c>
      <c r="L1822">
        <v>0</v>
      </c>
      <c r="M1822">
        <v>1.9682949666541137E-3</v>
      </c>
      <c r="N1822">
        <v>0.20239022730497272</v>
      </c>
      <c r="O1822">
        <v>2.5739024444923403E-2</v>
      </c>
      <c r="P1822">
        <v>2.1280020165829833E-2</v>
      </c>
      <c r="Q1822">
        <v>3.041727125398836E-3</v>
      </c>
      <c r="R1822">
        <v>1.9565330555263269E-3</v>
      </c>
      <c r="S1822">
        <v>0.20529169273545284</v>
      </c>
      <c r="T1822">
        <v>1.0577717139077831</v>
      </c>
      <c r="U1822">
        <v>3.8020827232646826E-2</v>
      </c>
      <c r="V1822">
        <v>0.25163391110988864</v>
      </c>
      <c r="W1822">
        <v>0.12043820118651954</v>
      </c>
      <c r="X1822">
        <v>2.1336494138884412E-2</v>
      </c>
      <c r="Y1822">
        <v>5.3250380061942472E-3</v>
      </c>
    </row>
    <row r="1823" spans="1:25" x14ac:dyDescent="0.25">
      <c r="A1823" s="881"/>
      <c r="B1823" s="1131">
        <v>1573</v>
      </c>
      <c r="C1823" s="885">
        <v>1.0010563805788293</v>
      </c>
      <c r="D1823" s="885">
        <v>1.0276444612937496</v>
      </c>
      <c r="E1823" s="885">
        <v>0.98405990224978901</v>
      </c>
      <c r="F1823" s="885">
        <v>0.98630624443807879</v>
      </c>
      <c r="G1823" s="885">
        <v>0.9958768958100146</v>
      </c>
      <c r="H1823" s="885">
        <v>0.99894278791795565</v>
      </c>
      <c r="I1823" s="885">
        <v>1.0090030422014573</v>
      </c>
      <c r="K1823">
        <v>1.9255998375769521</v>
      </c>
      <c r="L1823">
        <v>0</v>
      </c>
      <c r="M1823">
        <v>1.9886149274789522E-3</v>
      </c>
      <c r="N1823">
        <v>0.19065602911909396</v>
      </c>
      <c r="O1823">
        <v>2.4786139019307356E-2</v>
      </c>
      <c r="P1823">
        <v>2.0836817472832291E-2</v>
      </c>
      <c r="Q1823">
        <v>2.8707595552214362E-3</v>
      </c>
      <c r="R1823">
        <v>1.9767093876672595E-3</v>
      </c>
      <c r="S1823">
        <v>0.20478770045384284</v>
      </c>
      <c r="T1823">
        <v>1.0598414863287999</v>
      </c>
      <c r="U1823">
        <v>3.7280927752878022E-2</v>
      </c>
      <c r="V1823">
        <v>0.24431632401395556</v>
      </c>
      <c r="W1823">
        <v>0.11522051948130142</v>
      </c>
      <c r="X1823">
        <v>1.9635088588373647E-2</v>
      </c>
      <c r="Y1823">
        <v>5.3799513311557634E-3</v>
      </c>
    </row>
    <row r="1824" spans="1:25" x14ac:dyDescent="0.25">
      <c r="A1824" s="881"/>
      <c r="B1824" s="1131">
        <v>1574</v>
      </c>
      <c r="C1824" s="885">
        <v>0.99724037283259748</v>
      </c>
      <c r="D1824" s="885">
        <v>1.0043316758435501</v>
      </c>
      <c r="E1824" s="885">
        <v>0.97490650932733391</v>
      </c>
      <c r="F1824" s="885">
        <v>1.0448791269624254</v>
      </c>
      <c r="G1824" s="885">
        <v>1.0329016961534203</v>
      </c>
      <c r="H1824" s="885">
        <v>0.99761029407305313</v>
      </c>
      <c r="I1824" s="885">
        <v>0.97295277089525689</v>
      </c>
      <c r="K1824">
        <v>1.9275841505860491</v>
      </c>
      <c r="L1824">
        <v>0</v>
      </c>
      <c r="M1824">
        <v>2.0553816510477463E-3</v>
      </c>
      <c r="N1824">
        <v>0.19151669440431388</v>
      </c>
      <c r="O1824">
        <v>2.5164585152139096E-2</v>
      </c>
      <c r="P1824">
        <v>2.0688789808188314E-2</v>
      </c>
      <c r="Q1824">
        <v>2.8830102135335069E-3</v>
      </c>
      <c r="R1824">
        <v>2.0430793945164887E-3</v>
      </c>
      <c r="S1824">
        <v>0.20018952257572256</v>
      </c>
      <c r="T1824">
        <v>1.0606895920180364</v>
      </c>
      <c r="U1824">
        <v>3.7423585744839977E-2</v>
      </c>
      <c r="V1824">
        <v>0.24766089813576769</v>
      </c>
      <c r="W1824">
        <v>0.11647838223894516</v>
      </c>
      <c r="X1824">
        <v>1.9340803940160353E-2</v>
      </c>
      <c r="Y1824">
        <v>5.5605886109324877E-3</v>
      </c>
    </row>
    <row r="1825" spans="1:25" x14ac:dyDescent="0.25">
      <c r="A1825" s="881"/>
      <c r="B1825" s="1131">
        <v>1575</v>
      </c>
      <c r="C1825" s="885">
        <v>1.0326380109539979</v>
      </c>
      <c r="D1825" s="885">
        <v>1.0034426622582346</v>
      </c>
      <c r="E1825" s="885">
        <v>0.9714358338820307</v>
      </c>
      <c r="F1825" s="885">
        <v>1.0056353331727963</v>
      </c>
      <c r="G1825" s="885">
        <v>1.0455343761907907</v>
      </c>
      <c r="H1825" s="885">
        <v>1.004150639201753</v>
      </c>
      <c r="I1825" s="885">
        <v>1.0004851598246134</v>
      </c>
      <c r="K1825">
        <v>1.9101893806277965</v>
      </c>
      <c r="L1825">
        <v>0</v>
      </c>
      <c r="M1825">
        <v>2.013414212611417E-3</v>
      </c>
      <c r="N1825">
        <v>0.1855947909893057</v>
      </c>
      <c r="O1825">
        <v>2.4312621649106005E-2</v>
      </c>
      <c r="P1825">
        <v>2.0548986071394899E-2</v>
      </c>
      <c r="Q1825">
        <v>2.7753872106492114E-3</v>
      </c>
      <c r="R1825">
        <v>2.0014423732382801E-3</v>
      </c>
      <c r="S1825">
        <v>0.19951895164741981</v>
      </c>
      <c r="T1825">
        <v>1.0610120156458354</v>
      </c>
      <c r="U1825">
        <v>3.6140748456895036E-2</v>
      </c>
      <c r="V1825">
        <v>0.24293048621052934</v>
      </c>
      <c r="W1825">
        <v>0.11315022061445139</v>
      </c>
      <c r="X1825">
        <v>1.8769877606930694E-2</v>
      </c>
      <c r="Y1825">
        <v>5.44726636465358E-3</v>
      </c>
    </row>
    <row r="1826" spans="1:25" x14ac:dyDescent="0.25">
      <c r="A1826" s="881"/>
      <c r="B1826" s="1131">
        <v>1576</v>
      </c>
      <c r="C1826" s="885">
        <v>0.99708825002042067</v>
      </c>
      <c r="D1826" s="885">
        <v>0.9712419803797373</v>
      </c>
      <c r="E1826" s="885">
        <v>1.0076271381892956</v>
      </c>
      <c r="F1826" s="885">
        <v>1.0176959642739214</v>
      </c>
      <c r="G1826" s="885">
        <v>1.0003186245198226</v>
      </c>
      <c r="H1826" s="885">
        <v>1.0078292856366877</v>
      </c>
      <c r="I1826" s="885">
        <v>1.0481355081841077</v>
      </c>
      <c r="K1826">
        <v>1.9683555319232189</v>
      </c>
      <c r="L1826">
        <v>0</v>
      </c>
      <c r="M1826">
        <v>1.9710966762632918E-3</v>
      </c>
      <c r="N1826">
        <v>0.20337303743425594</v>
      </c>
      <c r="O1826">
        <v>2.559000811076621E-2</v>
      </c>
      <c r="P1826">
        <v>2.1495237628146154E-2</v>
      </c>
      <c r="Q1826">
        <v>3.0231561290191434E-3</v>
      </c>
      <c r="R1826">
        <v>1.9594457504479913E-3</v>
      </c>
      <c r="S1826">
        <v>0.22014334371813718</v>
      </c>
      <c r="T1826">
        <v>1.0576728525493049</v>
      </c>
      <c r="U1826">
        <v>3.7429295350890526E-2</v>
      </c>
      <c r="V1826">
        <v>0.25191119025428305</v>
      </c>
      <c r="W1826">
        <v>0.12093413265705312</v>
      </c>
      <c r="X1826">
        <v>2.1461963615575227E-2</v>
      </c>
      <c r="Y1826">
        <v>5.332965401601393E-3</v>
      </c>
    </row>
    <row r="1827" spans="1:25" x14ac:dyDescent="0.25">
      <c r="A1827" s="881"/>
      <c r="B1827" s="1131">
        <v>1577</v>
      </c>
      <c r="C1827" s="885">
        <v>0.98029622753611223</v>
      </c>
      <c r="D1827" s="885">
        <v>1.0146846954873237</v>
      </c>
      <c r="E1827" s="885">
        <v>1.0089882834039894</v>
      </c>
      <c r="F1827" s="885">
        <v>0.96672368190226898</v>
      </c>
      <c r="G1827" s="885">
        <v>0.99840636662059379</v>
      </c>
      <c r="H1827" s="885">
        <v>1.0365579877108715</v>
      </c>
      <c r="I1827" s="885">
        <v>0.95667428110946162</v>
      </c>
      <c r="K1827">
        <v>1.9567269528222675</v>
      </c>
      <c r="L1827">
        <v>0</v>
      </c>
      <c r="M1827">
        <v>2.0120375229917514E-3</v>
      </c>
      <c r="N1827">
        <v>0.20850832820769075</v>
      </c>
      <c r="O1827">
        <v>2.5470091404108622E-2</v>
      </c>
      <c r="P1827">
        <v>2.1247518916732273E-2</v>
      </c>
      <c r="Q1827">
        <v>3.0223249556395508E-3</v>
      </c>
      <c r="R1827">
        <v>2.0004389902436004E-3</v>
      </c>
      <c r="S1827">
        <v>0.20312222972035798</v>
      </c>
      <c r="T1827">
        <v>1.0575482622081771</v>
      </c>
      <c r="U1827">
        <v>3.8070441926231019E-2</v>
      </c>
      <c r="V1827">
        <v>0.24880744258302193</v>
      </c>
      <c r="W1827">
        <v>0.12387303590087492</v>
      </c>
      <c r="X1827">
        <v>2.162434004527105E-2</v>
      </c>
      <c r="Y1827">
        <v>5.4445354869071764E-3</v>
      </c>
    </row>
    <row r="1828" spans="1:25" x14ac:dyDescent="0.25">
      <c r="A1828" s="881"/>
      <c r="B1828" s="1131">
        <v>1578</v>
      </c>
      <c r="C1828" s="885">
        <v>0.99865706762337447</v>
      </c>
      <c r="D1828" s="885">
        <v>1.0133621615546349</v>
      </c>
      <c r="E1828" s="885">
        <v>1.008128450731079</v>
      </c>
      <c r="F1828" s="885">
        <v>0.98914503260610298</v>
      </c>
      <c r="G1828" s="885">
        <v>1.0084055622195602</v>
      </c>
      <c r="H1828" s="885">
        <v>0.96543908322043182</v>
      </c>
      <c r="I1828" s="885">
        <v>1.0046426655447309</v>
      </c>
      <c r="K1828">
        <v>1.9222798407931823</v>
      </c>
      <c r="L1828">
        <v>0</v>
      </c>
      <c r="M1828">
        <v>1.8440612318141667E-3</v>
      </c>
      <c r="N1828">
        <v>0.19050938005669033</v>
      </c>
      <c r="O1828">
        <v>2.5017925360851952E-2</v>
      </c>
      <c r="P1828">
        <v>2.1180733413684327E-2</v>
      </c>
      <c r="Q1828">
        <v>2.9658495619959689E-3</v>
      </c>
      <c r="R1828">
        <v>1.8326489619939516E-3</v>
      </c>
      <c r="S1828">
        <v>0.20231748569243382</v>
      </c>
      <c r="T1828">
        <v>1.057626957265202</v>
      </c>
      <c r="U1828">
        <v>3.7370496650799882E-2</v>
      </c>
      <c r="V1828">
        <v>0.24635454870138726</v>
      </c>
      <c r="W1828">
        <v>0.11324622349671148</v>
      </c>
      <c r="X1828">
        <v>2.071378652126328E-2</v>
      </c>
      <c r="Y1828">
        <v>4.9878663419795797E-3</v>
      </c>
    </row>
    <row r="1829" spans="1:25" x14ac:dyDescent="0.25">
      <c r="A1829" s="881"/>
      <c r="B1829" s="1131">
        <v>1579</v>
      </c>
      <c r="C1829" s="885">
        <v>1.0226916162815669</v>
      </c>
      <c r="D1829" s="885">
        <v>1.0191913241238781</v>
      </c>
      <c r="E1829" s="885">
        <v>1.0118716995316952</v>
      </c>
      <c r="F1829" s="885">
        <v>0.98002181662083521</v>
      </c>
      <c r="G1829" s="885">
        <v>1.0001499103525222</v>
      </c>
      <c r="H1829" s="885">
        <v>1.0130962869641982</v>
      </c>
      <c r="I1829" s="885">
        <v>1.00527709086942</v>
      </c>
      <c r="K1829">
        <v>1.9237444188820001</v>
      </c>
      <c r="L1829">
        <v>0</v>
      </c>
      <c r="M1829">
        <v>1.8694540089439998E-3</v>
      </c>
      <c r="N1829">
        <v>0.19545010103736118</v>
      </c>
      <c r="O1829">
        <v>2.4360863615518046E-2</v>
      </c>
      <c r="P1829">
        <v>2.1161662087459242E-2</v>
      </c>
      <c r="Q1829">
        <v>2.8999333392621517E-3</v>
      </c>
      <c r="R1829">
        <v>1.8584244784908101E-3</v>
      </c>
      <c r="S1829">
        <v>0.20186605217541448</v>
      </c>
      <c r="T1829">
        <v>1.0572845719435571</v>
      </c>
      <c r="U1829">
        <v>3.6492242633816459E-2</v>
      </c>
      <c r="V1829">
        <v>0.24237622329131253</v>
      </c>
      <c r="W1829">
        <v>0.11588804620657638</v>
      </c>
      <c r="X1829">
        <v>2.091773328118916E-2</v>
      </c>
      <c r="Y1829">
        <v>5.0580188009872965E-3</v>
      </c>
    </row>
    <row r="1830" spans="1:25" x14ac:dyDescent="0.25">
      <c r="A1830" s="881"/>
      <c r="B1830" s="1131">
        <v>1580</v>
      </c>
      <c r="C1830" s="885">
        <v>1.0437021953309733</v>
      </c>
      <c r="D1830" s="885">
        <v>0.98740277455624503</v>
      </c>
      <c r="E1830" s="885">
        <v>1.00030782341229</v>
      </c>
      <c r="F1830" s="885">
        <v>0.9916178982121836</v>
      </c>
      <c r="G1830" s="885">
        <v>0.99037444521027829</v>
      </c>
      <c r="H1830" s="885">
        <v>1.0026967479283841</v>
      </c>
      <c r="I1830" s="885">
        <v>0.98093756409879307</v>
      </c>
      <c r="K1830">
        <v>1.9096492443466793</v>
      </c>
      <c r="L1830">
        <v>0</v>
      </c>
      <c r="M1830">
        <v>1.887083075769101E-3</v>
      </c>
      <c r="N1830">
        <v>0.19031532083367622</v>
      </c>
      <c r="O1830">
        <v>2.4247645707255315E-2</v>
      </c>
      <c r="P1830">
        <v>2.0903530162029796E-2</v>
      </c>
      <c r="Q1830">
        <v>2.8469231619254009E-3</v>
      </c>
      <c r="R1830">
        <v>1.8758587023140927E-3</v>
      </c>
      <c r="S1830">
        <v>0.19484609160045444</v>
      </c>
      <c r="T1830">
        <v>1.0583440536587587</v>
      </c>
      <c r="U1830">
        <v>3.5757623935132224E-2</v>
      </c>
      <c r="V1830">
        <v>0.24341114429431049</v>
      </c>
      <c r="W1830">
        <v>0.11373608704686708</v>
      </c>
      <c r="X1830">
        <v>2.014657930868146E-2</v>
      </c>
      <c r="Y1830">
        <v>5.1054690110439345E-3</v>
      </c>
    </row>
    <row r="1831" spans="1:25" x14ac:dyDescent="0.25">
      <c r="A1831" s="881"/>
      <c r="B1831" s="1131">
        <v>1581</v>
      </c>
      <c r="C1831" s="885">
        <v>1.0103827792399471</v>
      </c>
      <c r="D1831" s="885">
        <v>0.96847094714930659</v>
      </c>
      <c r="E1831" s="885">
        <v>1.0091768687093554</v>
      </c>
      <c r="F1831" s="885">
        <v>0.99052307716990395</v>
      </c>
      <c r="G1831" s="885">
        <v>0.99899698969666373</v>
      </c>
      <c r="H1831" s="885">
        <v>1.0096705959461305</v>
      </c>
      <c r="I1831" s="885">
        <v>1.0328785297915304</v>
      </c>
      <c r="K1831">
        <v>1.9571530426323298</v>
      </c>
      <c r="L1831">
        <v>0</v>
      </c>
      <c r="M1831">
        <v>1.9451155779634419E-3</v>
      </c>
      <c r="N1831">
        <v>0.20166414336107702</v>
      </c>
      <c r="O1831">
        <v>2.5289189181759101E-2</v>
      </c>
      <c r="P1831">
        <v>2.1413244468175954E-2</v>
      </c>
      <c r="Q1831">
        <v>2.9916499849063677E-3</v>
      </c>
      <c r="R1831">
        <v>1.9336414934814413E-3</v>
      </c>
      <c r="S1831">
        <v>0.21456028124241255</v>
      </c>
      <c r="T1831">
        <v>1.0575310060430336</v>
      </c>
      <c r="U1831">
        <v>3.6936803919986459E-2</v>
      </c>
      <c r="V1831">
        <v>0.25036492384025127</v>
      </c>
      <c r="W1831">
        <v>0.11979160248662786</v>
      </c>
      <c r="X1831">
        <v>2.1358937468071104E-2</v>
      </c>
      <c r="Y1831">
        <v>5.2627347205094679E-3</v>
      </c>
    </row>
    <row r="1832" spans="1:25" x14ac:dyDescent="0.25">
      <c r="A1832" s="881"/>
      <c r="B1832" s="1131">
        <v>1582</v>
      </c>
      <c r="C1832" s="885">
        <v>0.99830163771445002</v>
      </c>
      <c r="D1832" s="885">
        <v>0.98493771819507703</v>
      </c>
      <c r="E1832" s="885">
        <v>0.99954016189046646</v>
      </c>
      <c r="F1832" s="885">
        <v>1.0084149951652757</v>
      </c>
      <c r="G1832" s="885">
        <v>1.003867945945059</v>
      </c>
      <c r="H1832" s="885">
        <v>0.95801420005002458</v>
      </c>
      <c r="I1832" s="885">
        <v>1.0120101661505509</v>
      </c>
      <c r="K1832">
        <v>1.9304132018285629</v>
      </c>
      <c r="L1832">
        <v>0</v>
      </c>
      <c r="M1832">
        <v>1.8903760069722093E-3</v>
      </c>
      <c r="N1832">
        <v>0.19013976811209923</v>
      </c>
      <c r="O1832">
        <v>2.5381821044417004E-2</v>
      </c>
      <c r="P1832">
        <v>2.115310654375693E-2</v>
      </c>
      <c r="Q1832">
        <v>2.9772662467660196E-3</v>
      </c>
      <c r="R1832">
        <v>1.8786096706213797E-3</v>
      </c>
      <c r="S1832">
        <v>0.20578327714017311</v>
      </c>
      <c r="T1832">
        <v>1.0584145712880824</v>
      </c>
      <c r="U1832">
        <v>3.7383801840052529E-2</v>
      </c>
      <c r="V1832">
        <v>0.24994794098135423</v>
      </c>
      <c r="W1832">
        <v>0.11369087875028609</v>
      </c>
      <c r="X1832">
        <v>2.0439579978004833E-2</v>
      </c>
      <c r="Y1832">
        <v>5.1129562399199113E-3</v>
      </c>
    </row>
    <row r="1833" spans="1:25" x14ac:dyDescent="0.25">
      <c r="A1833" s="881"/>
      <c r="B1833" s="1131">
        <v>1583</v>
      </c>
      <c r="C1833" s="885">
        <v>1.0057338380404599</v>
      </c>
      <c r="D1833" s="885">
        <v>1.0235251281351239</v>
      </c>
      <c r="E1833" s="885">
        <v>1.0181866250297029</v>
      </c>
      <c r="F1833" s="885">
        <v>1.0030398662103241</v>
      </c>
      <c r="G1833" s="885">
        <v>1.0471333095034963</v>
      </c>
      <c r="H1833" s="885">
        <v>1.0135535837769469</v>
      </c>
      <c r="I1833" s="885">
        <v>1.030322359475988</v>
      </c>
      <c r="K1833">
        <v>1.9411960717098038</v>
      </c>
      <c r="L1833">
        <v>0</v>
      </c>
      <c r="M1833">
        <v>1.8727282598499794E-3</v>
      </c>
      <c r="N1833">
        <v>0.19967290685838698</v>
      </c>
      <c r="O1833">
        <v>2.4719791547954721E-2</v>
      </c>
      <c r="P1833">
        <v>2.1398288988725884E-2</v>
      </c>
      <c r="Q1833">
        <v>2.9621112538592326E-3</v>
      </c>
      <c r="R1833">
        <v>1.8616811791844563E-3</v>
      </c>
      <c r="S1833">
        <v>0.21002230267208488</v>
      </c>
      <c r="T1833">
        <v>1.056708202060795</v>
      </c>
      <c r="U1833">
        <v>3.7107541965208775E-2</v>
      </c>
      <c r="V1833">
        <v>0.24415691692803529</v>
      </c>
      <c r="W1833">
        <v>0.1178867169053715</v>
      </c>
      <c r="X1833">
        <v>2.1505457143343693E-2</v>
      </c>
      <c r="Y1833">
        <v>5.0668824667043063E-3</v>
      </c>
    </row>
    <row r="1834" spans="1:25" x14ac:dyDescent="0.25">
      <c r="A1834" s="881"/>
      <c r="B1834" s="1131">
        <v>1584</v>
      </c>
      <c r="C1834" s="885">
        <v>1.0160408573381747</v>
      </c>
      <c r="D1834" s="885">
        <v>1.0103869356170905</v>
      </c>
      <c r="E1834" s="885">
        <v>1.0032566641002585</v>
      </c>
      <c r="F1834" s="885">
        <v>1.0025818669059221</v>
      </c>
      <c r="G1834" s="885">
        <v>0.97315002700948605</v>
      </c>
      <c r="H1834" s="885">
        <v>0.9754455591608977</v>
      </c>
      <c r="I1834" s="885">
        <v>1.0017415794714448</v>
      </c>
      <c r="K1834">
        <v>1.9135592944352802</v>
      </c>
      <c r="L1834">
        <v>0</v>
      </c>
      <c r="M1834">
        <v>1.8528866461014646E-3</v>
      </c>
      <c r="N1834">
        <v>0.18855518465467666</v>
      </c>
      <c r="O1834">
        <v>2.4625641692317846E-2</v>
      </c>
      <c r="P1834">
        <v>2.1035794067367875E-2</v>
      </c>
      <c r="Q1834">
        <v>2.904535979189314E-3</v>
      </c>
      <c r="R1834">
        <v>1.8415396904654089E-3</v>
      </c>
      <c r="S1834">
        <v>0.19954205127437458</v>
      </c>
      <c r="T1834">
        <v>1.0580733857277067</v>
      </c>
      <c r="U1834">
        <v>3.6731112072292758E-2</v>
      </c>
      <c r="V1834">
        <v>0.24431907260224342</v>
      </c>
      <c r="W1834">
        <v>0.11245734231766151</v>
      </c>
      <c r="X1834">
        <v>2.0314457029031296E-2</v>
      </c>
      <c r="Y1834">
        <v>5.012063974051034E-3</v>
      </c>
    </row>
    <row r="1835" spans="1:25" x14ac:dyDescent="0.25">
      <c r="A1835" s="881"/>
      <c r="B1835" s="1131">
        <v>1585</v>
      </c>
      <c r="C1835" s="885">
        <v>0.99499844958850048</v>
      </c>
      <c r="D1835" s="885">
        <v>1.0022454676292585</v>
      </c>
      <c r="E1835" s="885">
        <v>0.96785820389725596</v>
      </c>
      <c r="F1835" s="885">
        <v>1.0032089288593948</v>
      </c>
      <c r="G1835" s="885">
        <v>1.004348614412359</v>
      </c>
      <c r="H1835" s="885">
        <v>0.99526975810475427</v>
      </c>
      <c r="I1835" s="885">
        <v>1.0154943998979722</v>
      </c>
      <c r="K1835">
        <v>1.9366203064947265</v>
      </c>
      <c r="L1835">
        <v>0</v>
      </c>
      <c r="M1835">
        <v>2.0879182768684069E-3</v>
      </c>
      <c r="N1835">
        <v>0.19031736606151492</v>
      </c>
      <c r="O1835">
        <v>2.5247246942893584E-2</v>
      </c>
      <c r="P1835">
        <v>2.0717195167688201E-2</v>
      </c>
      <c r="Q1835">
        <v>2.8713184526708889E-3</v>
      </c>
      <c r="R1835">
        <v>2.075393689500393E-3</v>
      </c>
      <c r="S1835">
        <v>0.2093718578958734</v>
      </c>
      <c r="T1835">
        <v>1.0613448631915254</v>
      </c>
      <c r="U1835">
        <v>3.7507908295084678E-2</v>
      </c>
      <c r="V1835">
        <v>0.24823400621027325</v>
      </c>
      <c r="W1835">
        <v>0.11631990696075759</v>
      </c>
      <c r="X1835">
        <v>1.9052624434337629E-2</v>
      </c>
      <c r="Y1835">
        <v>5.6485374694741968E-3</v>
      </c>
    </row>
    <row r="1836" spans="1:25" x14ac:dyDescent="0.25">
      <c r="A1836" s="881"/>
      <c r="B1836" s="1131">
        <v>1586</v>
      </c>
      <c r="C1836" s="885">
        <v>0.97988550959744891</v>
      </c>
      <c r="D1836" s="885">
        <v>0.99460423682599286</v>
      </c>
      <c r="E1836" s="885">
        <v>1.0244462358051685</v>
      </c>
      <c r="F1836" s="885">
        <v>1.0269339899106356</v>
      </c>
      <c r="G1836" s="885">
        <v>0.99307644435460185</v>
      </c>
      <c r="H1836" s="885">
        <v>1.0144330334455178</v>
      </c>
      <c r="I1836" s="885">
        <v>1.0027817410296049</v>
      </c>
      <c r="K1836">
        <v>1.9688568095025625</v>
      </c>
      <c r="L1836">
        <v>0</v>
      </c>
      <c r="M1836">
        <v>1.9255932171016055E-3</v>
      </c>
      <c r="N1836">
        <v>0.20934399807308035</v>
      </c>
      <c r="O1836">
        <v>2.5733965167168745E-2</v>
      </c>
      <c r="P1836">
        <v>2.1639542477849064E-2</v>
      </c>
      <c r="Q1836">
        <v>3.09670281767258E-3</v>
      </c>
      <c r="R1836">
        <v>1.9142665686540904E-3</v>
      </c>
      <c r="S1836">
        <v>0.21266844246256159</v>
      </c>
      <c r="T1836">
        <v>1.0561384189566931</v>
      </c>
      <c r="U1836">
        <v>3.8086399110288494E-2</v>
      </c>
      <c r="V1836">
        <v>0.25138830352185593</v>
      </c>
      <c r="W1836">
        <v>0.12307604334559936</v>
      </c>
      <c r="X1836">
        <v>2.2486317656170693E-2</v>
      </c>
      <c r="Y1836">
        <v>5.2100025620716731E-3</v>
      </c>
    </row>
    <row r="1837" spans="1:25" x14ac:dyDescent="0.25">
      <c r="A1837" s="881"/>
      <c r="B1837" s="1131">
        <v>1587</v>
      </c>
      <c r="C1837" s="885">
        <v>0.97763629499480331</v>
      </c>
      <c r="D1837" s="885">
        <v>1.0419109168122103</v>
      </c>
      <c r="E1837" s="885">
        <v>1.0218331426727691</v>
      </c>
      <c r="F1837" s="885">
        <v>0.97581540538121647</v>
      </c>
      <c r="G1837" s="885">
        <v>0.98534665423350265</v>
      </c>
      <c r="H1837" s="885">
        <v>0.99920269199166356</v>
      </c>
      <c r="I1837" s="885">
        <v>1.001439030092742</v>
      </c>
      <c r="K1837">
        <v>1.9439781604197839</v>
      </c>
      <c r="L1837">
        <v>0</v>
      </c>
      <c r="M1837">
        <v>1.8682496743334623E-3</v>
      </c>
      <c r="N1837">
        <v>0.2014460487695223</v>
      </c>
      <c r="O1837">
        <v>2.5208103416497596E-2</v>
      </c>
      <c r="P1837">
        <v>2.1446035705912685E-2</v>
      </c>
      <c r="Q1837">
        <v>3.0353064197366142E-3</v>
      </c>
      <c r="R1837">
        <v>1.8570571243760588E-3</v>
      </c>
      <c r="S1837">
        <v>0.20684147628401578</v>
      </c>
      <c r="T1837">
        <v>1.0563760903034489</v>
      </c>
      <c r="U1837">
        <v>3.8174023194500264E-2</v>
      </c>
      <c r="V1837">
        <v>0.24591588607796447</v>
      </c>
      <c r="W1837">
        <v>0.11864129321675729</v>
      </c>
      <c r="X1837">
        <v>2.1850792267549272E-2</v>
      </c>
      <c r="Y1837">
        <v>5.0542973138351082E-3</v>
      </c>
    </row>
    <row r="1838" spans="1:25" x14ac:dyDescent="0.25">
      <c r="A1838" s="881"/>
      <c r="B1838" s="1131">
        <v>1588</v>
      </c>
      <c r="C1838" s="885">
        <v>0.98655662046902437</v>
      </c>
      <c r="D1838" s="885">
        <v>1.0446930362343922</v>
      </c>
      <c r="E1838" s="885">
        <v>0.98530063780750599</v>
      </c>
      <c r="F1838" s="885">
        <v>1.0227808757806975</v>
      </c>
      <c r="G1838" s="885">
        <v>1.0224816113384085</v>
      </c>
      <c r="H1838" s="885">
        <v>1.0277529936697412</v>
      </c>
      <c r="I1838" s="885">
        <v>0.9925219214813904</v>
      </c>
      <c r="K1838">
        <v>1.938993613934396</v>
      </c>
      <c r="L1838">
        <v>0</v>
      </c>
      <c r="M1838">
        <v>2.0539335452154964E-3</v>
      </c>
      <c r="N1838">
        <v>0.19771290154726409</v>
      </c>
      <c r="O1838">
        <v>2.4947415355599967E-2</v>
      </c>
      <c r="P1838">
        <v>2.0875409015209546E-2</v>
      </c>
      <c r="Q1838">
        <v>2.8963441162332113E-3</v>
      </c>
      <c r="R1838">
        <v>2.0419682306123815E-3</v>
      </c>
      <c r="S1838">
        <v>0.20574387883755904</v>
      </c>
      <c r="T1838">
        <v>1.0597267763978884</v>
      </c>
      <c r="U1838">
        <v>3.7828858300270954E-2</v>
      </c>
      <c r="V1838">
        <v>0.24433592304161425</v>
      </c>
      <c r="W1838">
        <v>0.11938276187115096</v>
      </c>
      <c r="X1838">
        <v>1.9997746377126358E-2</v>
      </c>
      <c r="Y1838">
        <v>5.5575643890805899E-3</v>
      </c>
    </row>
    <row r="1839" spans="1:25" x14ac:dyDescent="0.25">
      <c r="A1839" s="881"/>
      <c r="B1839" s="1131">
        <v>1589</v>
      </c>
      <c r="C1839" s="885">
        <v>0.99968088475360029</v>
      </c>
      <c r="D1839" s="885">
        <v>1.0353829303128985</v>
      </c>
      <c r="E1839" s="885">
        <v>0.99871098489629029</v>
      </c>
      <c r="F1839" s="885">
        <v>0.99368846945401723</v>
      </c>
      <c r="G1839" s="885">
        <v>0.97866184768786291</v>
      </c>
      <c r="H1839" s="885">
        <v>1.0339640650652966</v>
      </c>
      <c r="I1839" s="885">
        <v>1.0233032290439192</v>
      </c>
      <c r="K1839">
        <v>1.9444688942651465</v>
      </c>
      <c r="L1839">
        <v>0</v>
      </c>
      <c r="M1839">
        <v>1.9912525639154827E-3</v>
      </c>
      <c r="N1839">
        <v>0.1998581072624408</v>
      </c>
      <c r="O1839">
        <v>2.472863693098095E-2</v>
      </c>
      <c r="P1839">
        <v>2.1122604234997969E-2</v>
      </c>
      <c r="Q1839">
        <v>2.9082961390059338E-3</v>
      </c>
      <c r="R1839">
        <v>1.9797291113825295E-3</v>
      </c>
      <c r="S1839">
        <v>0.21083025020289506</v>
      </c>
      <c r="T1839">
        <v>1.058490765534861</v>
      </c>
      <c r="U1839">
        <v>3.73322238827399E-2</v>
      </c>
      <c r="V1839">
        <v>0.2435997682364229</v>
      </c>
      <c r="W1839">
        <v>0.11956965715295961</v>
      </c>
      <c r="X1839">
        <v>2.0651938116716392E-2</v>
      </c>
      <c r="Y1839">
        <v>5.3881700236570722E-3</v>
      </c>
    </row>
    <row r="1840" spans="1:25" x14ac:dyDescent="0.25">
      <c r="A1840" s="881"/>
      <c r="B1840" s="1131">
        <v>1590</v>
      </c>
      <c r="C1840" s="885">
        <v>0.98316285463923137</v>
      </c>
      <c r="D1840" s="885">
        <v>0.99583334205200413</v>
      </c>
      <c r="E1840" s="885">
        <v>1.0114901180396934</v>
      </c>
      <c r="F1840" s="885">
        <v>1.0267111802482796</v>
      </c>
      <c r="G1840" s="885">
        <v>1.0345195408592491</v>
      </c>
      <c r="H1840" s="885">
        <v>0.96608214049882424</v>
      </c>
      <c r="I1840" s="885">
        <v>0.99061145399598471</v>
      </c>
      <c r="K1840">
        <v>1.9388914597661262</v>
      </c>
      <c r="L1840">
        <v>0</v>
      </c>
      <c r="M1840">
        <v>1.8772485964301667E-3</v>
      </c>
      <c r="N1840">
        <v>0.19597769875872742</v>
      </c>
      <c r="O1840">
        <v>2.5632496894028113E-2</v>
      </c>
      <c r="P1840">
        <v>2.1325547723050061E-2</v>
      </c>
      <c r="Q1840">
        <v>3.0452370399028758E-3</v>
      </c>
      <c r="R1840">
        <v>1.8656526757356625E-3</v>
      </c>
      <c r="S1840">
        <v>0.20432788222664494</v>
      </c>
      <c r="T1840">
        <v>1.0573194491850348</v>
      </c>
      <c r="U1840">
        <v>3.7959439196481252E-2</v>
      </c>
      <c r="V1840">
        <v>0.25075180878965603</v>
      </c>
      <c r="W1840">
        <v>0.11623097139362122</v>
      </c>
      <c r="X1840">
        <v>2.1254832908561207E-2</v>
      </c>
      <c r="Y1840">
        <v>5.077691571113205E-3</v>
      </c>
    </row>
    <row r="1841" spans="1:25" x14ac:dyDescent="0.25">
      <c r="A1841" s="881"/>
      <c r="B1841" s="1131">
        <v>1591</v>
      </c>
      <c r="C1841" s="885">
        <v>0.97302088960775701</v>
      </c>
      <c r="D1841" s="885">
        <v>1.0081499296760266</v>
      </c>
      <c r="E1841" s="885">
        <v>0.95898705442160548</v>
      </c>
      <c r="F1841" s="885">
        <v>0.95438651024786347</v>
      </c>
      <c r="G1841" s="885">
        <v>0.99894467254004149</v>
      </c>
      <c r="H1841" s="885">
        <v>1.0263265506591621</v>
      </c>
      <c r="I1841" s="885">
        <v>1.0145482803336439</v>
      </c>
      <c r="K1841">
        <v>1.9625976206294891</v>
      </c>
      <c r="L1841">
        <v>0</v>
      </c>
      <c r="M1841">
        <v>2.2364757535026903E-3</v>
      </c>
      <c r="N1841">
        <v>0.19833011816706511</v>
      </c>
      <c r="O1841">
        <v>2.5742601603034182E-2</v>
      </c>
      <c r="P1841">
        <v>2.0725985712392859E-2</v>
      </c>
      <c r="Q1841">
        <v>2.9023177588682085E-3</v>
      </c>
      <c r="R1841">
        <v>2.2234607065608814E-3</v>
      </c>
      <c r="S1841">
        <v>0.21658991953480841</v>
      </c>
      <c r="T1841">
        <v>1.06217233111165</v>
      </c>
      <c r="U1841">
        <v>3.8355096996901504E-2</v>
      </c>
      <c r="V1841">
        <v>0.25068791287568098</v>
      </c>
      <c r="W1841">
        <v>0.12197449182405549</v>
      </c>
      <c r="X1841">
        <v>1.9078333012338314E-2</v>
      </c>
      <c r="Y1841">
        <v>6.0515270796337884E-3</v>
      </c>
    </row>
    <row r="1842" spans="1:25" x14ac:dyDescent="0.25">
      <c r="A1842" s="881"/>
      <c r="B1842" s="1131">
        <v>1592</v>
      </c>
      <c r="C1842" s="885">
        <v>0.98312933455135987</v>
      </c>
      <c r="D1842" s="885">
        <v>1.0018509975935075</v>
      </c>
      <c r="E1842" s="885">
        <v>1.005635248053572</v>
      </c>
      <c r="F1842" s="885">
        <v>1.0055171157232232</v>
      </c>
      <c r="G1842" s="885">
        <v>1.0402565880771957</v>
      </c>
      <c r="H1842" s="885">
        <v>1.0127263071778145</v>
      </c>
      <c r="I1842" s="885">
        <v>0.97794422367324219</v>
      </c>
      <c r="K1842">
        <v>1.9531520127439974</v>
      </c>
      <c r="L1842">
        <v>0</v>
      </c>
      <c r="M1842">
        <v>1.9864711811183435E-3</v>
      </c>
      <c r="N1842">
        <v>0.20369700441939539</v>
      </c>
      <c r="O1842">
        <v>2.555702983828774E-2</v>
      </c>
      <c r="P1842">
        <v>2.125120754980089E-2</v>
      </c>
      <c r="Q1842">
        <v>3.0198072345376625E-3</v>
      </c>
      <c r="R1842">
        <v>1.9747608525818861E-3</v>
      </c>
      <c r="S1842">
        <v>0.20585663662055595</v>
      </c>
      <c r="T1842">
        <v>1.0578553074329617</v>
      </c>
      <c r="U1842">
        <v>3.7960733434881759E-2</v>
      </c>
      <c r="V1842">
        <v>0.24999432703194363</v>
      </c>
      <c r="W1842">
        <v>0.12129121426704888</v>
      </c>
      <c r="X1842">
        <v>2.1305807182131199E-2</v>
      </c>
      <c r="Y1842">
        <v>5.3746480609877948E-3</v>
      </c>
    </row>
    <row r="1843" spans="1:25" x14ac:dyDescent="0.25">
      <c r="A1843" s="881"/>
      <c r="B1843" s="1131">
        <v>1593</v>
      </c>
      <c r="C1843" s="885">
        <v>1.004196625442785</v>
      </c>
      <c r="D1843" s="885">
        <v>1.0366070094087967</v>
      </c>
      <c r="E1843" s="885">
        <v>0.99436847120464822</v>
      </c>
      <c r="F1843" s="885">
        <v>0.9977801144893953</v>
      </c>
      <c r="G1843" s="885">
        <v>1.0207820820306659</v>
      </c>
      <c r="H1843" s="885">
        <v>0.97645392395783137</v>
      </c>
      <c r="I1843" s="885">
        <v>0.99057814956351131</v>
      </c>
      <c r="K1843">
        <v>1.9086616796623554</v>
      </c>
      <c r="L1843">
        <v>0</v>
      </c>
      <c r="M1843">
        <v>1.8881315177303639E-3</v>
      </c>
      <c r="N1843">
        <v>0.18690016951526844</v>
      </c>
      <c r="O1843">
        <v>2.4603112023194547E-2</v>
      </c>
      <c r="P1843">
        <v>2.0864600558268324E-2</v>
      </c>
      <c r="Q1843">
        <v>2.8811400992180725E-3</v>
      </c>
      <c r="R1843">
        <v>1.876560349474081E-3</v>
      </c>
      <c r="S1843">
        <v>0.197420291989505</v>
      </c>
      <c r="T1843">
        <v>1.0588902424671254</v>
      </c>
      <c r="U1843">
        <v>3.7164345761927932E-2</v>
      </c>
      <c r="V1843">
        <v>0.24283867226792549</v>
      </c>
      <c r="W1843">
        <v>0.1121508225763997</v>
      </c>
      <c r="X1843">
        <v>1.9852474908463077E-2</v>
      </c>
      <c r="Y1843">
        <v>5.1073786633154998E-3</v>
      </c>
    </row>
    <row r="1844" spans="1:25" x14ac:dyDescent="0.25">
      <c r="A1844" s="881"/>
      <c r="B1844" s="1131">
        <v>1594</v>
      </c>
      <c r="C1844" s="885">
        <v>1.02917941476049</v>
      </c>
      <c r="D1844" s="885">
        <v>0.99516268558170129</v>
      </c>
      <c r="E1844" s="885">
        <v>0.99400447702208827</v>
      </c>
      <c r="F1844" s="885">
        <v>0.98299997224342184</v>
      </c>
      <c r="G1844" s="885">
        <v>0.99471408882807733</v>
      </c>
      <c r="H1844" s="885">
        <v>1.0160356593581517</v>
      </c>
      <c r="I1844" s="885">
        <v>1.0230731603329497</v>
      </c>
      <c r="K1844">
        <v>1.929809063366537</v>
      </c>
      <c r="L1844">
        <v>0</v>
      </c>
      <c r="M1844">
        <v>1.9574688852187273E-3</v>
      </c>
      <c r="N1844">
        <v>0.19359397145276466</v>
      </c>
      <c r="O1844">
        <v>2.4494591393624032E-2</v>
      </c>
      <c r="P1844">
        <v>2.0994108323586013E-2</v>
      </c>
      <c r="Q1844">
        <v>2.8592903215875491E-3</v>
      </c>
      <c r="R1844">
        <v>1.9459724524371171E-3</v>
      </c>
      <c r="S1844">
        <v>0.20668797985331003</v>
      </c>
      <c r="T1844">
        <v>1.0589237603926398</v>
      </c>
      <c r="U1844">
        <v>3.6262200803542192E-2</v>
      </c>
      <c r="V1844">
        <v>0.24439071289245692</v>
      </c>
      <c r="W1844">
        <v>0.11619654176104796</v>
      </c>
      <c r="X1844">
        <v>2.0121107078869268E-2</v>
      </c>
      <c r="Y1844">
        <v>5.2962955258872898E-3</v>
      </c>
    </row>
    <row r="1845" spans="1:25" x14ac:dyDescent="0.25">
      <c r="A1845" s="881"/>
      <c r="B1845" s="1131">
        <v>1595</v>
      </c>
      <c r="C1845" s="885">
        <v>0.97055413148913661</v>
      </c>
      <c r="D1845" s="885">
        <v>0.97792863103727279</v>
      </c>
      <c r="E1845" s="885">
        <v>1.0457289081700778</v>
      </c>
      <c r="F1845" s="885">
        <v>0.99568375545409082</v>
      </c>
      <c r="G1845" s="885">
        <v>0.99331942530483874</v>
      </c>
      <c r="H1845" s="885">
        <v>1.0036759386477214</v>
      </c>
      <c r="I1845" s="885">
        <v>0.99480841771098905</v>
      </c>
      <c r="K1845">
        <v>1.9816399022463345</v>
      </c>
      <c r="L1845">
        <v>0</v>
      </c>
      <c r="M1845">
        <v>1.854217699833639E-3</v>
      </c>
      <c r="N1845">
        <v>0.2153344440797611</v>
      </c>
      <c r="O1845">
        <v>2.6200166875824004E-2</v>
      </c>
      <c r="P1845">
        <v>2.2016233622236928E-2</v>
      </c>
      <c r="Q1845">
        <v>3.21584362626272E-3</v>
      </c>
      <c r="R1845">
        <v>1.8432069849251425E-3</v>
      </c>
      <c r="S1845">
        <v>0.21354179755189173</v>
      </c>
      <c r="T1845">
        <v>1.054212630759624</v>
      </c>
      <c r="U1845">
        <v>3.8452580222038499E-2</v>
      </c>
      <c r="V1845">
        <v>0.25497425340220076</v>
      </c>
      <c r="W1845">
        <v>0.12481142949667903</v>
      </c>
      <c r="X1845">
        <v>2.3874931524775225E-2</v>
      </c>
      <c r="Y1845">
        <v>5.0166017999469566E-3</v>
      </c>
    </row>
    <row r="1846" spans="1:25" x14ac:dyDescent="0.25">
      <c r="A1846" s="881"/>
      <c r="B1846" s="1131">
        <v>1596</v>
      </c>
      <c r="C1846" s="885">
        <v>1.0022181809848143</v>
      </c>
      <c r="D1846" s="885">
        <v>0.96989352611835433</v>
      </c>
      <c r="E1846" s="885">
        <v>0.9950910427607722</v>
      </c>
      <c r="F1846" s="885">
        <v>0.97577523991642234</v>
      </c>
      <c r="G1846" s="885">
        <v>0.98466320121159323</v>
      </c>
      <c r="H1846" s="885">
        <v>1.0276332607310112</v>
      </c>
      <c r="I1846" s="885">
        <v>0.95745226486390456</v>
      </c>
      <c r="K1846">
        <v>1.9515710860390465</v>
      </c>
      <c r="L1846">
        <v>0</v>
      </c>
      <c r="M1846">
        <v>2.0544610870505634E-3</v>
      </c>
      <c r="N1846">
        <v>0.20389054304971346</v>
      </c>
      <c r="O1846">
        <v>2.5476610883468684E-2</v>
      </c>
      <c r="P1846">
        <v>2.1055819784183291E-2</v>
      </c>
      <c r="Q1846">
        <v>2.9718079081694016E-3</v>
      </c>
      <c r="R1846">
        <v>2.0425525917291843E-3</v>
      </c>
      <c r="S1846">
        <v>0.20213962301686411</v>
      </c>
      <c r="T1846">
        <v>1.0588237206905839</v>
      </c>
      <c r="U1846">
        <v>3.7237710619303144E-2</v>
      </c>
      <c r="V1846">
        <v>0.25134321566060636</v>
      </c>
      <c r="W1846">
        <v>0.12228532370839444</v>
      </c>
      <c r="X1846">
        <v>2.0799464385673785E-2</v>
      </c>
      <c r="Y1846">
        <v>5.5591548274059365E-3</v>
      </c>
    </row>
    <row r="1847" spans="1:25" x14ac:dyDescent="0.25">
      <c r="A1847" s="881"/>
      <c r="B1847" s="1131">
        <v>1597</v>
      </c>
      <c r="C1847" s="885">
        <v>0.98140715064874917</v>
      </c>
      <c r="D1847" s="885">
        <v>1.0018572024761068</v>
      </c>
      <c r="E1847" s="885">
        <v>0.98473933782513445</v>
      </c>
      <c r="F1847" s="885">
        <v>1.0109602483674394</v>
      </c>
      <c r="G1847" s="885">
        <v>1.0287475056918405</v>
      </c>
      <c r="H1847" s="885">
        <v>0.97522141188460965</v>
      </c>
      <c r="I1847" s="885">
        <v>1.0112793567633751</v>
      </c>
      <c r="K1847">
        <v>1.9408628222687478</v>
      </c>
      <c r="L1847">
        <v>0</v>
      </c>
      <c r="M1847">
        <v>2.0023982227436983E-3</v>
      </c>
      <c r="N1847">
        <v>0.19235807770256783</v>
      </c>
      <c r="O1847">
        <v>2.5601799124179245E-2</v>
      </c>
      <c r="P1847">
        <v>2.0998179979827038E-2</v>
      </c>
      <c r="Q1847">
        <v>2.9620549603699385E-3</v>
      </c>
      <c r="R1847">
        <v>1.9901400337883515E-3</v>
      </c>
      <c r="S1847">
        <v>0.2093391873265171</v>
      </c>
      <c r="T1847">
        <v>1.0597786629550778</v>
      </c>
      <c r="U1847">
        <v>3.8027347341260669E-2</v>
      </c>
      <c r="V1847">
        <v>0.25024621882683373</v>
      </c>
      <c r="W1847">
        <v>0.11619450633980166</v>
      </c>
      <c r="X1847">
        <v>1.9952540778781547E-2</v>
      </c>
      <c r="Y1847">
        <v>5.4165051224860719E-3</v>
      </c>
    </row>
    <row r="1848" spans="1:25" x14ac:dyDescent="0.25">
      <c r="A1848" s="881"/>
      <c r="B1848" s="1131">
        <v>1598</v>
      </c>
      <c r="C1848" s="885">
        <v>1.0365134602882162</v>
      </c>
      <c r="D1848" s="885">
        <v>0.9854922674725437</v>
      </c>
      <c r="E1848" s="885">
        <v>0.97676682858360186</v>
      </c>
      <c r="F1848" s="885">
        <v>1.0067437578825997</v>
      </c>
      <c r="G1848" s="885">
        <v>1.0047644442466062</v>
      </c>
      <c r="H1848" s="885">
        <v>1.0215447803551165</v>
      </c>
      <c r="I1848" s="885">
        <v>0.96404428982654633</v>
      </c>
      <c r="K1848">
        <v>1.9151875814217307</v>
      </c>
      <c r="L1848">
        <v>0</v>
      </c>
      <c r="M1848">
        <v>2.0360533182530866E-3</v>
      </c>
      <c r="N1848">
        <v>0.19084728521164623</v>
      </c>
      <c r="O1848">
        <v>2.4439277560870165E-2</v>
      </c>
      <c r="P1848">
        <v>2.0583210688109418E-2</v>
      </c>
      <c r="Q1848">
        <v>2.8015169514905331E-3</v>
      </c>
      <c r="R1848">
        <v>2.0241679184062104E-3</v>
      </c>
      <c r="S1848">
        <v>0.19477743054868349</v>
      </c>
      <c r="T1848">
        <v>1.0605169615342669</v>
      </c>
      <c r="U1848">
        <v>3.6005620795835587E-2</v>
      </c>
      <c r="V1848">
        <v>0.24460040094632729</v>
      </c>
      <c r="W1848">
        <v>0.11592108171728499</v>
      </c>
      <c r="X1848">
        <v>1.9197563059934798E-2</v>
      </c>
      <c r="Y1848">
        <v>5.5091178071267326E-3</v>
      </c>
    </row>
    <row r="1849" spans="1:25" x14ac:dyDescent="0.25">
      <c r="A1849" s="881"/>
      <c r="B1849" s="1131">
        <v>1599</v>
      </c>
      <c r="C1849" s="885">
        <v>1.0079052081390967</v>
      </c>
      <c r="D1849" s="885">
        <v>0.97401887308376744</v>
      </c>
      <c r="E1849" s="885">
        <v>1.0089540533589281</v>
      </c>
      <c r="F1849" s="885">
        <v>1.007298247384254</v>
      </c>
      <c r="G1849" s="885">
        <v>0.98884579439583298</v>
      </c>
      <c r="H1849" s="885">
        <v>0.99303200847235251</v>
      </c>
      <c r="I1849" s="885">
        <v>1.01025460147053</v>
      </c>
      <c r="K1849">
        <v>1.9445567742619785</v>
      </c>
      <c r="L1849">
        <v>0</v>
      </c>
      <c r="M1849">
        <v>1.9132308506697696E-3</v>
      </c>
      <c r="N1849">
        <v>0.19820087345863271</v>
      </c>
      <c r="O1849">
        <v>2.5279484669720742E-2</v>
      </c>
      <c r="P1849">
        <v>2.131750693966851E-2</v>
      </c>
      <c r="Q1849">
        <v>2.9910417187421568E-3</v>
      </c>
      <c r="R1849">
        <v>1.9017511494406425E-3</v>
      </c>
      <c r="S1849">
        <v>0.20811305598727109</v>
      </c>
      <c r="T1849">
        <v>1.0575513945167749</v>
      </c>
      <c r="U1849">
        <v>3.7027599718252889E-2</v>
      </c>
      <c r="V1849">
        <v>0.24998966944660359</v>
      </c>
      <c r="W1849">
        <v>0.1177522048442483</v>
      </c>
      <c r="X1849">
        <v>2.1169482946614609E-2</v>
      </c>
      <c r="Y1849">
        <v>5.1759397166795023E-3</v>
      </c>
    </row>
    <row r="1850" spans="1:25" x14ac:dyDescent="0.25">
      <c r="A1850" s="881"/>
      <c r="B1850" s="1131">
        <v>1600</v>
      </c>
      <c r="C1850" s="885">
        <v>1.0012388449759633</v>
      </c>
      <c r="D1850" s="885">
        <v>1.0310031168933482</v>
      </c>
      <c r="E1850" s="885">
        <v>0.97289469786262073</v>
      </c>
      <c r="F1850" s="885">
        <v>0.97758683304182747</v>
      </c>
      <c r="G1850" s="885">
        <v>1.0256332008081119</v>
      </c>
      <c r="H1850" s="885">
        <v>0.98197162408206151</v>
      </c>
      <c r="I1850" s="885">
        <v>1.0195996337294353</v>
      </c>
      <c r="K1850">
        <v>1.917080500481005</v>
      </c>
      <c r="L1850">
        <v>0</v>
      </c>
      <c r="M1850">
        <v>1.9976018304799659E-3</v>
      </c>
      <c r="N1850">
        <v>0.18494949342921752</v>
      </c>
      <c r="O1850">
        <v>2.4741787425746554E-2</v>
      </c>
      <c r="P1850">
        <v>2.0669741046291854E-2</v>
      </c>
      <c r="Q1850">
        <v>2.833895659007205E-3</v>
      </c>
      <c r="R1850">
        <v>1.98543308087204E-3</v>
      </c>
      <c r="S1850">
        <v>0.20486949284118863</v>
      </c>
      <c r="T1850">
        <v>1.0608764312603349</v>
      </c>
      <c r="U1850">
        <v>3.7274133727615025E-2</v>
      </c>
      <c r="V1850">
        <v>0.24389583392822492</v>
      </c>
      <c r="W1850">
        <v>0.1126420921055979</v>
      </c>
      <c r="X1850">
        <v>1.8936073459095169E-2</v>
      </c>
      <c r="Y1850">
        <v>5.4036943482944823E-3</v>
      </c>
    </row>
    <row r="1851" spans="1:25" x14ac:dyDescent="0.25">
      <c r="A1851" s="881"/>
      <c r="B1851" s="1131">
        <v>1601</v>
      </c>
      <c r="C1851" s="885">
        <v>1.0350472162275708</v>
      </c>
      <c r="D1851" s="885">
        <v>0.9801168266885586</v>
      </c>
      <c r="E1851" s="885">
        <v>0.96307186639053755</v>
      </c>
      <c r="F1851" s="885">
        <v>1.0042019149169357</v>
      </c>
      <c r="G1851" s="885">
        <v>0.96900786517313608</v>
      </c>
      <c r="H1851" s="885">
        <v>0.99899074235049123</v>
      </c>
      <c r="I1851" s="885">
        <v>0.9883690904648802</v>
      </c>
      <c r="K1851">
        <v>1.9114271193256529</v>
      </c>
      <c r="L1851">
        <v>0</v>
      </c>
      <c r="M1851">
        <v>2.0575551061734871E-3</v>
      </c>
      <c r="N1851">
        <v>0.18477645125961967</v>
      </c>
      <c r="O1851">
        <v>2.4540407267327341E-2</v>
      </c>
      <c r="P1851">
        <v>2.0443644922112834E-2</v>
      </c>
      <c r="Q1851">
        <v>2.7729405389279311E-3</v>
      </c>
      <c r="R1851">
        <v>2.0452777116433522E-3</v>
      </c>
      <c r="S1851">
        <v>0.19827807128458477</v>
      </c>
      <c r="T1851">
        <v>1.061790937539471</v>
      </c>
      <c r="U1851">
        <v>3.6056626225166775E-2</v>
      </c>
      <c r="V1851">
        <v>0.24546443866674683</v>
      </c>
      <c r="W1851">
        <v>0.11331292509707036</v>
      </c>
      <c r="X1851">
        <v>1.8436382213677414E-2</v>
      </c>
      <c r="Y1851">
        <v>5.566571705476764E-3</v>
      </c>
    </row>
    <row r="1852" spans="1:25" x14ac:dyDescent="0.25">
      <c r="A1852" s="881"/>
      <c r="B1852" s="1131">
        <v>1602</v>
      </c>
      <c r="C1852" s="885">
        <v>0.99994706156478275</v>
      </c>
      <c r="D1852" s="885">
        <v>1.0025929535623521</v>
      </c>
      <c r="E1852" s="885">
        <v>1.0046056455827725</v>
      </c>
      <c r="F1852" s="885">
        <v>0.96915634653840466</v>
      </c>
      <c r="G1852" s="885">
        <v>1.0095391065364194</v>
      </c>
      <c r="H1852" s="885">
        <v>0.97295571589147201</v>
      </c>
      <c r="I1852" s="885">
        <v>0.98617206182768635</v>
      </c>
      <c r="K1852">
        <v>1.9242910821195669</v>
      </c>
      <c r="L1852">
        <v>0</v>
      </c>
      <c r="M1852">
        <v>1.8797510927389669E-3</v>
      </c>
      <c r="N1852">
        <v>0.19209085536764225</v>
      </c>
      <c r="O1852">
        <v>2.5117992633381218E-2</v>
      </c>
      <c r="P1852">
        <v>2.111388713325783E-2</v>
      </c>
      <c r="Q1852">
        <v>2.9650223103668476E-3</v>
      </c>
      <c r="R1852">
        <v>1.8682163362158206E-3</v>
      </c>
      <c r="S1852">
        <v>0.20006363191863913</v>
      </c>
      <c r="T1852">
        <v>1.0579496785177778</v>
      </c>
      <c r="U1852">
        <v>3.7322286384356834E-2</v>
      </c>
      <c r="V1852">
        <v>0.2474906469237719</v>
      </c>
      <c r="W1852">
        <v>0.11446066364793715</v>
      </c>
      <c r="X1852">
        <v>2.0643283029127619E-2</v>
      </c>
      <c r="Y1852">
        <v>5.0846690098297464E-3</v>
      </c>
    </row>
    <row r="1853" spans="1:25" x14ac:dyDescent="0.25">
      <c r="A1853" s="881"/>
      <c r="B1853" s="1131">
        <v>1603</v>
      </c>
      <c r="C1853" s="885">
        <v>1.0049825307318903</v>
      </c>
      <c r="D1853" s="885">
        <v>1.0068188949016237</v>
      </c>
      <c r="E1853" s="885">
        <v>0.98534995284387139</v>
      </c>
      <c r="F1853" s="885">
        <v>0.99540002439697672</v>
      </c>
      <c r="G1853" s="885">
        <v>0.9633097733360575</v>
      </c>
      <c r="H1853" s="885">
        <v>0.96876975389374687</v>
      </c>
      <c r="I1853" s="885">
        <v>0.97276830711246387</v>
      </c>
      <c r="K1853">
        <v>1.9107363784981142</v>
      </c>
      <c r="L1853">
        <v>0</v>
      </c>
      <c r="M1853">
        <v>1.9352667913492582E-3</v>
      </c>
      <c r="N1853">
        <v>0.1862550370586189</v>
      </c>
      <c r="O1853">
        <v>2.494019268855429E-2</v>
      </c>
      <c r="P1853">
        <v>2.0755470648527011E-2</v>
      </c>
      <c r="Q1853">
        <v>2.8882879901728871E-3</v>
      </c>
      <c r="R1853">
        <v>1.923336590559414E-3</v>
      </c>
      <c r="S1853">
        <v>0.19556884015954534</v>
      </c>
      <c r="T1853">
        <v>1.0597222183017134</v>
      </c>
      <c r="U1853">
        <v>3.7135282912567569E-2</v>
      </c>
      <c r="V1853">
        <v>0.24626628616024807</v>
      </c>
      <c r="W1853">
        <v>0.11246045415626786</v>
      </c>
      <c r="X1853">
        <v>1.9521550450921705E-2</v>
      </c>
      <c r="Y1853">
        <v>5.2346881717660453E-3</v>
      </c>
    </row>
    <row r="1854" spans="1:25" x14ac:dyDescent="0.25">
      <c r="A1854" s="881"/>
      <c r="B1854" s="1131">
        <v>1604</v>
      </c>
      <c r="C1854" s="885">
        <v>1.0097163638104591</v>
      </c>
      <c r="D1854" s="885">
        <v>0.99388397539208473</v>
      </c>
      <c r="E1854" s="885">
        <v>0.99077986744380475</v>
      </c>
      <c r="F1854" s="885">
        <v>0.99202271314856016</v>
      </c>
      <c r="G1854" s="885">
        <v>0.97330113701954823</v>
      </c>
      <c r="H1854" s="885">
        <v>1.0053831923144672</v>
      </c>
      <c r="I1854" s="885">
        <v>1.0321493868491272</v>
      </c>
      <c r="K1854">
        <v>1.9413105889548097</v>
      </c>
      <c r="L1854">
        <v>0</v>
      </c>
      <c r="M1854">
        <v>1.9889841996511581E-3</v>
      </c>
      <c r="N1854">
        <v>0.19473409207686845</v>
      </c>
      <c r="O1854">
        <v>2.498265016329751E-2</v>
      </c>
      <c r="P1854">
        <v>2.1061004775569134E-2</v>
      </c>
      <c r="Q1854">
        <v>2.9065239904525354E-3</v>
      </c>
      <c r="R1854">
        <v>1.9771799574285084E-3</v>
      </c>
      <c r="S1854">
        <v>0.21156137306411751</v>
      </c>
      <c r="T1854">
        <v>1.0592209193882967</v>
      </c>
      <c r="U1854">
        <v>3.6961182306759675E-2</v>
      </c>
      <c r="V1854">
        <v>0.24720537419498065</v>
      </c>
      <c r="W1854">
        <v>0.11714040058738952</v>
      </c>
      <c r="X1854">
        <v>2.0167640582378809E-2</v>
      </c>
      <c r="Y1854">
        <v>5.3812320669226026E-3</v>
      </c>
    </row>
    <row r="1855" spans="1:25" x14ac:dyDescent="0.25">
      <c r="A1855" s="881"/>
      <c r="B1855" s="1131">
        <v>1605</v>
      </c>
      <c r="C1855" s="885">
        <v>1.0077341630942502</v>
      </c>
      <c r="D1855" s="885">
        <v>1.0277050341056033</v>
      </c>
      <c r="E1855" s="885">
        <v>0.98921090059957317</v>
      </c>
      <c r="F1855" s="885">
        <v>0.99068175401630321</v>
      </c>
      <c r="G1855" s="885">
        <v>1.0252016683597509</v>
      </c>
      <c r="H1855" s="885">
        <v>1.0204599705863771</v>
      </c>
      <c r="I1855" s="885">
        <v>1.0391074661375377</v>
      </c>
      <c r="K1855">
        <v>1.9369973410148982</v>
      </c>
      <c r="L1855">
        <v>0</v>
      </c>
      <c r="M1855">
        <v>1.9962032123155677E-3</v>
      </c>
      <c r="N1855">
        <v>0.19450301938314726</v>
      </c>
      <c r="O1855">
        <v>2.4621177232417069E-2</v>
      </c>
      <c r="P1855">
        <v>2.0989464913092663E-2</v>
      </c>
      <c r="Q1855">
        <v>2.8665787520469614E-3</v>
      </c>
      <c r="R1855">
        <v>1.9845041907485209E-3</v>
      </c>
      <c r="S1855">
        <v>0.21170977632628235</v>
      </c>
      <c r="T1855">
        <v>1.059365651366448</v>
      </c>
      <c r="U1855">
        <v>3.7033884498194274E-2</v>
      </c>
      <c r="V1855">
        <v>0.24339222635358604</v>
      </c>
      <c r="W1855">
        <v>0.11712795823211095</v>
      </c>
      <c r="X1855">
        <v>1.9998136763550688E-2</v>
      </c>
      <c r="Y1855">
        <v>5.4011662155868112E-3</v>
      </c>
    </row>
    <row r="1856" spans="1:25" x14ac:dyDescent="0.25">
      <c r="A1856" s="881"/>
      <c r="B1856" s="1131">
        <v>1606</v>
      </c>
      <c r="C1856" s="885">
        <v>0.99976517688172317</v>
      </c>
      <c r="D1856" s="885">
        <v>0.99616058802962315</v>
      </c>
      <c r="E1856" s="885">
        <v>0.98281966860356806</v>
      </c>
      <c r="F1856" s="885">
        <v>1.0146717111443055</v>
      </c>
      <c r="G1856" s="885">
        <v>0.99713998716930174</v>
      </c>
      <c r="H1856" s="885">
        <v>1.0114949630347259</v>
      </c>
      <c r="I1856" s="885">
        <v>1.0390748992921854</v>
      </c>
      <c r="K1856">
        <v>1.9503900596117951</v>
      </c>
      <c r="L1856">
        <v>0</v>
      </c>
      <c r="M1856">
        <v>2.0527610345832848E-3</v>
      </c>
      <c r="N1856">
        <v>0.19606426782991734</v>
      </c>
      <c r="O1856">
        <v>2.5202736508601466E-2</v>
      </c>
      <c r="P1856">
        <v>2.1017982305502187E-2</v>
      </c>
      <c r="Q1856">
        <v>2.9090555873513666E-3</v>
      </c>
      <c r="R1856">
        <v>2.0406499767502608E-3</v>
      </c>
      <c r="S1856">
        <v>0.21551884385949063</v>
      </c>
      <c r="T1856">
        <v>1.0599562095806474</v>
      </c>
      <c r="U1856">
        <v>3.7329076331023323E-2</v>
      </c>
      <c r="V1856">
        <v>0.24832124666513583</v>
      </c>
      <c r="W1856">
        <v>0.11859068673863252</v>
      </c>
      <c r="X1856">
        <v>1.9938088726694576E-2</v>
      </c>
      <c r="Y1856">
        <v>5.553976536630166E-3</v>
      </c>
    </row>
    <row r="1857" spans="1:25" x14ac:dyDescent="0.25">
      <c r="A1857" s="881"/>
      <c r="B1857" s="1131">
        <v>1607</v>
      </c>
      <c r="C1857" s="885">
        <v>1.0153873674706748</v>
      </c>
      <c r="D1857" s="885">
        <v>0.98767480115093664</v>
      </c>
      <c r="E1857" s="885">
        <v>1.0145422970805624</v>
      </c>
      <c r="F1857" s="885">
        <v>1.0247952955828663</v>
      </c>
      <c r="G1857" s="885">
        <v>1.014290652423836</v>
      </c>
      <c r="H1857" s="885">
        <v>0.98855659608674817</v>
      </c>
      <c r="I1857" s="885">
        <v>1.0004073372566504</v>
      </c>
      <c r="K1857">
        <v>1.9305201874607765</v>
      </c>
      <c r="L1857">
        <v>0</v>
      </c>
      <c r="M1857">
        <v>1.8555595082301016E-3</v>
      </c>
      <c r="N1857">
        <v>0.19558816363800927</v>
      </c>
      <c r="O1857">
        <v>2.4920405215175565E-2</v>
      </c>
      <c r="P1857">
        <v>2.1283199455329537E-2</v>
      </c>
      <c r="Q1857">
        <v>2.967960999872551E-3</v>
      </c>
      <c r="R1857">
        <v>1.8443645525442758E-3</v>
      </c>
      <c r="S1857">
        <v>0.20281026669933333</v>
      </c>
      <c r="T1857">
        <v>1.0570406336151275</v>
      </c>
      <c r="U1857">
        <v>3.6754751729757694E-2</v>
      </c>
      <c r="V1857">
        <v>0.247198821658007</v>
      </c>
      <c r="W1857">
        <v>0.11576012362809138</v>
      </c>
      <c r="X1857">
        <v>2.1187303460344219E-2</v>
      </c>
      <c r="Y1857">
        <v>5.0197523174141763E-3</v>
      </c>
    </row>
    <row r="1858" spans="1:25" x14ac:dyDescent="0.25">
      <c r="A1858" s="881"/>
      <c r="B1858" s="1131">
        <v>1608</v>
      </c>
      <c r="C1858" s="885">
        <v>0.98627606023345815</v>
      </c>
      <c r="D1858" s="885">
        <v>0.99147590481635728</v>
      </c>
      <c r="E1858" s="885">
        <v>1.0275773316310759</v>
      </c>
      <c r="F1858" s="885">
        <v>0.9821904611794875</v>
      </c>
      <c r="G1858" s="885">
        <v>0.96441216529080065</v>
      </c>
      <c r="H1858" s="885">
        <v>0.99054307255013452</v>
      </c>
      <c r="I1858" s="885">
        <v>1.0072743916985416</v>
      </c>
      <c r="K1858">
        <v>1.956004638145683</v>
      </c>
      <c r="L1858">
        <v>0</v>
      </c>
      <c r="M1858">
        <v>1.8586330693181957E-3</v>
      </c>
      <c r="N1858">
        <v>0.20400961217696803</v>
      </c>
      <c r="O1858">
        <v>2.5607160613385454E-2</v>
      </c>
      <c r="P1858">
        <v>2.1637892368241245E-2</v>
      </c>
      <c r="Q1858">
        <v>3.0903379230520778E-3</v>
      </c>
      <c r="R1858">
        <v>1.8474390653820953E-3</v>
      </c>
      <c r="S1858">
        <v>0.21006511571579392</v>
      </c>
      <c r="T1858">
        <v>1.0558539850000834</v>
      </c>
      <c r="U1858">
        <v>3.783961925638029E-2</v>
      </c>
      <c r="V1858">
        <v>0.25085269792326259</v>
      </c>
      <c r="W1858">
        <v>0.11968780041712028</v>
      </c>
      <c r="X1858">
        <v>2.2343490627486803E-2</v>
      </c>
      <c r="Y1858">
        <v>5.0281201278458351E-3</v>
      </c>
    </row>
    <row r="1859" spans="1:25" x14ac:dyDescent="0.25">
      <c r="A1859" s="881"/>
      <c r="B1859" s="1131">
        <v>1609</v>
      </c>
      <c r="C1859" s="885">
        <v>0.98552126104928006</v>
      </c>
      <c r="D1859" s="885">
        <v>1.0141651453018359</v>
      </c>
      <c r="E1859" s="885">
        <v>0.98223945414346125</v>
      </c>
      <c r="F1859" s="885">
        <v>1.0114502313908282</v>
      </c>
      <c r="G1859" s="885">
        <v>1.0043128420582861</v>
      </c>
      <c r="H1859" s="885">
        <v>0.98250187670137989</v>
      </c>
      <c r="I1859" s="885">
        <v>1.0391005700628613</v>
      </c>
      <c r="K1859">
        <v>1.9413423998421506</v>
      </c>
      <c r="L1859">
        <v>0</v>
      </c>
      <c r="M1859">
        <v>2.0073565603264823E-3</v>
      </c>
      <c r="N1859">
        <v>0.1913463826023421</v>
      </c>
      <c r="O1859">
        <v>2.534146511918358E-2</v>
      </c>
      <c r="P1859">
        <v>2.0990546392764674E-2</v>
      </c>
      <c r="Q1859">
        <v>2.9269909046922551E-3</v>
      </c>
      <c r="R1859">
        <v>1.9951487886851948E-3</v>
      </c>
      <c r="S1859">
        <v>0.21377702687081454</v>
      </c>
      <c r="T1859">
        <v>1.060009900682142</v>
      </c>
      <c r="U1859">
        <v>3.7868600177313416E-2</v>
      </c>
      <c r="V1859">
        <v>0.24811900059148831</v>
      </c>
      <c r="W1859">
        <v>0.11578356766444646</v>
      </c>
      <c r="X1859">
        <v>1.9760989306423244E-2</v>
      </c>
      <c r="Y1859">
        <v>5.4301373021796717E-3</v>
      </c>
    </row>
    <row r="1860" spans="1:25" x14ac:dyDescent="0.25">
      <c r="A1860" s="881"/>
      <c r="B1860" s="1131">
        <v>1610</v>
      </c>
      <c r="C1860" s="885">
        <v>0.95686050359056274</v>
      </c>
      <c r="D1860" s="885">
        <v>0.99694855329024068</v>
      </c>
      <c r="E1860" s="885">
        <v>0.99516330001958453</v>
      </c>
      <c r="F1860" s="885">
        <v>0.97152124852188937</v>
      </c>
      <c r="G1860" s="885">
        <v>1.0279843010841716</v>
      </c>
      <c r="H1860" s="885">
        <v>0.97880862378779954</v>
      </c>
      <c r="I1860" s="885">
        <v>1.0267557976709702</v>
      </c>
      <c r="K1860">
        <v>1.9693443837334579</v>
      </c>
      <c r="L1860">
        <v>0</v>
      </c>
      <c r="M1860">
        <v>2.0215378918555667E-3</v>
      </c>
      <c r="N1860">
        <v>0.20060755354371415</v>
      </c>
      <c r="O1860">
        <v>2.6322492985906547E-2</v>
      </c>
      <c r="P1860">
        <v>2.1352279973211492E-2</v>
      </c>
      <c r="Q1860">
        <v>3.0766411618715337E-3</v>
      </c>
      <c r="R1860">
        <v>2.0092120855811153E-3</v>
      </c>
      <c r="S1860">
        <v>0.21887709748057138</v>
      </c>
      <c r="T1860">
        <v>1.0588170696208787</v>
      </c>
      <c r="U1860">
        <v>3.9002874986348232E-2</v>
      </c>
      <c r="V1860">
        <v>0.25456397468172731</v>
      </c>
      <c r="W1860">
        <v>0.1203103502791027</v>
      </c>
      <c r="X1860">
        <v>2.0957961866032448E-2</v>
      </c>
      <c r="Y1860">
        <v>5.468412960365791E-3</v>
      </c>
    </row>
    <row r="1861" spans="1:25" x14ac:dyDescent="0.25">
      <c r="A1861" s="881"/>
      <c r="B1861" s="1131">
        <v>1611</v>
      </c>
      <c r="C1861" s="885">
        <v>1.0007500031813976</v>
      </c>
      <c r="D1861" s="885">
        <v>1.034323787196564</v>
      </c>
      <c r="E1861" s="885">
        <v>1.0093917068280864</v>
      </c>
      <c r="F1861" s="885">
        <v>1.0323880204871918</v>
      </c>
      <c r="G1861" s="885">
        <v>0.97254823336383034</v>
      </c>
      <c r="H1861" s="885">
        <v>1.0379554549577243</v>
      </c>
      <c r="I1861" s="885">
        <v>0.99369215016719314</v>
      </c>
      <c r="K1861">
        <v>1.941773973327837</v>
      </c>
      <c r="L1861">
        <v>0</v>
      </c>
      <c r="M1861">
        <v>1.9533477874097305E-3</v>
      </c>
      <c r="N1861">
        <v>0.20268037467954705</v>
      </c>
      <c r="O1861">
        <v>2.4714677440460592E-2</v>
      </c>
      <c r="P1861">
        <v>2.1196526482119459E-2</v>
      </c>
      <c r="Q1861">
        <v>2.9377514506823336E-3</v>
      </c>
      <c r="R1861">
        <v>1.9420879469981129E-3</v>
      </c>
      <c r="S1861">
        <v>0.20500099628132668</v>
      </c>
      <c r="T1861">
        <v>1.0575113493516675</v>
      </c>
      <c r="U1861">
        <v>3.7292341226355323E-2</v>
      </c>
      <c r="V1861">
        <v>0.24357161501222768</v>
      </c>
      <c r="W1861">
        <v>0.12037767678959269</v>
      </c>
      <c r="X1861">
        <v>2.1216201271660778E-2</v>
      </c>
      <c r="Y1861">
        <v>5.2857231826091951E-3</v>
      </c>
    </row>
    <row r="1862" spans="1:25" x14ac:dyDescent="0.25">
      <c r="A1862" s="881"/>
      <c r="B1862" s="1131">
        <v>1612</v>
      </c>
      <c r="C1862" s="885">
        <v>1.0057282620890458</v>
      </c>
      <c r="D1862" s="885">
        <v>0.95831084626849772</v>
      </c>
      <c r="E1862" s="885">
        <v>0.98899486513829715</v>
      </c>
      <c r="F1862" s="885">
        <v>1.0186119822037298</v>
      </c>
      <c r="G1862" s="885">
        <v>1.0161782531725856</v>
      </c>
      <c r="H1862" s="885">
        <v>0.99586413058383272</v>
      </c>
      <c r="I1862" s="885">
        <v>0.97637626624161</v>
      </c>
      <c r="K1862">
        <v>1.9428383649319394</v>
      </c>
      <c r="L1862">
        <v>0</v>
      </c>
      <c r="M1862">
        <v>2.0216395489243665E-3</v>
      </c>
      <c r="N1862">
        <v>0.19682609593530578</v>
      </c>
      <c r="O1862">
        <v>2.5539894171319195E-2</v>
      </c>
      <c r="P1862">
        <v>2.0996100534106724E-2</v>
      </c>
      <c r="Q1862">
        <v>2.9583909763853714E-3</v>
      </c>
      <c r="R1862">
        <v>2.0095577010554085E-3</v>
      </c>
      <c r="S1862">
        <v>0.20337103472972767</v>
      </c>
      <c r="T1862">
        <v>1.0593855874144804</v>
      </c>
      <c r="U1862">
        <v>3.7107747696576765E-2</v>
      </c>
      <c r="V1862">
        <v>0.25237985186957551</v>
      </c>
      <c r="W1862">
        <v>0.11854454993297486</v>
      </c>
      <c r="X1862">
        <v>2.0271839907598611E-2</v>
      </c>
      <c r="Y1862">
        <v>5.4693536117547091E-3</v>
      </c>
    </row>
    <row r="1863" spans="1:25" x14ac:dyDescent="0.25">
      <c r="A1863" s="881"/>
      <c r="B1863" s="1131">
        <v>1613</v>
      </c>
      <c r="C1863" s="885">
        <v>1.0234908603670336</v>
      </c>
      <c r="D1863" s="885">
        <v>1.003478767948923</v>
      </c>
      <c r="E1863" s="885">
        <v>1.0064358735214398</v>
      </c>
      <c r="F1863" s="885">
        <v>1.0185783256085861</v>
      </c>
      <c r="G1863" s="885">
        <v>1.0071260980619903</v>
      </c>
      <c r="H1863" s="885">
        <v>0.9738904644142875</v>
      </c>
      <c r="I1863" s="885">
        <v>1.0256807691521932</v>
      </c>
      <c r="K1863">
        <v>1.9156856706615277</v>
      </c>
      <c r="L1863">
        <v>0</v>
      </c>
      <c r="M1863">
        <v>1.8303977522043998E-3</v>
      </c>
      <c r="N1863">
        <v>0.18811616155919242</v>
      </c>
      <c r="O1863">
        <v>2.452947192829006E-2</v>
      </c>
      <c r="P1863">
        <v>2.1127072132729977E-2</v>
      </c>
      <c r="Q1863">
        <v>2.9010450693226996E-3</v>
      </c>
      <c r="R1863">
        <v>1.8191759383159184E-3</v>
      </c>
      <c r="S1863">
        <v>0.20330455153518862</v>
      </c>
      <c r="T1863">
        <v>1.057781952445304</v>
      </c>
      <c r="U1863">
        <v>3.646374583895505E-2</v>
      </c>
      <c r="V1863">
        <v>0.244143335339506</v>
      </c>
      <c r="W1863">
        <v>0.11195252529099371</v>
      </c>
      <c r="X1863">
        <v>2.0425834123022433E-2</v>
      </c>
      <c r="Y1863">
        <v>4.9511972129090342E-3</v>
      </c>
    </row>
    <row r="1864" spans="1:25" x14ac:dyDescent="0.25">
      <c r="A1864" s="881"/>
      <c r="B1864" s="1131">
        <v>1614</v>
      </c>
      <c r="C1864" s="885">
        <v>1.0126276430622849</v>
      </c>
      <c r="D1864" s="885">
        <v>0.96851220417997441</v>
      </c>
      <c r="E1864" s="885">
        <v>0.99642087869959151</v>
      </c>
      <c r="F1864" s="885">
        <v>0.98455400219095535</v>
      </c>
      <c r="G1864" s="885">
        <v>0.95160640114407657</v>
      </c>
      <c r="H1864" s="885">
        <v>1.0296578073207108</v>
      </c>
      <c r="I1864" s="885">
        <v>0.99248418027419427</v>
      </c>
      <c r="K1864">
        <v>1.9529071875506516</v>
      </c>
      <c r="L1864">
        <v>0</v>
      </c>
      <c r="M1864">
        <v>2.0330926665482777E-3</v>
      </c>
      <c r="N1864">
        <v>0.20260908980848968</v>
      </c>
      <c r="O1864">
        <v>2.5232591905814044E-2</v>
      </c>
      <c r="P1864">
        <v>2.112819332703748E-2</v>
      </c>
      <c r="Q1864">
        <v>2.9469929582463684E-3</v>
      </c>
      <c r="R1864">
        <v>2.0213323801834232E-3</v>
      </c>
      <c r="S1864">
        <v>0.20772220397441482</v>
      </c>
      <c r="T1864">
        <v>1.0587013457189376</v>
      </c>
      <c r="U1864">
        <v>3.6854919828236778E-2</v>
      </c>
      <c r="V1864">
        <v>0.25004096963306471</v>
      </c>
      <c r="W1864">
        <v>0.12140591045061244</v>
      </c>
      <c r="X1864">
        <v>2.077532982534366E-2</v>
      </c>
      <c r="Y1864">
        <v>5.5014004068192303E-3</v>
      </c>
    </row>
    <row r="1865" spans="1:25" x14ac:dyDescent="0.25">
      <c r="A1865" s="881"/>
      <c r="B1865" s="1131">
        <v>1615</v>
      </c>
      <c r="C1865" s="885">
        <v>0.98838128498254796</v>
      </c>
      <c r="D1865" s="885">
        <v>1.0151372108508101</v>
      </c>
      <c r="E1865" s="885">
        <v>1.0312047682210073</v>
      </c>
      <c r="F1865" s="885">
        <v>1.0011169823808079</v>
      </c>
      <c r="G1865" s="885">
        <v>1.0236016288916745</v>
      </c>
      <c r="H1865" s="885">
        <v>0.97043042942582158</v>
      </c>
      <c r="I1865" s="885">
        <v>0.98924372473805922</v>
      </c>
      <c r="K1865">
        <v>1.9328280040348667</v>
      </c>
      <c r="L1865">
        <v>0</v>
      </c>
      <c r="M1865">
        <v>1.7822259609514886E-3</v>
      </c>
      <c r="N1865">
        <v>0.19781140506935119</v>
      </c>
      <c r="O1865">
        <v>2.525618023319515E-2</v>
      </c>
      <c r="P1865">
        <v>2.1525942173311954E-2</v>
      </c>
      <c r="Q1865">
        <v>3.0639615294673706E-3</v>
      </c>
      <c r="R1865">
        <v>1.7712517761229877E-3</v>
      </c>
      <c r="S1865">
        <v>0.20162829677955871</v>
      </c>
      <c r="T1865">
        <v>1.0555249424092008</v>
      </c>
      <c r="U1865">
        <v>3.7759021915895447E-2</v>
      </c>
      <c r="V1865">
        <v>0.24759026296788028</v>
      </c>
      <c r="W1865">
        <v>0.1157695789412255</v>
      </c>
      <c r="X1865">
        <v>2.2088622758991507E-2</v>
      </c>
      <c r="Y1865">
        <v>4.8207634416156976E-3</v>
      </c>
    </row>
    <row r="1866" spans="1:25" x14ac:dyDescent="0.25">
      <c r="A1866" s="881"/>
      <c r="B1866" s="1131">
        <v>1616</v>
      </c>
      <c r="C1866" s="885">
        <v>1.0072347171392659</v>
      </c>
      <c r="D1866" s="885">
        <v>1.0052098019629276</v>
      </c>
      <c r="E1866" s="885">
        <v>0.986176400354149</v>
      </c>
      <c r="F1866" s="885">
        <v>0.96971096102735355</v>
      </c>
      <c r="G1866" s="885">
        <v>1.0422395272774967</v>
      </c>
      <c r="H1866" s="885">
        <v>0.98894374602844193</v>
      </c>
      <c r="I1866" s="885">
        <v>0.98181889554942392</v>
      </c>
      <c r="K1866">
        <v>1.9202788079253412</v>
      </c>
      <c r="L1866">
        <v>0</v>
      </c>
      <c r="M1866">
        <v>1.9692859077104908E-3</v>
      </c>
      <c r="N1866">
        <v>0.19004175003835039</v>
      </c>
      <c r="O1866">
        <v>2.4904119308236147E-2</v>
      </c>
      <c r="P1866">
        <v>2.0812166959008858E-2</v>
      </c>
      <c r="Q1866">
        <v>2.8862053110796796E-3</v>
      </c>
      <c r="R1866">
        <v>1.9573949548782632E-3</v>
      </c>
      <c r="S1866">
        <v>0.19907638251208831</v>
      </c>
      <c r="T1866">
        <v>1.0596458453643061</v>
      </c>
      <c r="U1866">
        <v>3.7052248066779848E-2</v>
      </c>
      <c r="V1866">
        <v>0.24615529700385697</v>
      </c>
      <c r="W1866">
        <v>0.1146813456436455</v>
      </c>
      <c r="X1866">
        <v>1.9707954858714679E-2</v>
      </c>
      <c r="Y1866">
        <v>5.3273838121051728E-3</v>
      </c>
    </row>
    <row r="1867" spans="1:25" x14ac:dyDescent="0.25">
      <c r="A1867" s="881"/>
      <c r="B1867" s="1131">
        <v>1617</v>
      </c>
      <c r="C1867" s="885">
        <v>0.99478388345693602</v>
      </c>
      <c r="D1867" s="885">
        <v>0.99998617463021722</v>
      </c>
      <c r="E1867" s="885">
        <v>1.0076889407671172</v>
      </c>
      <c r="F1867" s="885">
        <v>1.0432369947870697</v>
      </c>
      <c r="G1867" s="885">
        <v>0.99685927374689831</v>
      </c>
      <c r="H1867" s="885">
        <v>1.0039662295990273</v>
      </c>
      <c r="I1867" s="885">
        <v>0.96443088056516901</v>
      </c>
      <c r="K1867">
        <v>1.9386821953239164</v>
      </c>
      <c r="L1867">
        <v>0</v>
      </c>
      <c r="M1867">
        <v>1.9395952052314728E-3</v>
      </c>
      <c r="N1867">
        <v>0.20015423933884308</v>
      </c>
      <c r="O1867">
        <v>2.5280913383319663E-2</v>
      </c>
      <c r="P1867">
        <v>2.1173912250973911E-2</v>
      </c>
      <c r="Q1867">
        <v>2.9929430219823947E-3</v>
      </c>
      <c r="R1867">
        <v>1.9280629338732629E-3</v>
      </c>
      <c r="S1867">
        <v>0.19994592904627784</v>
      </c>
      <c r="T1867">
        <v>1.0576671939785443</v>
      </c>
      <c r="U1867">
        <v>3.7515998420909781E-2</v>
      </c>
      <c r="V1867">
        <v>0.24854592666076314</v>
      </c>
      <c r="W1867">
        <v>0.11901509420372905</v>
      </c>
      <c r="X1867">
        <v>2.1154025569703413E-2</v>
      </c>
      <c r="Y1867">
        <v>5.2475517202276896E-3</v>
      </c>
    </row>
    <row r="1868" spans="1:25" x14ac:dyDescent="0.25">
      <c r="A1868" s="881"/>
      <c r="B1868" s="1131">
        <v>1618</v>
      </c>
      <c r="C1868" s="885">
        <v>1.0217686051400687</v>
      </c>
      <c r="D1868" s="885">
        <v>0.9947129192098999</v>
      </c>
      <c r="E1868" s="885">
        <v>0.99433141979800355</v>
      </c>
      <c r="F1868" s="885">
        <v>1.0031504324946212</v>
      </c>
      <c r="G1868" s="885">
        <v>0.99442213784727918</v>
      </c>
      <c r="H1868" s="885">
        <v>0.95259422018009088</v>
      </c>
      <c r="I1868" s="885">
        <v>0.96471994494943381</v>
      </c>
      <c r="K1868">
        <v>1.896734906251381</v>
      </c>
      <c r="L1868">
        <v>0</v>
      </c>
      <c r="M1868">
        <v>1.8476972487819138E-3</v>
      </c>
      <c r="N1868">
        <v>0.18285165187076169</v>
      </c>
      <c r="O1868">
        <v>2.4677774034107335E-2</v>
      </c>
      <c r="P1868">
        <v>2.0793712520230382E-2</v>
      </c>
      <c r="Q1868">
        <v>2.8815324083504624E-3</v>
      </c>
      <c r="R1868">
        <v>1.8361231703050145E-3</v>
      </c>
      <c r="S1868">
        <v>0.19027576278843081</v>
      </c>
      <c r="T1868">
        <v>1.0588936540615077</v>
      </c>
      <c r="U1868">
        <v>3.6525207775199624E-2</v>
      </c>
      <c r="V1868">
        <v>0.24544549923024947</v>
      </c>
      <c r="W1868">
        <v>0.10972427246960401</v>
      </c>
      <c r="X1868">
        <v>1.96800911796845E-2</v>
      </c>
      <c r="Y1868">
        <v>4.9973219917298318E-3</v>
      </c>
    </row>
    <row r="1869" spans="1:25" x14ac:dyDescent="0.25">
      <c r="A1869" s="881"/>
      <c r="B1869" s="1131">
        <v>1619</v>
      </c>
      <c r="C1869" s="885">
        <v>0.99120135315210967</v>
      </c>
      <c r="D1869" s="885">
        <v>0.96697752594666009</v>
      </c>
      <c r="E1869" s="885">
        <v>0.95927265138781292</v>
      </c>
      <c r="F1869" s="885">
        <v>0.98742024684969143</v>
      </c>
      <c r="G1869" s="885">
        <v>0.97388548873299274</v>
      </c>
      <c r="H1869" s="885">
        <v>0.98850880314058176</v>
      </c>
      <c r="I1869" s="885">
        <v>0.9982970724753748</v>
      </c>
      <c r="K1869">
        <v>1.9456810004058862</v>
      </c>
      <c r="L1869">
        <v>0</v>
      </c>
      <c r="M1869">
        <v>2.1574059531619051E-3</v>
      </c>
      <c r="N1869">
        <v>0.19144930533176413</v>
      </c>
      <c r="O1869">
        <v>2.5798367030257854E-2</v>
      </c>
      <c r="P1869">
        <v>2.0660109622702212E-2</v>
      </c>
      <c r="Q1869">
        <v>2.9009672753908672E-3</v>
      </c>
      <c r="R1869">
        <v>2.1444085510124943E-3</v>
      </c>
      <c r="S1869">
        <v>0.20934724152754067</v>
      </c>
      <c r="T1869">
        <v>1.0621456443638535</v>
      </c>
      <c r="U1869">
        <v>3.7651593676940563E-2</v>
      </c>
      <c r="V1869">
        <v>0.25333586651720624</v>
      </c>
      <c r="W1869">
        <v>0.11771906450565069</v>
      </c>
      <c r="X1869">
        <v>1.8849464784959684E-2</v>
      </c>
      <c r="Y1869">
        <v>5.8363731717671532E-3</v>
      </c>
    </row>
    <row r="1870" spans="1:25" x14ac:dyDescent="0.25">
      <c r="A1870" s="881"/>
      <c r="B1870" s="1131">
        <v>1620</v>
      </c>
      <c r="C1870" s="885">
        <v>0.97853924575022266</v>
      </c>
      <c r="D1870" s="885">
        <v>1.0105155539781301</v>
      </c>
      <c r="E1870" s="885">
        <v>0.9747741080920117</v>
      </c>
      <c r="F1870" s="885">
        <v>1.0135189150923003</v>
      </c>
      <c r="G1870" s="885">
        <v>0.98587142563812025</v>
      </c>
      <c r="H1870" s="885">
        <v>1.0196214959544554</v>
      </c>
      <c r="I1870" s="885">
        <v>1.0280322167031726</v>
      </c>
      <c r="K1870">
        <v>1.9605375913980956</v>
      </c>
      <c r="L1870">
        <v>0</v>
      </c>
      <c r="M1870">
        <v>2.1349889778089276E-3</v>
      </c>
      <c r="N1870">
        <v>0.19887763074854597</v>
      </c>
      <c r="O1870">
        <v>2.5567787958533428E-2</v>
      </c>
      <c r="P1870">
        <v>2.0951053341299521E-2</v>
      </c>
      <c r="Q1870">
        <v>2.9300577806694677E-3</v>
      </c>
      <c r="R1870">
        <v>2.1224808010731149E-3</v>
      </c>
      <c r="S1870">
        <v>0.21728707413267159</v>
      </c>
      <c r="T1870">
        <v>1.0607018834546742</v>
      </c>
      <c r="U1870">
        <v>3.8138797971566572E-2</v>
      </c>
      <c r="V1870">
        <v>0.24957722138154295</v>
      </c>
      <c r="W1870">
        <v>0.1209663773751484</v>
      </c>
      <c r="X1870">
        <v>1.9775522365266723E-2</v>
      </c>
      <c r="Y1870">
        <v>5.7766930649129876E-3</v>
      </c>
    </row>
    <row r="1871" spans="1:25" x14ac:dyDescent="0.25">
      <c r="A1871" s="881"/>
      <c r="B1871" s="1131">
        <v>1621</v>
      </c>
      <c r="C1871" s="885">
        <v>0.99278186705454319</v>
      </c>
      <c r="D1871" s="885">
        <v>1.0151353764668358</v>
      </c>
      <c r="E1871" s="885">
        <v>0.97082478069611178</v>
      </c>
      <c r="F1871" s="885">
        <v>1.0251018323557683</v>
      </c>
      <c r="G1871" s="885">
        <v>1.0452977724079848</v>
      </c>
      <c r="H1871" s="885">
        <v>0.99126739046857815</v>
      </c>
      <c r="I1871" s="885">
        <v>0.97086674049075739</v>
      </c>
      <c r="K1871">
        <v>1.9227683983491568</v>
      </c>
      <c r="L1871">
        <v>0</v>
      </c>
      <c r="M1871">
        <v>2.058213537059715E-3</v>
      </c>
      <c r="N1871">
        <v>0.18934760987657351</v>
      </c>
      <c r="O1871">
        <v>2.5144252713595324E-2</v>
      </c>
      <c r="P1871">
        <v>2.0607173331915259E-2</v>
      </c>
      <c r="Q1871">
        <v>2.8708386351795124E-3</v>
      </c>
      <c r="R1871">
        <v>2.0458063460690934E-3</v>
      </c>
      <c r="S1871">
        <v>0.19905261591213042</v>
      </c>
      <c r="T1871">
        <v>1.0610688303850901</v>
      </c>
      <c r="U1871">
        <v>3.7591652143729712E-2</v>
      </c>
      <c r="V1871">
        <v>0.24696791025003539</v>
      </c>
      <c r="W1871">
        <v>0.11548743716882109</v>
      </c>
      <c r="X1871">
        <v>1.9074474648956393E-2</v>
      </c>
      <c r="Y1871">
        <v>5.5680104741193427E-3</v>
      </c>
    </row>
    <row r="1872" spans="1:25" x14ac:dyDescent="0.25">
      <c r="A1872" s="881"/>
      <c r="B1872" s="1131">
        <v>1622</v>
      </c>
      <c r="C1872" s="885">
        <v>1.0057496585562473</v>
      </c>
      <c r="D1872" s="885">
        <v>0.99306705211394786</v>
      </c>
      <c r="E1872" s="885">
        <v>1.0020143614927342</v>
      </c>
      <c r="F1872" s="885">
        <v>0.99907890734733129</v>
      </c>
      <c r="G1872" s="885">
        <v>0.99237095812641307</v>
      </c>
      <c r="H1872" s="885">
        <v>0.99118518906686948</v>
      </c>
      <c r="I1872" s="885">
        <v>1.0022023982231667</v>
      </c>
      <c r="K1872">
        <v>1.9344756814920669</v>
      </c>
      <c r="L1872">
        <v>0</v>
      </c>
      <c r="M1872">
        <v>1.9234085526243403E-3</v>
      </c>
      <c r="N1872">
        <v>0.19499730857858333</v>
      </c>
      <c r="O1872">
        <v>2.5091402466043404E-2</v>
      </c>
      <c r="P1872">
        <v>2.1144386413504062E-2</v>
      </c>
      <c r="Q1872">
        <v>2.9522255198170585E-3</v>
      </c>
      <c r="R1872">
        <v>1.9118306385661702E-3</v>
      </c>
      <c r="S1872">
        <v>0.20487453840427983</v>
      </c>
      <c r="T1872">
        <v>1.0581873727827473</v>
      </c>
      <c r="U1872">
        <v>3.7106958260856034E-2</v>
      </c>
      <c r="V1872">
        <v>0.24786441780631066</v>
      </c>
      <c r="W1872">
        <v>0.11639824733128447</v>
      </c>
      <c r="X1872">
        <v>2.0667029079322861E-2</v>
      </c>
      <c r="Y1872">
        <v>5.2033727633764917E-3</v>
      </c>
    </row>
    <row r="1873" spans="1:25" x14ac:dyDescent="0.25">
      <c r="A1873" s="881"/>
      <c r="B1873" s="1131">
        <v>1623</v>
      </c>
      <c r="C1873" s="885">
        <v>0.99002716474098329</v>
      </c>
      <c r="D1873" s="885">
        <v>1.03708373463102</v>
      </c>
      <c r="E1873" s="885">
        <v>0.99425123753590716</v>
      </c>
      <c r="F1873" s="885">
        <v>1.0248372643143027</v>
      </c>
      <c r="G1873" s="885">
        <v>0.99177653885633688</v>
      </c>
      <c r="H1873" s="885">
        <v>1.0016447767229009</v>
      </c>
      <c r="I1873" s="885">
        <v>0.99350207437793758</v>
      </c>
      <c r="K1873">
        <v>1.9301539034751838</v>
      </c>
      <c r="L1873">
        <v>0</v>
      </c>
      <c r="M1873">
        <v>1.9646026413649119E-3</v>
      </c>
      <c r="N1873">
        <v>0.19442896883175154</v>
      </c>
      <c r="O1873">
        <v>2.494958589454218E-2</v>
      </c>
      <c r="P1873">
        <v>2.0975910514432174E-2</v>
      </c>
      <c r="Q1873">
        <v>2.9214606101362595E-3</v>
      </c>
      <c r="R1873">
        <v>1.9528652568402845E-3</v>
      </c>
      <c r="S1873">
        <v>0.20330746402505609</v>
      </c>
      <c r="T1873">
        <v>1.0589010372125234</v>
      </c>
      <c r="U1873">
        <v>3.7696249082903525E-2</v>
      </c>
      <c r="V1873">
        <v>0.24473474517489088</v>
      </c>
      <c r="W1873">
        <v>0.11667793038675714</v>
      </c>
      <c r="X1873">
        <v>2.0257233659456045E-2</v>
      </c>
      <c r="Y1873">
        <v>5.3150554672603528E-3</v>
      </c>
    </row>
    <row r="1874" spans="1:25" x14ac:dyDescent="0.25">
      <c r="A1874" s="881"/>
      <c r="B1874" s="1131">
        <v>1624</v>
      </c>
      <c r="C1874" s="885">
        <v>1.0013642086436176</v>
      </c>
      <c r="D1874" s="885">
        <v>0.98010903851639086</v>
      </c>
      <c r="E1874" s="885">
        <v>0.97268150851298041</v>
      </c>
      <c r="F1874" s="885">
        <v>0.99252331209951428</v>
      </c>
      <c r="G1874" s="885">
        <v>0.97900581055508651</v>
      </c>
      <c r="H1874" s="885">
        <v>0.96023574276445611</v>
      </c>
      <c r="I1874" s="885">
        <v>1.0100765003347996</v>
      </c>
      <c r="K1874">
        <v>1.9255379050222978</v>
      </c>
      <c r="L1874">
        <v>0</v>
      </c>
      <c r="M1874">
        <v>2.0035185903965079E-3</v>
      </c>
      <c r="N1874">
        <v>0.18535240277291645</v>
      </c>
      <c r="O1874">
        <v>2.5365975929636637E-2</v>
      </c>
      <c r="P1874">
        <v>2.075781075645846E-2</v>
      </c>
      <c r="Q1874">
        <v>2.8945478864259668E-3</v>
      </c>
      <c r="R1874">
        <v>1.9910811369608416E-3</v>
      </c>
      <c r="S1874">
        <v>0.20545390044992226</v>
      </c>
      <c r="T1874">
        <v>1.0608962395833095</v>
      </c>
      <c r="U1874">
        <v>3.7269467271522007E-2</v>
      </c>
      <c r="V1874">
        <v>0.25013573505237152</v>
      </c>
      <c r="W1874">
        <v>0.11290426654926632</v>
      </c>
      <c r="X1874">
        <v>1.9100929728817922E-2</v>
      </c>
      <c r="Y1874">
        <v>5.4190664950870123E-3</v>
      </c>
    </row>
    <row r="1875" spans="1:25" x14ac:dyDescent="0.25">
      <c r="A1875" s="881"/>
      <c r="B1875" s="1131">
        <v>1625</v>
      </c>
      <c r="C1875" s="885">
        <v>1.0199822179879128</v>
      </c>
      <c r="D1875" s="885">
        <v>1.0332582755988635</v>
      </c>
      <c r="E1875" s="885">
        <v>0.99146103561630816</v>
      </c>
      <c r="F1875" s="885">
        <v>0.99835141260219529</v>
      </c>
      <c r="G1875" s="885">
        <v>0.99525950627944049</v>
      </c>
      <c r="H1875" s="885">
        <v>1.024715048457717</v>
      </c>
      <c r="I1875" s="885">
        <v>0.98460995680751162</v>
      </c>
      <c r="K1875">
        <v>1.9169406449742028</v>
      </c>
      <c r="L1875">
        <v>0</v>
      </c>
      <c r="M1875">
        <v>1.9658830430566462E-3</v>
      </c>
      <c r="N1875">
        <v>0.19289962670448749</v>
      </c>
      <c r="O1875">
        <v>2.4260989025270414E-2</v>
      </c>
      <c r="P1875">
        <v>2.0800936167837777E-2</v>
      </c>
      <c r="Q1875">
        <v>2.8321231225320424E-3</v>
      </c>
      <c r="R1875">
        <v>1.9544053297613343E-3</v>
      </c>
      <c r="S1875">
        <v>0.1981185184105772</v>
      </c>
      <c r="T1875">
        <v>1.0591581136813808</v>
      </c>
      <c r="U1875">
        <v>3.6589177676584907E-2</v>
      </c>
      <c r="V1875">
        <v>0.24110932356043366</v>
      </c>
      <c r="W1875">
        <v>0.11598248890586793</v>
      </c>
      <c r="X1875">
        <v>1.9881578394458685E-2</v>
      </c>
      <c r="Y1875">
        <v>5.3192470380665482E-3</v>
      </c>
    </row>
    <row r="1876" spans="1:25" x14ac:dyDescent="0.25">
      <c r="A1876" s="881"/>
      <c r="B1876" s="1131">
        <v>1626</v>
      </c>
      <c r="C1876" s="885">
        <v>1.0141365232066717</v>
      </c>
      <c r="D1876" s="885">
        <v>1.0232641240482214</v>
      </c>
      <c r="E1876" s="885">
        <v>1.0130833259797338</v>
      </c>
      <c r="F1876" s="885">
        <v>1.0465757982187311</v>
      </c>
      <c r="G1876" s="885">
        <v>0.99761423868958277</v>
      </c>
      <c r="H1876" s="885">
        <v>0.99801011271220219</v>
      </c>
      <c r="I1876" s="885">
        <v>1.0166435542744832</v>
      </c>
      <c r="K1876">
        <v>1.9245460380766184</v>
      </c>
      <c r="L1876">
        <v>0</v>
      </c>
      <c r="M1876">
        <v>1.8487699062781878E-3</v>
      </c>
      <c r="N1876">
        <v>0.1939991647651261</v>
      </c>
      <c r="O1876">
        <v>2.4518059464582263E-2</v>
      </c>
      <c r="P1876">
        <v>2.1221715412632434E-2</v>
      </c>
      <c r="Q1876">
        <v>2.9229834248911961E-3</v>
      </c>
      <c r="R1876">
        <v>1.8376944966285386E-3</v>
      </c>
      <c r="S1876">
        <v>0.20398186638920313</v>
      </c>
      <c r="T1876">
        <v>1.0571738647697568</v>
      </c>
      <c r="U1876">
        <v>3.6800085340493512E-2</v>
      </c>
      <c r="V1876">
        <v>0.2430472214330244</v>
      </c>
      <c r="W1876">
        <v>0.11493324544785594</v>
      </c>
      <c r="X1876">
        <v>2.0957308414705583E-2</v>
      </c>
      <c r="Y1876">
        <v>5.0015986239948795E-3</v>
      </c>
    </row>
    <row r="1877" spans="1:25" x14ac:dyDescent="0.25">
      <c r="A1877" s="881"/>
      <c r="B1877" s="1131">
        <v>1627</v>
      </c>
      <c r="C1877" s="885">
        <v>1.0169104801247426</v>
      </c>
      <c r="D1877" s="885">
        <v>0.99874740451188337</v>
      </c>
      <c r="E1877" s="885">
        <v>0.97671354282740019</v>
      </c>
      <c r="F1877" s="885">
        <v>1.0064622477210943</v>
      </c>
      <c r="G1877" s="885">
        <v>1.0196161187143156</v>
      </c>
      <c r="H1877" s="885">
        <v>0.99486112869533383</v>
      </c>
      <c r="I1877" s="885">
        <v>0.98344090669646489</v>
      </c>
      <c r="K1877">
        <v>1.9168011199985133</v>
      </c>
      <c r="L1877">
        <v>0</v>
      </c>
      <c r="M1877">
        <v>2.0079924989415202E-3</v>
      </c>
      <c r="N1877">
        <v>0.1881550889842801</v>
      </c>
      <c r="O1877">
        <v>2.4746014977611013E-2</v>
      </c>
      <c r="P1877">
        <v>2.0657513740834865E-2</v>
      </c>
      <c r="Q1877">
        <v>2.8391772259812407E-3</v>
      </c>
      <c r="R1877">
        <v>1.9959453254255804E-3</v>
      </c>
      <c r="S1877">
        <v>0.19867268130161467</v>
      </c>
      <c r="T1877">
        <v>1.0605219043824703</v>
      </c>
      <c r="U1877">
        <v>3.6699701035964233E-2</v>
      </c>
      <c r="V1877">
        <v>0.24560904389243851</v>
      </c>
      <c r="W1877">
        <v>0.11429007093558809</v>
      </c>
      <c r="X1877">
        <v>1.9189665482635832E-2</v>
      </c>
      <c r="Y1877">
        <v>5.4323052126087328E-3</v>
      </c>
    </row>
    <row r="1878" spans="1:25" x14ac:dyDescent="0.25">
      <c r="A1878" s="881"/>
      <c r="B1878" s="1131">
        <v>1628</v>
      </c>
      <c r="C1878" s="885">
        <v>1.0165184810709442</v>
      </c>
      <c r="D1878" s="885">
        <v>1.0154371331709753</v>
      </c>
      <c r="E1878" s="885">
        <v>1.0002470569882431</v>
      </c>
      <c r="F1878" s="885">
        <v>1.0093099461842772</v>
      </c>
      <c r="G1878" s="885">
        <v>1.03413581133093</v>
      </c>
      <c r="H1878" s="885">
        <v>1.0315478029612024</v>
      </c>
      <c r="I1878" s="885">
        <v>0.99056622269525996</v>
      </c>
      <c r="K1878">
        <v>1.9321101967682941</v>
      </c>
      <c r="L1878">
        <v>0</v>
      </c>
      <c r="M1878">
        <v>1.9661441775260776E-3</v>
      </c>
      <c r="N1878">
        <v>0.19828221608838159</v>
      </c>
      <c r="O1878">
        <v>2.4553506992493673E-2</v>
      </c>
      <c r="P1878">
        <v>2.1020266289518193E-2</v>
      </c>
      <c r="Q1878">
        <v>2.888286566996379E-3</v>
      </c>
      <c r="R1878">
        <v>1.9547545703716717E-3</v>
      </c>
      <c r="S1878">
        <v>0.2022644937443519</v>
      </c>
      <c r="T1878">
        <v>1.0583496348449564</v>
      </c>
      <c r="U1878">
        <v>3.6713853506724618E-2</v>
      </c>
      <c r="V1878">
        <v>0.24365219550377901</v>
      </c>
      <c r="W1878">
        <v>0.11850218263159906</v>
      </c>
      <c r="X1878">
        <v>2.0574752650767861E-2</v>
      </c>
      <c r="Y1878">
        <v>5.320197555880749E-3</v>
      </c>
    </row>
    <row r="1879" spans="1:25" x14ac:dyDescent="0.25">
      <c r="A1879" s="881"/>
      <c r="B1879" s="1131">
        <v>1629</v>
      </c>
      <c r="C1879" s="885">
        <v>0.99910976675575847</v>
      </c>
      <c r="D1879" s="885">
        <v>0.97759080050921043</v>
      </c>
      <c r="E1879" s="885">
        <v>0.96562959372189383</v>
      </c>
      <c r="F1879" s="885">
        <v>1.0171786965441958</v>
      </c>
      <c r="G1879" s="885">
        <v>1.0213940903933056</v>
      </c>
      <c r="H1879" s="885">
        <v>0.99973142454267994</v>
      </c>
      <c r="I1879" s="885">
        <v>0.97097896036720144</v>
      </c>
      <c r="K1879">
        <v>1.9355752180092349</v>
      </c>
      <c r="L1879">
        <v>0</v>
      </c>
      <c r="M1879">
        <v>2.1244678615413171E-3</v>
      </c>
      <c r="N1879">
        <v>0.19231479985807456</v>
      </c>
      <c r="O1879">
        <v>2.5455704647405777E-2</v>
      </c>
      <c r="P1879">
        <v>2.0619758170552355E-2</v>
      </c>
      <c r="Q1879">
        <v>2.8833938503106146E-3</v>
      </c>
      <c r="R1879">
        <v>2.1118028780121824E-3</v>
      </c>
      <c r="S1879">
        <v>0.20210950248039278</v>
      </c>
      <c r="T1879">
        <v>1.0615524538117349</v>
      </c>
      <c r="U1879">
        <v>3.7353563985367579E-2</v>
      </c>
      <c r="V1879">
        <v>0.25078416954161259</v>
      </c>
      <c r="W1879">
        <v>0.11772432905511539</v>
      </c>
      <c r="X1879">
        <v>1.9042576313879039E-2</v>
      </c>
      <c r="Y1879">
        <v>5.7476312783175179E-3</v>
      </c>
    </row>
    <row r="1880" spans="1:25" x14ac:dyDescent="0.25">
      <c r="A1880" s="881"/>
      <c r="B1880" s="1131">
        <v>1630</v>
      </c>
      <c r="C1880" s="885">
        <v>0.98751204279570204</v>
      </c>
      <c r="D1880" s="885">
        <v>1.0161100853560452</v>
      </c>
      <c r="E1880" s="885">
        <v>0.96926086693293811</v>
      </c>
      <c r="F1880" s="885">
        <v>0.9896820828814461</v>
      </c>
      <c r="G1880" s="885">
        <v>1.0002619570217297</v>
      </c>
      <c r="H1880" s="885">
        <v>0.98863519236507391</v>
      </c>
      <c r="I1880" s="885">
        <v>0.99619803898276771</v>
      </c>
      <c r="K1880">
        <v>1.9301909614066515</v>
      </c>
      <c r="L1880">
        <v>0</v>
      </c>
      <c r="M1880">
        <v>2.0694979480770375E-3</v>
      </c>
      <c r="N1880">
        <v>0.1894564724988117</v>
      </c>
      <c r="O1880">
        <v>2.5266454122654169E-2</v>
      </c>
      <c r="P1880">
        <v>2.0674466692297357E-2</v>
      </c>
      <c r="Q1880">
        <v>2.880374966740715E-3</v>
      </c>
      <c r="R1880">
        <v>2.0569886921879116E-3</v>
      </c>
      <c r="S1880">
        <v>0.20497931708379435</v>
      </c>
      <c r="T1880">
        <v>1.0612143063624815</v>
      </c>
      <c r="U1880">
        <v>3.7792258710345444E-2</v>
      </c>
      <c r="V1880">
        <v>0.247594016432445</v>
      </c>
      <c r="W1880">
        <v>0.11568018216384925</v>
      </c>
      <c r="X1880">
        <v>1.9067176495125498E-2</v>
      </c>
      <c r="Y1880">
        <v>5.598445133995357E-3</v>
      </c>
    </row>
    <row r="1881" spans="1:25" x14ac:dyDescent="0.25">
      <c r="A1881" s="881"/>
      <c r="B1881" s="1131">
        <v>1631</v>
      </c>
      <c r="C1881" s="885">
        <v>1.0025004290737174</v>
      </c>
      <c r="D1881" s="885">
        <v>0.9730296035413295</v>
      </c>
      <c r="E1881" s="885">
        <v>1.0181544088307748</v>
      </c>
      <c r="F1881" s="885">
        <v>1.0133322125153543</v>
      </c>
      <c r="G1881" s="885">
        <v>1.0018217084860885</v>
      </c>
      <c r="H1881" s="885">
        <v>0.97886963376305225</v>
      </c>
      <c r="I1881" s="885">
        <v>0.98786372545978696</v>
      </c>
      <c r="K1881">
        <v>1.9399847208741476</v>
      </c>
      <c r="L1881">
        <v>0</v>
      </c>
      <c r="M1881">
        <v>1.8605917873670118E-3</v>
      </c>
      <c r="N1881">
        <v>0.19832160698062148</v>
      </c>
      <c r="O1881">
        <v>2.5428608810706466E-2</v>
      </c>
      <c r="P1881">
        <v>2.1399108979675934E-2</v>
      </c>
      <c r="Q1881">
        <v>3.0362122549860283E-3</v>
      </c>
      <c r="R1881">
        <v>1.8492672163923462E-3</v>
      </c>
      <c r="S1881">
        <v>0.2032619073621641</v>
      </c>
      <c r="T1881">
        <v>1.0567111385131573</v>
      </c>
      <c r="U1881">
        <v>3.7227226561289184E-2</v>
      </c>
      <c r="V1881">
        <v>0.25089056887418776</v>
      </c>
      <c r="W1881">
        <v>0.11709145922473285</v>
      </c>
      <c r="X1881">
        <v>2.159511213135349E-2</v>
      </c>
      <c r="Y1881">
        <v>5.0330957522459205E-3</v>
      </c>
    </row>
    <row r="1882" spans="1:25" x14ac:dyDescent="0.25">
      <c r="A1882" s="881"/>
      <c r="B1882" s="1131">
        <v>1632</v>
      </c>
      <c r="C1882" s="885">
        <v>0.99601651481667075</v>
      </c>
      <c r="D1882" s="885">
        <v>1.0218091678414896</v>
      </c>
      <c r="E1882" s="885">
        <v>0.9617456857711022</v>
      </c>
      <c r="F1882" s="885">
        <v>1.0028918694901841</v>
      </c>
      <c r="G1882" s="885">
        <v>1.0423253061822475</v>
      </c>
      <c r="H1882" s="885">
        <v>0.9669756283214066</v>
      </c>
      <c r="I1882" s="885">
        <v>0.99593911388619527</v>
      </c>
      <c r="K1882">
        <v>1.9111142483505335</v>
      </c>
      <c r="L1882">
        <v>0</v>
      </c>
      <c r="M1882">
        <v>2.0330961086775655E-3</v>
      </c>
      <c r="N1882">
        <v>0.18178669405551007</v>
      </c>
      <c r="O1882">
        <v>2.498163854931245E-2</v>
      </c>
      <c r="P1882">
        <v>2.047561696735781E-2</v>
      </c>
      <c r="Q1882">
        <v>2.8271532052403874E-3</v>
      </c>
      <c r="R1882">
        <v>2.0205267865704541E-3</v>
      </c>
      <c r="S1882">
        <v>0.20048838955834472</v>
      </c>
      <c r="T1882">
        <v>1.0619146907060972</v>
      </c>
      <c r="U1882">
        <v>3.7469570078148946E-2</v>
      </c>
      <c r="V1882">
        <v>0.24570754134335873</v>
      </c>
      <c r="W1882">
        <v>0.11158338888766357</v>
      </c>
      <c r="X1882">
        <v>1.8392926475036479E-2</v>
      </c>
      <c r="Y1882">
        <v>5.4992078465685912E-3</v>
      </c>
    </row>
    <row r="1883" spans="1:25" x14ac:dyDescent="0.25">
      <c r="A1883" s="881"/>
      <c r="B1883" s="1131">
        <v>1633</v>
      </c>
      <c r="C1883" s="885">
        <v>1.0066100112153635</v>
      </c>
      <c r="D1883" s="885">
        <v>1.0008848232171559</v>
      </c>
      <c r="E1883" s="885">
        <v>0.9988774706367074</v>
      </c>
      <c r="F1883" s="885">
        <v>1.0201643368911784</v>
      </c>
      <c r="G1883" s="885">
        <v>1.0324837137668514</v>
      </c>
      <c r="H1883" s="885">
        <v>0.98501894163379866</v>
      </c>
      <c r="I1883" s="885">
        <v>1.0096003239174365</v>
      </c>
      <c r="K1883">
        <v>1.9289716889362154</v>
      </c>
      <c r="L1883">
        <v>0</v>
      </c>
      <c r="M1883">
        <v>1.9150236922187522E-3</v>
      </c>
      <c r="N1883">
        <v>0.19225386831390098</v>
      </c>
      <c r="O1883">
        <v>2.4972795867322612E-2</v>
      </c>
      <c r="P1883">
        <v>2.1083141729329864E-2</v>
      </c>
      <c r="Q1883">
        <v>2.9306261959340164E-3</v>
      </c>
      <c r="R1883">
        <v>1.9034177754309004E-3</v>
      </c>
      <c r="S1883">
        <v>0.20484378494637076</v>
      </c>
      <c r="T1883">
        <v>1.0584754647761978</v>
      </c>
      <c r="U1883">
        <v>3.7075242829998321E-2</v>
      </c>
      <c r="V1883">
        <v>0.24677194331339863</v>
      </c>
      <c r="W1883">
        <v>0.11500713531396006</v>
      </c>
      <c r="X1883">
        <v>2.0388815843366218E-2</v>
      </c>
      <c r="Y1883">
        <v>5.1804757232218742E-3</v>
      </c>
    </row>
    <row r="1884" spans="1:25" x14ac:dyDescent="0.25">
      <c r="A1884" s="881"/>
      <c r="B1884" s="1131">
        <v>1634</v>
      </c>
      <c r="C1884" s="885">
        <v>1.0026164304560108</v>
      </c>
      <c r="D1884" s="885">
        <v>0.9909296901706377</v>
      </c>
      <c r="E1884" s="885">
        <v>1.0100427268417635</v>
      </c>
      <c r="F1884" s="885">
        <v>1.0041473133159697</v>
      </c>
      <c r="G1884" s="885">
        <v>0.98061979199127647</v>
      </c>
      <c r="H1884" s="885">
        <v>0.99013379510617627</v>
      </c>
      <c r="I1884" s="885">
        <v>0.98487610903211564</v>
      </c>
      <c r="K1884">
        <v>1.9352185696146365</v>
      </c>
      <c r="L1884">
        <v>0</v>
      </c>
      <c r="M1884">
        <v>1.897053089766841E-3</v>
      </c>
      <c r="N1884">
        <v>0.19718630635335568</v>
      </c>
      <c r="O1884">
        <v>2.5196702470701361E-2</v>
      </c>
      <c r="P1884">
        <v>2.1233289012405929E-2</v>
      </c>
      <c r="Q1884">
        <v>2.9881054014589715E-3</v>
      </c>
      <c r="R1884">
        <v>1.8856234086763368E-3</v>
      </c>
      <c r="S1884">
        <v>0.20205683968376822</v>
      </c>
      <c r="T1884">
        <v>1.0574517950392566</v>
      </c>
      <c r="U1884">
        <v>3.7222919420882454E-2</v>
      </c>
      <c r="V1884">
        <v>0.2485756959829499</v>
      </c>
      <c r="W1884">
        <v>0.11706278686013816</v>
      </c>
      <c r="X1884">
        <v>2.1123513747981923E-2</v>
      </c>
      <c r="Y1884">
        <v>5.1320453228273768E-3</v>
      </c>
    </row>
    <row r="1885" spans="1:25" x14ac:dyDescent="0.25">
      <c r="A1885" s="881"/>
      <c r="B1885" s="1131">
        <v>1635</v>
      </c>
      <c r="C1885" s="885">
        <v>0.99298358563978184</v>
      </c>
      <c r="D1885" s="885">
        <v>1.0273689311599357</v>
      </c>
      <c r="E1885" s="885">
        <v>0.99301654662304306</v>
      </c>
      <c r="F1885" s="885">
        <v>1.0003412679915662</v>
      </c>
      <c r="G1885" s="885">
        <v>1.0059430779615017</v>
      </c>
      <c r="H1885" s="885">
        <v>1.004966675375786</v>
      </c>
      <c r="I1885" s="885">
        <v>1.0296054254061313</v>
      </c>
      <c r="K1885">
        <v>1.9403669318594925</v>
      </c>
      <c r="L1885">
        <v>0</v>
      </c>
      <c r="M1885">
        <v>1.9795138090722628E-3</v>
      </c>
      <c r="N1885">
        <v>0.19515786587490278</v>
      </c>
      <c r="O1885">
        <v>2.4990950830133789E-2</v>
      </c>
      <c r="P1885">
        <v>2.1075192443426899E-2</v>
      </c>
      <c r="Q1885">
        <v>2.9207715549653488E-3</v>
      </c>
      <c r="R1885">
        <v>1.9677340091734143E-3</v>
      </c>
      <c r="S1885">
        <v>0.21131761411356667</v>
      </c>
      <c r="T1885">
        <v>1.0590147586447234</v>
      </c>
      <c r="U1885">
        <v>3.758401562788307E-2</v>
      </c>
      <c r="V1885">
        <v>0.24546686459608147</v>
      </c>
      <c r="W1885">
        <v>0.11721477111466679</v>
      </c>
      <c r="X1885">
        <v>2.028038354941112E-2</v>
      </c>
      <c r="Y1885">
        <v>5.3555233096282424E-3</v>
      </c>
    </row>
    <row r="1886" spans="1:25" x14ac:dyDescent="0.25">
      <c r="A1886" s="881"/>
      <c r="B1886" s="1131">
        <v>1636</v>
      </c>
      <c r="C1886" s="885">
        <v>0.96237465509790454</v>
      </c>
      <c r="D1886" s="885">
        <v>1.001389662371261</v>
      </c>
      <c r="E1886" s="885">
        <v>1.0072538993352231</v>
      </c>
      <c r="F1886" s="885">
        <v>1.0135970494564157</v>
      </c>
      <c r="G1886" s="885">
        <v>1.0280644948058311</v>
      </c>
      <c r="H1886" s="885">
        <v>0.98287290133616478</v>
      </c>
      <c r="I1886" s="885">
        <v>0.9769837497320043</v>
      </c>
      <c r="K1886">
        <v>1.9566265940659013</v>
      </c>
      <c r="L1886">
        <v>0</v>
      </c>
      <c r="M1886">
        <v>1.9632293813094002E-3</v>
      </c>
      <c r="N1886">
        <v>0.20229318453606585</v>
      </c>
      <c r="O1886">
        <v>2.6114147297854384E-2</v>
      </c>
      <c r="P1886">
        <v>2.134575970644715E-2</v>
      </c>
      <c r="Q1886">
        <v>3.0905434570412129E-3</v>
      </c>
      <c r="R1886">
        <v>1.9513049209378317E-3</v>
      </c>
      <c r="S1886">
        <v>0.20706915359160868</v>
      </c>
      <c r="T1886">
        <v>1.0577070290235302</v>
      </c>
      <c r="U1886">
        <v>3.8779398858046786E-2</v>
      </c>
      <c r="V1886">
        <v>0.25314089897396347</v>
      </c>
      <c r="W1886">
        <v>0.12032257252660163</v>
      </c>
      <c r="X1886">
        <v>2.1465021807814746E-2</v>
      </c>
      <c r="Y1886">
        <v>5.3108087472984681E-3</v>
      </c>
    </row>
    <row r="1887" spans="1:25" x14ac:dyDescent="0.25">
      <c r="A1887" s="881"/>
      <c r="B1887" s="1131">
        <v>1637</v>
      </c>
      <c r="C1887" s="885">
        <v>0.96496193780432471</v>
      </c>
      <c r="D1887" s="885">
        <v>1.0298946040543768</v>
      </c>
      <c r="E1887" s="885">
        <v>0.99554737373817492</v>
      </c>
      <c r="F1887" s="885">
        <v>1.0027843639253269</v>
      </c>
      <c r="G1887" s="885">
        <v>1.0012322119596364</v>
      </c>
      <c r="H1887" s="885">
        <v>0.95975333286176445</v>
      </c>
      <c r="I1887" s="885">
        <v>0.99940925913094336</v>
      </c>
      <c r="K1887">
        <v>1.9353567575989286</v>
      </c>
      <c r="L1887">
        <v>0</v>
      </c>
      <c r="M1887">
        <v>1.9326820778652835E-3</v>
      </c>
      <c r="N1887">
        <v>0.19199323942129368</v>
      </c>
      <c r="O1887">
        <v>2.5685550697848482E-2</v>
      </c>
      <c r="P1887">
        <v>2.1107550366052653E-2</v>
      </c>
      <c r="Q1887">
        <v>3.0101312421062336E-3</v>
      </c>
      <c r="R1887">
        <v>1.9206371332475161E-3</v>
      </c>
      <c r="S1887">
        <v>0.20616925667884628</v>
      </c>
      <c r="T1887">
        <v>1.0587817201668408</v>
      </c>
      <c r="U1887">
        <v>3.86754224584605E-2</v>
      </c>
      <c r="V1887">
        <v>0.24919137130878374</v>
      </c>
      <c r="W1887">
        <v>0.11511373432956885</v>
      </c>
      <c r="X1887">
        <v>2.0413484734903592E-2</v>
      </c>
      <c r="Y1887">
        <v>5.2273411388389255E-3</v>
      </c>
    </row>
    <row r="1888" spans="1:25" x14ac:dyDescent="0.25">
      <c r="A1888" s="881"/>
      <c r="B1888" s="1131">
        <v>1638</v>
      </c>
      <c r="C1888" s="885">
        <v>1.0078612020990441</v>
      </c>
      <c r="D1888" s="885">
        <v>0.99426649739562412</v>
      </c>
      <c r="E1888" s="885">
        <v>1.002555887134372</v>
      </c>
      <c r="F1888" s="885">
        <v>0.97655072563803047</v>
      </c>
      <c r="G1888" s="885">
        <v>1.0124241621787766</v>
      </c>
      <c r="H1888" s="885">
        <v>1.0465991667636712</v>
      </c>
      <c r="I1888" s="885">
        <v>1.0008147137582026</v>
      </c>
      <c r="K1888">
        <v>1.9561456250138372</v>
      </c>
      <c r="L1888">
        <v>0</v>
      </c>
      <c r="M1888">
        <v>2.0231651644545298E-3</v>
      </c>
      <c r="N1888">
        <v>0.2055223167069638</v>
      </c>
      <c r="O1888">
        <v>2.5023864756196043E-2</v>
      </c>
      <c r="P1888">
        <v>2.1210127453084846E-2</v>
      </c>
      <c r="Q1888">
        <v>2.9461287717108741E-3</v>
      </c>
      <c r="R1888">
        <v>2.0116306062574283E-3</v>
      </c>
      <c r="S1888">
        <v>0.20963358706877019</v>
      </c>
      <c r="T1888">
        <v>1.0581376778856306</v>
      </c>
      <c r="U1888">
        <v>3.7029216446858866E-2</v>
      </c>
      <c r="V1888">
        <v>0.24741678662943287</v>
      </c>
      <c r="W1888">
        <v>0.12263548309491099</v>
      </c>
      <c r="X1888">
        <v>2.1126975382092281E-2</v>
      </c>
      <c r="Y1888">
        <v>5.4749953763815872E-3</v>
      </c>
    </row>
    <row r="1889" spans="1:25" x14ac:dyDescent="0.25">
      <c r="A1889" s="881"/>
      <c r="B1889" s="1131">
        <v>1639</v>
      </c>
      <c r="C1889" s="885">
        <v>0.97944061472480881</v>
      </c>
      <c r="D1889" s="885">
        <v>0.98367631064430883</v>
      </c>
      <c r="E1889" s="885">
        <v>1.0058354461506227</v>
      </c>
      <c r="F1889" s="885">
        <v>1.0172943868691553</v>
      </c>
      <c r="G1889" s="885">
        <v>1.0190589600332038</v>
      </c>
      <c r="H1889" s="885">
        <v>1.0198982681305049</v>
      </c>
      <c r="I1889" s="885">
        <v>0.99404775527754174</v>
      </c>
      <c r="K1889">
        <v>1.9703451018488962</v>
      </c>
      <c r="L1889">
        <v>0</v>
      </c>
      <c r="M1889">
        <v>2.0255017315825522E-3</v>
      </c>
      <c r="N1889">
        <v>0.20783885193314255</v>
      </c>
      <c r="O1889">
        <v>2.5887049058537517E-2</v>
      </c>
      <c r="P1889">
        <v>2.1387293677350705E-2</v>
      </c>
      <c r="Q1889">
        <v>3.0555012122662909E-3</v>
      </c>
      <c r="R1889">
        <v>2.0136603619448977E-3</v>
      </c>
      <c r="S1889">
        <v>0.21255257409806472</v>
      </c>
      <c r="T1889">
        <v>1.0578369625186674</v>
      </c>
      <c r="U1889">
        <v>3.8103699233876104E-2</v>
      </c>
      <c r="V1889">
        <v>0.25287135834289043</v>
      </c>
      <c r="W1889">
        <v>0.12374059006539988</v>
      </c>
      <c r="X1889">
        <v>2.1602543376085536E-2</v>
      </c>
      <c r="Y1889">
        <v>5.4805197022540966E-3</v>
      </c>
    </row>
    <row r="1890" spans="1:25" x14ac:dyDescent="0.25">
      <c r="A1890" s="881"/>
      <c r="B1890" s="1131">
        <v>1640</v>
      </c>
      <c r="C1890" s="885">
        <v>1.0034222520678173</v>
      </c>
      <c r="D1890" s="885">
        <v>0.99760319627421568</v>
      </c>
      <c r="E1890" s="885">
        <v>1.0214518311680465</v>
      </c>
      <c r="F1890" s="885">
        <v>0.97053183916459995</v>
      </c>
      <c r="G1890" s="885">
        <v>0.99590250851211726</v>
      </c>
      <c r="H1890" s="885">
        <v>1.0124857226738622</v>
      </c>
      <c r="I1890" s="885">
        <v>1.0039294999182797</v>
      </c>
      <c r="K1890">
        <v>1.9479934024215779</v>
      </c>
      <c r="L1890">
        <v>0</v>
      </c>
      <c r="M1890">
        <v>1.8859184409214609E-3</v>
      </c>
      <c r="N1890">
        <v>0.20313015703829285</v>
      </c>
      <c r="O1890">
        <v>2.509289398062519E-2</v>
      </c>
      <c r="P1890">
        <v>2.1458779822811982E-2</v>
      </c>
      <c r="Q1890">
        <v>3.0112314336661681E-3</v>
      </c>
      <c r="R1890">
        <v>1.8748015072023419E-3</v>
      </c>
      <c r="S1890">
        <v>0.2074328055413226</v>
      </c>
      <c r="T1890">
        <v>1.0564107944490619</v>
      </c>
      <c r="U1890">
        <v>3.71930266884241E-2</v>
      </c>
      <c r="V1890">
        <v>0.24762165579893178</v>
      </c>
      <c r="W1890">
        <v>0.11966389635873938</v>
      </c>
      <c r="X1890">
        <v>2.1886686568964156E-2</v>
      </c>
      <c r="Y1890">
        <v>5.1025916744540248E-3</v>
      </c>
    </row>
    <row r="1891" spans="1:25" x14ac:dyDescent="0.25">
      <c r="A1891" s="881"/>
      <c r="B1891" s="1131">
        <v>1641</v>
      </c>
      <c r="C1891" s="885">
        <v>1.0008627130160674</v>
      </c>
      <c r="D1891" s="885">
        <v>1.0268945095324602</v>
      </c>
      <c r="E1891" s="885">
        <v>1.0366189699631718</v>
      </c>
      <c r="F1891" s="885">
        <v>0.96650426850972659</v>
      </c>
      <c r="G1891" s="885">
        <v>1.0157847120112165</v>
      </c>
      <c r="H1891" s="885">
        <v>1.0375981455529648</v>
      </c>
      <c r="I1891" s="885">
        <v>0.99041166162636896</v>
      </c>
      <c r="K1891">
        <v>1.94954344026589</v>
      </c>
      <c r="L1891">
        <v>0</v>
      </c>
      <c r="M1891">
        <v>1.8498392782550857E-3</v>
      </c>
      <c r="N1891">
        <v>0.20887753029483261</v>
      </c>
      <c r="O1891">
        <v>2.4799862155516696E-2</v>
      </c>
      <c r="P1891">
        <v>2.1599199047647375E-2</v>
      </c>
      <c r="Q1891">
        <v>3.0271236048395804E-3</v>
      </c>
      <c r="R1891">
        <v>1.8391776849744264E-3</v>
      </c>
      <c r="S1891">
        <v>0.2049410780743183</v>
      </c>
      <c r="T1891">
        <v>1.0550347819936314</v>
      </c>
      <c r="U1891">
        <v>3.7288141635782777E-2</v>
      </c>
      <c r="V1891">
        <v>0.2444315663167444</v>
      </c>
      <c r="W1891">
        <v>0.12180452610208158</v>
      </c>
      <c r="X1891">
        <v>2.2744657260036494E-2</v>
      </c>
      <c r="Y1891">
        <v>5.0056353737394791E-3</v>
      </c>
    </row>
    <row r="1892" spans="1:25" x14ac:dyDescent="0.25">
      <c r="A1892" s="881"/>
      <c r="B1892" s="1131">
        <v>1642</v>
      </c>
      <c r="C1892" s="885">
        <v>0.99435117746005641</v>
      </c>
      <c r="D1892" s="885">
        <v>1.003509786394118</v>
      </c>
      <c r="E1892" s="885">
        <v>0.99677812555858447</v>
      </c>
      <c r="F1892" s="885">
        <v>0.98452671358771127</v>
      </c>
      <c r="G1892" s="885">
        <v>0.99385539078955765</v>
      </c>
      <c r="H1892" s="885">
        <v>1.0148345361114059</v>
      </c>
      <c r="I1892" s="885">
        <v>1.0376172103557728</v>
      </c>
      <c r="K1892">
        <v>1.9555523298952942</v>
      </c>
      <c r="L1892">
        <v>0</v>
      </c>
      <c r="M1892">
        <v>2.0035641420067993E-3</v>
      </c>
      <c r="N1892">
        <v>0.19986859087914022</v>
      </c>
      <c r="O1892">
        <v>2.5247927450524173E-2</v>
      </c>
      <c r="P1892">
        <v>2.1230020566264354E-2</v>
      </c>
      <c r="Q1892">
        <v>2.9571997110044374E-3</v>
      </c>
      <c r="R1892">
        <v>1.9917762365928874E-3</v>
      </c>
      <c r="S1892">
        <v>0.21601107661705335</v>
      </c>
      <c r="T1892">
        <v>1.0586684826609396</v>
      </c>
      <c r="U1892">
        <v>3.7532324038924439E-2</v>
      </c>
      <c r="V1892">
        <v>0.24817146309929625</v>
      </c>
      <c r="W1892">
        <v>0.1197344276449426</v>
      </c>
      <c r="X1892">
        <v>2.0721646805472841E-2</v>
      </c>
      <c r="Y1892">
        <v>5.4209583271459076E-3</v>
      </c>
    </row>
    <row r="1893" spans="1:25" x14ac:dyDescent="0.25">
      <c r="A1893" s="881"/>
      <c r="B1893" s="1131">
        <v>1643</v>
      </c>
      <c r="C1893" s="885">
        <v>1.0011009410601976</v>
      </c>
      <c r="D1893" s="885">
        <v>0.96393050460509522</v>
      </c>
      <c r="E1893" s="885">
        <v>0.9861166251886343</v>
      </c>
      <c r="F1893" s="885">
        <v>1.0133493330318526</v>
      </c>
      <c r="G1893" s="885">
        <v>0.97713250882815139</v>
      </c>
      <c r="H1893" s="885">
        <v>1.0086959751700861</v>
      </c>
      <c r="I1893" s="885">
        <v>1.0076627889983794</v>
      </c>
      <c r="K1893">
        <v>1.9556108470033002</v>
      </c>
      <c r="L1893">
        <v>0</v>
      </c>
      <c r="M1893">
        <v>2.0636271043738019E-3</v>
      </c>
      <c r="N1893">
        <v>0.19913602775786013</v>
      </c>
      <c r="O1893">
        <v>2.5583385176862445E-2</v>
      </c>
      <c r="P1893">
        <v>2.1066686578396526E-2</v>
      </c>
      <c r="Q1893">
        <v>2.9560339988486607E-3</v>
      </c>
      <c r="R1893">
        <v>2.0514461951372112E-3</v>
      </c>
      <c r="S1893">
        <v>0.21162059094117183</v>
      </c>
      <c r="T1893">
        <v>1.0596513683642097</v>
      </c>
      <c r="U1893">
        <v>3.7279268323725155E-2</v>
      </c>
      <c r="V1893">
        <v>0.25229226366528601</v>
      </c>
      <c r="W1893">
        <v>0.12017428168288784</v>
      </c>
      <c r="X1893">
        <v>2.0279761139180324E-2</v>
      </c>
      <c r="Y1893">
        <v>5.5833602841070104E-3</v>
      </c>
    </row>
    <row r="1894" spans="1:25" x14ac:dyDescent="0.25">
      <c r="A1894" s="881"/>
      <c r="B1894" s="1131">
        <v>1644</v>
      </c>
      <c r="C1894" s="885">
        <v>1.0038606701158987</v>
      </c>
      <c r="D1894" s="885">
        <v>1.0381060640285364</v>
      </c>
      <c r="E1894" s="885">
        <v>0.96978860843596204</v>
      </c>
      <c r="F1894" s="885">
        <v>1.0341417153097612</v>
      </c>
      <c r="G1894" s="885">
        <v>1.0242182386828669</v>
      </c>
      <c r="H1894" s="885">
        <v>0.98037827625639584</v>
      </c>
      <c r="I1894" s="885">
        <v>1.0189572960547921</v>
      </c>
      <c r="K1894">
        <v>1.911160656280293</v>
      </c>
      <c r="L1894">
        <v>0</v>
      </c>
      <c r="M1894">
        <v>1.9953913231798366E-3</v>
      </c>
      <c r="N1894">
        <v>0.18296205838686211</v>
      </c>
      <c r="O1894">
        <v>2.4593836366480572E-2</v>
      </c>
      <c r="P1894">
        <v>2.0587828034149446E-2</v>
      </c>
      <c r="Q1894">
        <v>2.8093518104877774E-3</v>
      </c>
      <c r="R1894">
        <v>1.9832105764769907E-3</v>
      </c>
      <c r="S1894">
        <v>0.20340603380479677</v>
      </c>
      <c r="T1894">
        <v>1.0611652050286289</v>
      </c>
      <c r="U1894">
        <v>3.7176783304607566E-2</v>
      </c>
      <c r="V1894">
        <v>0.24270955709127809</v>
      </c>
      <c r="W1894">
        <v>0.1116735552342533</v>
      </c>
      <c r="X1894">
        <v>1.8690982541469597E-2</v>
      </c>
      <c r="Y1894">
        <v>5.3976454239795359E-3</v>
      </c>
    </row>
    <row r="1895" spans="1:25" x14ac:dyDescent="0.25">
      <c r="A1895" s="881"/>
      <c r="B1895" s="1131">
        <v>1645</v>
      </c>
      <c r="C1895" s="885">
        <v>0.98762886396917415</v>
      </c>
      <c r="D1895" s="885">
        <v>1.0267148132836981</v>
      </c>
      <c r="E1895" s="885">
        <v>1.0101413004100683</v>
      </c>
      <c r="F1895" s="885">
        <v>0.99951890985715497</v>
      </c>
      <c r="G1895" s="885">
        <v>0.95935167774410435</v>
      </c>
      <c r="H1895" s="885">
        <v>0.9509048023172153</v>
      </c>
      <c r="I1895" s="885">
        <v>1.0038723618567402</v>
      </c>
      <c r="K1895">
        <v>1.9192411365597788</v>
      </c>
      <c r="L1895">
        <v>0</v>
      </c>
      <c r="M1895">
        <v>1.8170317543384062E-3</v>
      </c>
      <c r="N1895">
        <v>0.18887632925790265</v>
      </c>
      <c r="O1895">
        <v>2.5134340088454984E-2</v>
      </c>
      <c r="P1895">
        <v>2.120661603264001E-2</v>
      </c>
      <c r="Q1895">
        <v>2.9883568621818382E-3</v>
      </c>
      <c r="R1895">
        <v>1.8056046137136835E-3</v>
      </c>
      <c r="S1895">
        <v>0.20172445127352362</v>
      </c>
      <c r="T1895">
        <v>1.0574427791222893</v>
      </c>
      <c r="U1895">
        <v>3.778778847241316E-2</v>
      </c>
      <c r="V1895">
        <v>0.24629993144843393</v>
      </c>
      <c r="W1895">
        <v>0.11212192716355017</v>
      </c>
      <c r="X1895">
        <v>2.0755783437886047E-2</v>
      </c>
      <c r="Y1895">
        <v>4.9142605411277053E-3</v>
      </c>
    </row>
    <row r="1896" spans="1:25" x14ac:dyDescent="0.25">
      <c r="A1896" s="881"/>
      <c r="B1896" s="1131">
        <v>1646</v>
      </c>
      <c r="C1896" s="885">
        <v>0.99807173049809361</v>
      </c>
      <c r="D1896" s="885">
        <v>1.0097448982212711</v>
      </c>
      <c r="E1896" s="885">
        <v>0.96607779960325302</v>
      </c>
      <c r="F1896" s="885">
        <v>1.0173894781237713</v>
      </c>
      <c r="G1896" s="885">
        <v>0.99644390300452479</v>
      </c>
      <c r="H1896" s="885">
        <v>0.99918209269282188</v>
      </c>
      <c r="I1896" s="885">
        <v>0.98002464964994129</v>
      </c>
      <c r="K1896">
        <v>1.9252656718243075</v>
      </c>
      <c r="L1896">
        <v>0</v>
      </c>
      <c r="M1896">
        <v>2.0897672581474906E-3</v>
      </c>
      <c r="N1896">
        <v>0.18943502811001245</v>
      </c>
      <c r="O1896">
        <v>2.5076875827570209E-2</v>
      </c>
      <c r="P1896">
        <v>2.0561871548212138E-2</v>
      </c>
      <c r="Q1896">
        <v>2.8482246272408906E-3</v>
      </c>
      <c r="R1896">
        <v>2.0772742283761275E-3</v>
      </c>
      <c r="S1896">
        <v>0.20113605818246891</v>
      </c>
      <c r="T1896">
        <v>1.0615106889023418</v>
      </c>
      <c r="U1896">
        <v>3.7392413250991463E-2</v>
      </c>
      <c r="V1896">
        <v>0.24687386977235459</v>
      </c>
      <c r="W1896">
        <v>0.11592507473441781</v>
      </c>
      <c r="X1896">
        <v>1.8864404222092832E-2</v>
      </c>
      <c r="Y1896">
        <v>5.6536556763744708E-3</v>
      </c>
    </row>
    <row r="1897" spans="1:25" x14ac:dyDescent="0.25">
      <c r="A1897" s="881"/>
      <c r="B1897" s="1131">
        <v>1647</v>
      </c>
      <c r="C1897" s="885">
        <v>0.99515013642630767</v>
      </c>
      <c r="D1897" s="885">
        <v>1.0129427326357801</v>
      </c>
      <c r="E1897" s="885">
        <v>0.9875809320741552</v>
      </c>
      <c r="F1897" s="885">
        <v>1.0186891786435004</v>
      </c>
      <c r="G1897" s="885">
        <v>0.99605576524125661</v>
      </c>
      <c r="H1897" s="885">
        <v>1.0216907290693484</v>
      </c>
      <c r="I1897" s="885">
        <v>1.0101790458679696</v>
      </c>
      <c r="K1897">
        <v>1.9464036057147014</v>
      </c>
      <c r="L1897">
        <v>0</v>
      </c>
      <c r="M1897">
        <v>2.0453742443759374E-3</v>
      </c>
      <c r="N1897">
        <v>0.19828770977212562</v>
      </c>
      <c r="O1897">
        <v>2.5111225042243987E-2</v>
      </c>
      <c r="P1897">
        <v>2.0995370890822731E-2</v>
      </c>
      <c r="Q1897">
        <v>2.9159001013613958E-3</v>
      </c>
      <c r="R1897">
        <v>2.0334133814622866E-3</v>
      </c>
      <c r="S1897">
        <v>0.20993000292839561</v>
      </c>
      <c r="T1897">
        <v>1.0595161118729903</v>
      </c>
      <c r="U1897">
        <v>3.7502191111522268E-2</v>
      </c>
      <c r="V1897">
        <v>0.24689703522920667</v>
      </c>
      <c r="W1897">
        <v>0.11954139888915245</v>
      </c>
      <c r="X1897">
        <v>2.0184339829995766E-2</v>
      </c>
      <c r="Y1897">
        <v>5.5342809097992957E-3</v>
      </c>
    </row>
    <row r="1898" spans="1:25" x14ac:dyDescent="0.25">
      <c r="A1898" s="881"/>
      <c r="B1898" s="1131">
        <v>1648</v>
      </c>
      <c r="C1898" s="885">
        <v>0.96202135015342716</v>
      </c>
      <c r="D1898" s="885">
        <v>1.0021040402752301</v>
      </c>
      <c r="E1898" s="885">
        <v>0.96846853433255309</v>
      </c>
      <c r="F1898" s="885">
        <v>1.0092020904846415</v>
      </c>
      <c r="G1898" s="885">
        <v>0.99926119047567985</v>
      </c>
      <c r="H1898" s="885">
        <v>0.98777201432012085</v>
      </c>
      <c r="I1898" s="885">
        <v>0.99276739197980701</v>
      </c>
      <c r="K1898">
        <v>1.9541984461533937</v>
      </c>
      <c r="L1898">
        <v>0</v>
      </c>
      <c r="M1898">
        <v>2.140631953598929E-3</v>
      </c>
      <c r="N1898">
        <v>0.19548509429886909</v>
      </c>
      <c r="O1898">
        <v>2.6114520100948016E-2</v>
      </c>
      <c r="P1898">
        <v>2.0828964938658802E-2</v>
      </c>
      <c r="Q1898">
        <v>2.9717776196764882E-3</v>
      </c>
      <c r="R1898">
        <v>2.1276938155068642E-3</v>
      </c>
      <c r="S1898">
        <v>0.21093399613206376</v>
      </c>
      <c r="T1898">
        <v>1.0612880456104277</v>
      </c>
      <c r="U1898">
        <v>3.8793640697230798E-2</v>
      </c>
      <c r="V1898">
        <v>0.25310092052560446</v>
      </c>
      <c r="W1898">
        <v>0.11942735490541595</v>
      </c>
      <c r="X1898">
        <v>1.9476188290856223E-2</v>
      </c>
      <c r="Y1898">
        <v>5.7908811717319077E-3</v>
      </c>
    </row>
    <row r="1899" spans="1:25" x14ac:dyDescent="0.25">
      <c r="A1899" s="881"/>
      <c r="B1899" s="1131">
        <v>1649</v>
      </c>
      <c r="C1899" s="885">
        <v>1.0078037831883633</v>
      </c>
      <c r="D1899" s="885">
        <v>0.9951813603662012</v>
      </c>
      <c r="E1899" s="885">
        <v>1.0025326537364683</v>
      </c>
      <c r="F1899" s="885">
        <v>1.0218582464977126</v>
      </c>
      <c r="G1899" s="885">
        <v>1.0379421731979841</v>
      </c>
      <c r="H1899" s="885">
        <v>0.98579092884698971</v>
      </c>
      <c r="I1899" s="885">
        <v>1.0206604655909228</v>
      </c>
      <c r="K1899">
        <v>1.9337006679903135</v>
      </c>
      <c r="L1899">
        <v>0</v>
      </c>
      <c r="M1899">
        <v>1.9049521903212493E-3</v>
      </c>
      <c r="N1899">
        <v>0.19343120557070986</v>
      </c>
      <c r="O1899">
        <v>2.5013891928140658E-2</v>
      </c>
      <c r="P1899">
        <v>2.1178744755247947E-2</v>
      </c>
      <c r="Q1899">
        <v>2.9450752188696703E-3</v>
      </c>
      <c r="R1899">
        <v>1.8934209236372806E-3</v>
      </c>
      <c r="S1899">
        <v>0.20746505472717491</v>
      </c>
      <c r="T1899">
        <v>1.058139809740821</v>
      </c>
      <c r="U1899">
        <v>3.703132616038373E-2</v>
      </c>
      <c r="V1899">
        <v>0.24731279123518443</v>
      </c>
      <c r="W1899">
        <v>0.11542253007679308</v>
      </c>
      <c r="X1899">
        <v>2.0618502255569104E-2</v>
      </c>
      <c r="Y1899">
        <v>5.1532675881009495E-3</v>
      </c>
    </row>
    <row r="1900" spans="1:25" x14ac:dyDescent="0.25">
      <c r="A1900" s="881"/>
      <c r="B1900" s="1131">
        <v>1650</v>
      </c>
      <c r="C1900" s="885">
        <v>0.97045666590897517</v>
      </c>
      <c r="D1900" s="885">
        <v>1.0337157224843885</v>
      </c>
      <c r="E1900" s="885">
        <v>0.99326533939926231</v>
      </c>
      <c r="F1900" s="885">
        <v>0.97830693191876561</v>
      </c>
      <c r="G1900" s="885">
        <v>1.0101764448235668</v>
      </c>
      <c r="H1900" s="885">
        <v>1.0353765458391673</v>
      </c>
      <c r="I1900" s="885">
        <v>1.0190248802707356</v>
      </c>
      <c r="K1900">
        <v>1.9664841416446981</v>
      </c>
      <c r="L1900">
        <v>0</v>
      </c>
      <c r="M1900">
        <v>2.0793445100233932E-3</v>
      </c>
      <c r="N1900">
        <v>0.20519444080903873</v>
      </c>
      <c r="O1900">
        <v>2.5493545195478886E-2</v>
      </c>
      <c r="P1900">
        <v>2.1195459045940432E-2</v>
      </c>
      <c r="Q1900">
        <v>2.9815223333526605E-3</v>
      </c>
      <c r="R1900">
        <v>2.0673290040057282E-3</v>
      </c>
      <c r="S1900">
        <v>0.21657828525387118</v>
      </c>
      <c r="T1900">
        <v>1.0589918387695152</v>
      </c>
      <c r="U1900">
        <v>3.8456442118372111E-2</v>
      </c>
      <c r="V1900">
        <v>0.24792325736218448</v>
      </c>
      <c r="W1900">
        <v>0.12322181091471233</v>
      </c>
      <c r="X1900">
        <v>2.0832967294168656E-2</v>
      </c>
      <c r="Y1900">
        <v>5.6265880540805778E-3</v>
      </c>
    </row>
    <row r="1901" spans="1:25" x14ac:dyDescent="0.25">
      <c r="A1901" s="881"/>
      <c r="B1901" s="1131">
        <v>1651</v>
      </c>
      <c r="C1901" s="885">
        <v>1.0272268080308078</v>
      </c>
      <c r="D1901" s="885">
        <v>1.0141679008822209</v>
      </c>
      <c r="E1901" s="885">
        <v>0.99132147170149199</v>
      </c>
      <c r="F1901" s="885">
        <v>1.0222793011999083</v>
      </c>
      <c r="G1901" s="885">
        <v>1.0072349898712887</v>
      </c>
      <c r="H1901" s="885">
        <v>1.0158236078962211</v>
      </c>
      <c r="I1901" s="885">
        <v>0.9832453800103349</v>
      </c>
      <c r="K1901">
        <v>1.9150109907117445</v>
      </c>
      <c r="L1901">
        <v>0</v>
      </c>
      <c r="M1901">
        <v>1.9535264030987438E-3</v>
      </c>
      <c r="N1901">
        <v>0.1915954843917235</v>
      </c>
      <c r="O1901">
        <v>2.4312565581297466E-2</v>
      </c>
      <c r="P1901">
        <v>2.0801108832654337E-2</v>
      </c>
      <c r="Q1901">
        <v>2.8340949467101344E-3</v>
      </c>
      <c r="R1901">
        <v>1.9420357072678434E-3</v>
      </c>
      <c r="S1901">
        <v>0.1972781185687868</v>
      </c>
      <c r="T1901">
        <v>1.0591709804148466</v>
      </c>
      <c r="U1901">
        <v>3.6331129901545155E-2</v>
      </c>
      <c r="V1901">
        <v>0.24236865964246959</v>
      </c>
      <c r="W1901">
        <v>0.1152094304470181</v>
      </c>
      <c r="X1901">
        <v>1.9835327677238918E-2</v>
      </c>
      <c r="Y1901">
        <v>5.2855810032842229E-3</v>
      </c>
    </row>
    <row r="1902" spans="1:25" x14ac:dyDescent="0.25">
      <c r="A1902" s="881"/>
      <c r="B1902" s="1131">
        <v>1652</v>
      </c>
      <c r="C1902" s="885">
        <v>1.0004641066762934</v>
      </c>
      <c r="D1902" s="885">
        <v>1.0451748178789571</v>
      </c>
      <c r="E1902" s="885">
        <v>0.99962249590754504</v>
      </c>
      <c r="F1902" s="885">
        <v>0.97707957245995802</v>
      </c>
      <c r="G1902" s="885">
        <v>1.0010362025044972</v>
      </c>
      <c r="H1902" s="885">
        <v>0.98023776207036273</v>
      </c>
      <c r="I1902" s="885">
        <v>1.0210217553702801</v>
      </c>
      <c r="K1902">
        <v>1.9169809694588087</v>
      </c>
      <c r="L1902">
        <v>0</v>
      </c>
      <c r="M1902">
        <v>1.8739923679808891E-3</v>
      </c>
      <c r="N1902">
        <v>0.188562187561987</v>
      </c>
      <c r="O1902">
        <v>2.4595040591070479E-2</v>
      </c>
      <c r="P1902">
        <v>2.1023488921392247E-2</v>
      </c>
      <c r="Q1902">
        <v>2.8971043957640281E-3</v>
      </c>
      <c r="R1902">
        <v>1.8625457686316097E-3</v>
      </c>
      <c r="S1902">
        <v>0.20386404071199032</v>
      </c>
      <c r="T1902">
        <v>1.0584070069603375</v>
      </c>
      <c r="U1902">
        <v>3.7302998030485195E-2</v>
      </c>
      <c r="V1902">
        <v>0.2423603184830945</v>
      </c>
      <c r="W1902">
        <v>0.11274123751302229</v>
      </c>
      <c r="X1902">
        <v>2.0169757294845249E-2</v>
      </c>
      <c r="Y1902">
        <v>5.069235594167624E-3</v>
      </c>
    </row>
    <row r="1903" spans="1:25" x14ac:dyDescent="0.25">
      <c r="A1903" s="881"/>
      <c r="B1903" s="1131">
        <v>1653</v>
      </c>
      <c r="C1903" s="885">
        <v>1.0299618897758032</v>
      </c>
      <c r="D1903" s="885">
        <v>1.0112411549355953</v>
      </c>
      <c r="E1903" s="885">
        <v>1.0091367495926853</v>
      </c>
      <c r="F1903" s="885">
        <v>1.0087232449921835</v>
      </c>
      <c r="G1903" s="885">
        <v>0.99092268639631198</v>
      </c>
      <c r="H1903" s="885">
        <v>0.99436756806635629</v>
      </c>
      <c r="I1903" s="885">
        <v>1.0146220453349111</v>
      </c>
      <c r="K1903">
        <v>1.9150563502576752</v>
      </c>
      <c r="L1903">
        <v>0</v>
      </c>
      <c r="M1903">
        <v>1.839579271855531E-3</v>
      </c>
      <c r="N1903">
        <v>0.19067777018922963</v>
      </c>
      <c r="O1903">
        <v>2.428265523722652E-2</v>
      </c>
      <c r="P1903">
        <v>2.110897811915623E-2</v>
      </c>
      <c r="Q1903">
        <v>2.8811706208092826E-3</v>
      </c>
      <c r="R1903">
        <v>1.8285275382062603E-3</v>
      </c>
      <c r="S1903">
        <v>0.2011749242281593</v>
      </c>
      <c r="T1903">
        <v>1.057534676955699</v>
      </c>
      <c r="U1903">
        <v>3.6234651953035435E-2</v>
      </c>
      <c r="V1903">
        <v>0.24235168625797368</v>
      </c>
      <c r="W1903">
        <v>0.11326861738541256</v>
      </c>
      <c r="X1903">
        <v>2.0575621859565824E-2</v>
      </c>
      <c r="Y1903">
        <v>4.9766491850564689E-3</v>
      </c>
    </row>
    <row r="1904" spans="1:25" x14ac:dyDescent="0.25">
      <c r="A1904" s="881"/>
      <c r="B1904" s="1131">
        <v>1654</v>
      </c>
      <c r="C1904" s="885">
        <v>1.0063908770302281</v>
      </c>
      <c r="D1904" s="885">
        <v>1.0003656494323663</v>
      </c>
      <c r="E1904" s="885">
        <v>0.97768539488233575</v>
      </c>
      <c r="F1904" s="885">
        <v>0.99198600752977306</v>
      </c>
      <c r="G1904" s="885">
        <v>1.021824234781511</v>
      </c>
      <c r="H1904" s="885">
        <v>1.0130227448701765</v>
      </c>
      <c r="I1904" s="885">
        <v>1.0239905260324733</v>
      </c>
      <c r="K1904">
        <v>1.9401366899202059</v>
      </c>
      <c r="L1904">
        <v>0</v>
      </c>
      <c r="M1904">
        <v>2.0601622426667117E-3</v>
      </c>
      <c r="N1904">
        <v>0.19364992744071408</v>
      </c>
      <c r="O1904">
        <v>2.4984648844015668E-2</v>
      </c>
      <c r="P1904">
        <v>2.0855574480904495E-2</v>
      </c>
      <c r="Q1904">
        <v>2.8697176259622841E-3</v>
      </c>
      <c r="R1904">
        <v>2.048022303796109E-3</v>
      </c>
      <c r="S1904">
        <v>0.21074122007816995</v>
      </c>
      <c r="T1904">
        <v>1.0604317715630589</v>
      </c>
      <c r="U1904">
        <v>3.7083315690466009E-2</v>
      </c>
      <c r="V1904">
        <v>0.24686482903323428</v>
      </c>
      <c r="W1904">
        <v>0.11754831954091113</v>
      </c>
      <c r="X1904">
        <v>1.9545463981076063E-2</v>
      </c>
      <c r="Y1904">
        <v>5.5740415805620057E-3</v>
      </c>
    </row>
    <row r="1905" spans="1:25" x14ac:dyDescent="0.25">
      <c r="A1905" s="881"/>
      <c r="B1905" s="1131">
        <v>1655</v>
      </c>
      <c r="C1905" s="885">
        <v>1.0095804626859752</v>
      </c>
      <c r="D1905" s="885">
        <v>1.0343551643005009</v>
      </c>
      <c r="E1905" s="885">
        <v>1.0025386998583135</v>
      </c>
      <c r="F1905" s="885">
        <v>0.95797498331611752</v>
      </c>
      <c r="G1905" s="885">
        <v>1.0164391206029229</v>
      </c>
      <c r="H1905" s="885">
        <v>0.9719178106916585</v>
      </c>
      <c r="I1905" s="885">
        <v>1.002152148351465</v>
      </c>
      <c r="K1905">
        <v>1.9076007501681631</v>
      </c>
      <c r="L1905">
        <v>0</v>
      </c>
      <c r="M1905">
        <v>1.8394248991990116E-3</v>
      </c>
      <c r="N1905">
        <v>0.18676168764770251</v>
      </c>
      <c r="O1905">
        <v>2.4498140347685493E-2</v>
      </c>
      <c r="P1905">
        <v>2.0986526355993178E-2</v>
      </c>
      <c r="Q1905">
        <v>2.8920935597989568E-3</v>
      </c>
      <c r="R1905">
        <v>1.8281012920076931E-3</v>
      </c>
      <c r="S1905">
        <v>0.19841096927954455</v>
      </c>
      <c r="T1905">
        <v>1.0581392549574276</v>
      </c>
      <c r="U1905">
        <v>3.6966157706367138E-2</v>
      </c>
      <c r="V1905">
        <v>0.2423681197566569</v>
      </c>
      <c r="W1905">
        <v>0.11144229507662191</v>
      </c>
      <c r="X1905">
        <v>2.0171340004140326E-2</v>
      </c>
      <c r="Y1905">
        <v>4.9754890834159933E-3</v>
      </c>
    </row>
    <row r="1906" spans="1:25" x14ac:dyDescent="0.25">
      <c r="A1906" s="881"/>
      <c r="B1906" s="1131">
        <v>1656</v>
      </c>
      <c r="C1906" s="885">
        <v>0.99792977378014092</v>
      </c>
      <c r="D1906" s="885">
        <v>1.0113849367808361</v>
      </c>
      <c r="E1906" s="885">
        <v>0.97637306381102806</v>
      </c>
      <c r="F1906" s="885">
        <v>0.97444022759274618</v>
      </c>
      <c r="G1906" s="885">
        <v>0.95400247291026241</v>
      </c>
      <c r="H1906" s="885">
        <v>0.97100886595898195</v>
      </c>
      <c r="I1906" s="885">
        <v>0.97840740417199246</v>
      </c>
      <c r="K1906">
        <v>1.9145016424594257</v>
      </c>
      <c r="L1906">
        <v>0</v>
      </c>
      <c r="M1906">
        <v>1.9861722119656577E-3</v>
      </c>
      <c r="N1906">
        <v>0.18588451690543528</v>
      </c>
      <c r="O1906">
        <v>2.5060332743750021E-2</v>
      </c>
      <c r="P1906">
        <v>2.066619808532847E-2</v>
      </c>
      <c r="Q1906">
        <v>2.876757932272342E-3</v>
      </c>
      <c r="R1906">
        <v>1.9739526168257959E-3</v>
      </c>
      <c r="S1906">
        <v>0.19790362376157233</v>
      </c>
      <c r="T1906">
        <v>1.0605534902062996</v>
      </c>
      <c r="U1906">
        <v>3.7397732367026364E-2</v>
      </c>
      <c r="V1906">
        <v>0.24669609706102574</v>
      </c>
      <c r="W1906">
        <v>0.11293761288443699</v>
      </c>
      <c r="X1906">
        <v>1.9165051797723733E-2</v>
      </c>
      <c r="Y1906">
        <v>5.3724483096945618E-3</v>
      </c>
    </row>
    <row r="1907" spans="1:25" x14ac:dyDescent="0.25">
      <c r="A1907" s="881"/>
      <c r="B1907" s="1131">
        <v>1657</v>
      </c>
      <c r="C1907" s="885">
        <v>0.99945043754699736</v>
      </c>
      <c r="D1907" s="885">
        <v>1.0071937979951993</v>
      </c>
      <c r="E1907" s="885">
        <v>1.0117637629634268</v>
      </c>
      <c r="F1907" s="885">
        <v>0.96994835692566361</v>
      </c>
      <c r="G1907" s="885">
        <v>0.96973647389968609</v>
      </c>
      <c r="H1907" s="885">
        <v>1.0032398243630383</v>
      </c>
      <c r="I1907" s="885">
        <v>0.95503176539356172</v>
      </c>
      <c r="K1907">
        <v>1.9308544546532362</v>
      </c>
      <c r="L1907">
        <v>0</v>
      </c>
      <c r="M1907">
        <v>1.905855682628447E-3</v>
      </c>
      <c r="N1907">
        <v>0.19917838869610857</v>
      </c>
      <c r="O1907">
        <v>2.5073623416274098E-2</v>
      </c>
      <c r="P1907">
        <v>2.1159495617251271E-2</v>
      </c>
      <c r="Q1907">
        <v>2.9820105700577131E-3</v>
      </c>
      <c r="R1907">
        <v>1.8945101759063213E-3</v>
      </c>
      <c r="S1907">
        <v>0.1963543971363739</v>
      </c>
      <c r="T1907">
        <v>1.0572944369653974</v>
      </c>
      <c r="U1907">
        <v>3.734083171999409E-2</v>
      </c>
      <c r="V1907">
        <v>0.24699457711593237</v>
      </c>
      <c r="W1907">
        <v>0.11810730722116461</v>
      </c>
      <c r="X1907">
        <v>2.122449952769841E-2</v>
      </c>
      <c r="Y1907">
        <v>5.1562321737053636E-3</v>
      </c>
    </row>
    <row r="1908" spans="1:25" x14ac:dyDescent="0.25">
      <c r="A1908" s="881"/>
      <c r="B1908" s="1131">
        <v>1658</v>
      </c>
      <c r="C1908" s="885">
        <v>1.0320795505907783</v>
      </c>
      <c r="D1908" s="885">
        <v>0.99367756873273483</v>
      </c>
      <c r="E1908" s="885">
        <v>0.99420691933776051</v>
      </c>
      <c r="F1908" s="885">
        <v>1.0000635491129823</v>
      </c>
      <c r="G1908" s="885">
        <v>1.0279360461590621</v>
      </c>
      <c r="H1908" s="885">
        <v>1.0065408329805994</v>
      </c>
      <c r="I1908" s="885">
        <v>0.99598100248201815</v>
      </c>
      <c r="K1908">
        <v>1.9188123110324262</v>
      </c>
      <c r="L1908">
        <v>0</v>
      </c>
      <c r="M1908">
        <v>1.9343331652901849E-3</v>
      </c>
      <c r="N1908">
        <v>0.19141587458771331</v>
      </c>
      <c r="O1908">
        <v>2.4443839077925189E-2</v>
      </c>
      <c r="P1908">
        <v>2.0899993553978834E-2</v>
      </c>
      <c r="Q1908">
        <v>2.8536506809227801E-3</v>
      </c>
      <c r="R1908">
        <v>1.9228666352651971E-3</v>
      </c>
      <c r="S1908">
        <v>0.19985686199786071</v>
      </c>
      <c r="T1908">
        <v>1.0589051181220432</v>
      </c>
      <c r="U1908">
        <v>3.6160304290065816E-2</v>
      </c>
      <c r="V1908">
        <v>0.24418187309357067</v>
      </c>
      <c r="W1908">
        <v>0.11487325286524498</v>
      </c>
      <c r="X1908">
        <v>1.9999600184748161E-2</v>
      </c>
      <c r="Y1908">
        <v>5.2334091083759086E-3</v>
      </c>
    </row>
    <row r="1909" spans="1:25" x14ac:dyDescent="0.25">
      <c r="A1909" s="881"/>
      <c r="B1909" s="1131">
        <v>1659</v>
      </c>
      <c r="C1909" s="885">
        <v>0.9925494635967409</v>
      </c>
      <c r="D1909" s="885">
        <v>0.9911070027255543</v>
      </c>
      <c r="E1909" s="885">
        <v>0.98207333044788747</v>
      </c>
      <c r="F1909" s="885">
        <v>0.99157247769317991</v>
      </c>
      <c r="G1909" s="885">
        <v>0.99482967082696161</v>
      </c>
      <c r="H1909" s="885">
        <v>1.0205726855871493</v>
      </c>
      <c r="I1909" s="885">
        <v>1.0385297574574257</v>
      </c>
      <c r="K1909">
        <v>1.9617173410289486</v>
      </c>
      <c r="L1909">
        <v>0</v>
      </c>
      <c r="M1909">
        <v>2.0947807207136121E-3</v>
      </c>
      <c r="N1909">
        <v>0.19962399095803746</v>
      </c>
      <c r="O1909">
        <v>2.5450004025575707E-2</v>
      </c>
      <c r="P1909">
        <v>2.1072573664977178E-2</v>
      </c>
      <c r="Q1909">
        <v>2.9343287466188335E-3</v>
      </c>
      <c r="R1909">
        <v>2.0825360095456775E-3</v>
      </c>
      <c r="S1909">
        <v>0.21844510635337683</v>
      </c>
      <c r="T1909">
        <v>1.0600252756177333</v>
      </c>
      <c r="U1909">
        <v>3.7600454153365659E-2</v>
      </c>
      <c r="V1909">
        <v>0.24999180795391901</v>
      </c>
      <c r="W1909">
        <v>0.12080624659354433</v>
      </c>
      <c r="X1909">
        <v>2.0111821162792563E-2</v>
      </c>
      <c r="Y1909">
        <v>5.6679765101722915E-3</v>
      </c>
    </row>
    <row r="1910" spans="1:25" x14ac:dyDescent="0.25">
      <c r="A1910" s="881"/>
      <c r="B1910" s="1131">
        <v>1660</v>
      </c>
      <c r="C1910" s="885">
        <v>1.0045997055194722</v>
      </c>
      <c r="D1910" s="885">
        <v>1.0137446902141842</v>
      </c>
      <c r="E1910" s="885">
        <v>0.96473397544974815</v>
      </c>
      <c r="F1910" s="885">
        <v>0.98294773344982211</v>
      </c>
      <c r="G1910" s="885">
        <v>0.98982202526908958</v>
      </c>
      <c r="H1910" s="885">
        <v>1.005562120666611</v>
      </c>
      <c r="I1910" s="885">
        <v>0.97300244081137777</v>
      </c>
      <c r="K1910">
        <v>1.9198820375130738</v>
      </c>
      <c r="L1910">
        <v>0</v>
      </c>
      <c r="M1910">
        <v>2.0912474983912181E-3</v>
      </c>
      <c r="N1910">
        <v>0.18878318450488449</v>
      </c>
      <c r="O1910">
        <v>2.4865296555381378E-2</v>
      </c>
      <c r="P1910">
        <v>2.0487591406952999E-2</v>
      </c>
      <c r="Q1910">
        <v>2.8210806034817005E-3</v>
      </c>
      <c r="R1910">
        <v>2.0788215544582083E-3</v>
      </c>
      <c r="S1910">
        <v>0.19865924603272203</v>
      </c>
      <c r="T1910">
        <v>1.0616359329414624</v>
      </c>
      <c r="U1910">
        <v>3.7149434143641066E-2</v>
      </c>
      <c r="V1910">
        <v>0.24547919664480009</v>
      </c>
      <c r="W1910">
        <v>0.11563506525805854</v>
      </c>
      <c r="X1910">
        <v>1.8720568377728196E-2</v>
      </c>
      <c r="Y1910">
        <v>5.6578669878939898E-3</v>
      </c>
    </row>
    <row r="1911" spans="1:25" x14ac:dyDescent="0.25">
      <c r="A1911" s="881"/>
      <c r="B1911" s="1131">
        <v>1661</v>
      </c>
      <c r="C1911" s="885">
        <v>0.99805253973615571</v>
      </c>
      <c r="D1911" s="885">
        <v>1.0424581090911755</v>
      </c>
      <c r="E1911" s="885">
        <v>0.99508544348820305</v>
      </c>
      <c r="F1911" s="885">
        <v>0.98996764378664381</v>
      </c>
      <c r="G1911" s="885">
        <v>0.97948700257279797</v>
      </c>
      <c r="H1911" s="885">
        <v>1.033982137144881</v>
      </c>
      <c r="I1911" s="885">
        <v>1.0064168088751277</v>
      </c>
      <c r="K1911">
        <v>1.938704025471593</v>
      </c>
      <c r="L1911">
        <v>0</v>
      </c>
      <c r="M1911">
        <v>2.0030930999160234E-3</v>
      </c>
      <c r="N1911">
        <v>0.19879053111373221</v>
      </c>
      <c r="O1911">
        <v>2.4686064285838073E-2</v>
      </c>
      <c r="P1911">
        <v>2.1011184094673188E-2</v>
      </c>
      <c r="Q1911">
        <v>2.8940605370121743E-3</v>
      </c>
      <c r="R1911">
        <v>1.9914959482785844E-3</v>
      </c>
      <c r="S1911">
        <v>0.20704575830259422</v>
      </c>
      <c r="T1911">
        <v>1.0588242360957572</v>
      </c>
      <c r="U1911">
        <v>3.7393132240095134E-2</v>
      </c>
      <c r="V1911">
        <v>0.24300510366788305</v>
      </c>
      <c r="W1911">
        <v>0.11922700061850999</v>
      </c>
      <c r="X1911">
        <v>2.0418356192384177E-2</v>
      </c>
      <c r="Y1911">
        <v>5.4201954747513936E-3</v>
      </c>
    </row>
    <row r="1912" spans="1:25" x14ac:dyDescent="0.25">
      <c r="A1912" s="881"/>
      <c r="B1912" s="1131">
        <v>1662</v>
      </c>
      <c r="C1912" s="885">
        <v>1.0136934724208839</v>
      </c>
      <c r="D1912" s="885">
        <v>0.98661521046196354</v>
      </c>
      <c r="E1912" s="885">
        <v>0.98655240769913011</v>
      </c>
      <c r="F1912" s="885">
        <v>1.0025419401005373</v>
      </c>
      <c r="G1912" s="885">
        <v>1.020090678388581</v>
      </c>
      <c r="H1912" s="885">
        <v>1.003344908688024</v>
      </c>
      <c r="I1912" s="885">
        <v>1.0456451324864326</v>
      </c>
      <c r="K1912">
        <v>1.9423942305841029</v>
      </c>
      <c r="L1912">
        <v>0</v>
      </c>
      <c r="M1912">
        <v>2.0020783724821042E-3</v>
      </c>
      <c r="N1912">
        <v>0.19345105745991167</v>
      </c>
      <c r="O1912">
        <v>2.4975337641274298E-2</v>
      </c>
      <c r="P1912">
        <v>2.1035004559860716E-2</v>
      </c>
      <c r="Q1912">
        <v>2.8917882113701394E-3</v>
      </c>
      <c r="R1912">
        <v>1.9901783613897723E-3</v>
      </c>
      <c r="S1912">
        <v>0.21399432905072308</v>
      </c>
      <c r="T1912">
        <v>1.0596111068855276</v>
      </c>
      <c r="U1912">
        <v>3.6816169400587337E-2</v>
      </c>
      <c r="V1912">
        <v>0.24756350626451215</v>
      </c>
      <c r="W1912">
        <v>0.11670838547173802</v>
      </c>
      <c r="X1912">
        <v>1.9942836212107393E-2</v>
      </c>
      <c r="Y1912">
        <v>5.4166094375824488E-3</v>
      </c>
    </row>
    <row r="1913" spans="1:25" x14ac:dyDescent="0.25">
      <c r="A1913" s="881"/>
      <c r="B1913" s="1131">
        <v>1663</v>
      </c>
      <c r="C1913" s="885">
        <v>0.98292938264702623</v>
      </c>
      <c r="D1913" s="885">
        <v>1.0255702249405316</v>
      </c>
      <c r="E1913" s="885">
        <v>1.0206009067110253</v>
      </c>
      <c r="F1913" s="885">
        <v>0.98143557820923588</v>
      </c>
      <c r="G1913" s="885">
        <v>1.0013104055747251</v>
      </c>
      <c r="H1913" s="885">
        <v>1.0146887624963861</v>
      </c>
      <c r="I1913" s="885">
        <v>0.99422428430130438</v>
      </c>
      <c r="K1913">
        <v>1.9512755563527284</v>
      </c>
      <c r="L1913">
        <v>0</v>
      </c>
      <c r="M1913">
        <v>1.9066882908154079E-3</v>
      </c>
      <c r="N1913">
        <v>0.20482546802979654</v>
      </c>
      <c r="O1913">
        <v>2.526840779274455E-2</v>
      </c>
      <c r="P1913">
        <v>2.1448128233452279E-2</v>
      </c>
      <c r="Q1913">
        <v>3.0355468931035595E-3</v>
      </c>
      <c r="R1913">
        <v>1.895451927942688E-3</v>
      </c>
      <c r="S1913">
        <v>0.20729133317104828</v>
      </c>
      <c r="T1913">
        <v>1.0564882597836631</v>
      </c>
      <c r="U1913">
        <v>3.7968455577564876E-2</v>
      </c>
      <c r="V1913">
        <v>0.24710644758830361</v>
      </c>
      <c r="W1913">
        <v>0.12073185660586895</v>
      </c>
      <c r="X1913">
        <v>2.1964093727755686E-2</v>
      </c>
      <c r="Y1913">
        <v>5.1587953122998794E-3</v>
      </c>
    </row>
    <row r="1914" spans="1:25" x14ac:dyDescent="0.25">
      <c r="A1914" s="881"/>
      <c r="B1914" s="1131">
        <v>1664</v>
      </c>
      <c r="C1914" s="885">
        <v>0.97740783771922179</v>
      </c>
      <c r="D1914" s="885">
        <v>0.99006569206892181</v>
      </c>
      <c r="E1914" s="885">
        <v>0.96042006546230041</v>
      </c>
      <c r="F1914" s="885">
        <v>0.97060956158232081</v>
      </c>
      <c r="G1914" s="885">
        <v>0.97976422648466688</v>
      </c>
      <c r="H1914" s="885">
        <v>1.0257372479225413</v>
      </c>
      <c r="I1914" s="885">
        <v>1.0373615335236923</v>
      </c>
      <c r="K1914">
        <v>1.9716021656167797</v>
      </c>
      <c r="L1914">
        <v>0</v>
      </c>
      <c r="M1914">
        <v>2.2384494242919744E-3</v>
      </c>
      <c r="N1914">
        <v>0.19939556066508063</v>
      </c>
      <c r="O1914">
        <v>2.5857734569095275E-2</v>
      </c>
      <c r="P1914">
        <v>2.0841721980620807E-2</v>
      </c>
      <c r="Q1914">
        <v>2.9159127442808137E-3</v>
      </c>
      <c r="R1914">
        <v>2.2254317527097009E-3</v>
      </c>
      <c r="S1914">
        <v>0.22224428770298174</v>
      </c>
      <c r="T1914">
        <v>1.0620384594242094</v>
      </c>
      <c r="U1914">
        <v>3.8182945911303265E-2</v>
      </c>
      <c r="V1914">
        <v>0.25234101565868072</v>
      </c>
      <c r="W1914">
        <v>0.12250611707903061</v>
      </c>
      <c r="X1914">
        <v>1.9234535935580221E-2</v>
      </c>
      <c r="Y1914">
        <v>6.0568916174956883E-3</v>
      </c>
    </row>
    <row r="1915" spans="1:25" x14ac:dyDescent="0.25">
      <c r="A1915" s="881"/>
      <c r="B1915" s="1131">
        <v>1665</v>
      </c>
      <c r="C1915" s="885">
        <v>0.98732925836748719</v>
      </c>
      <c r="D1915" s="885">
        <v>0.98482257877044821</v>
      </c>
      <c r="E1915" s="885">
        <v>1.0375230711171413</v>
      </c>
      <c r="F1915" s="885">
        <v>0.99308296284569075</v>
      </c>
      <c r="G1915" s="885">
        <v>1.0261630127506209</v>
      </c>
      <c r="H1915" s="885">
        <v>1.0191651052490101</v>
      </c>
      <c r="I1915" s="885">
        <v>0.9682448185572734</v>
      </c>
      <c r="K1915">
        <v>1.9646041892739106</v>
      </c>
      <c r="L1915">
        <v>0</v>
      </c>
      <c r="M1915">
        <v>1.8767601251674217E-3</v>
      </c>
      <c r="N1915">
        <v>0.21249395539171842</v>
      </c>
      <c r="O1915">
        <v>2.5665382383914328E-2</v>
      </c>
      <c r="P1915">
        <v>2.1722910060276553E-2</v>
      </c>
      <c r="Q1915">
        <v>3.126453350995716E-3</v>
      </c>
      <c r="R1915">
        <v>1.865779534838325E-3</v>
      </c>
      <c r="S1915">
        <v>0.20519763719287443</v>
      </c>
      <c r="T1915">
        <v>1.05495304349509</v>
      </c>
      <c r="U1915">
        <v>3.7799255197424837E-2</v>
      </c>
      <c r="V1915">
        <v>0.25155858603767206</v>
      </c>
      <c r="W1915">
        <v>0.12383871831877785</v>
      </c>
      <c r="X1915">
        <v>2.3181191595724633E-2</v>
      </c>
      <c r="Y1915">
        <v>5.0780368397715606E-3</v>
      </c>
    </row>
    <row r="1916" spans="1:25" x14ac:dyDescent="0.25">
      <c r="A1916" s="881"/>
      <c r="B1916" s="1131">
        <v>1666</v>
      </c>
      <c r="C1916" s="885">
        <v>1.036946779024245</v>
      </c>
      <c r="D1916" s="885">
        <v>1.0127172056030207</v>
      </c>
      <c r="E1916" s="885">
        <v>0.98775245467178208</v>
      </c>
      <c r="F1916" s="885">
        <v>1.0143690827573348</v>
      </c>
      <c r="G1916" s="885">
        <v>1.0345222767802136</v>
      </c>
      <c r="H1916" s="885">
        <v>1.0253258902704974</v>
      </c>
      <c r="I1916" s="885">
        <v>0.98239797214629232</v>
      </c>
      <c r="K1916">
        <v>1.9117684840474691</v>
      </c>
      <c r="L1916">
        <v>0</v>
      </c>
      <c r="M1916">
        <v>1.9694210064450076E-3</v>
      </c>
      <c r="N1916">
        <v>0.19103046739448751</v>
      </c>
      <c r="O1916">
        <v>2.4101708180206117E-2</v>
      </c>
      <c r="P1916">
        <v>2.0716836020833889E-2</v>
      </c>
      <c r="Q1916">
        <v>2.7991182886796346E-3</v>
      </c>
      <c r="R1916">
        <v>1.9579453071136362E-3</v>
      </c>
      <c r="S1916">
        <v>0.19629402376016591</v>
      </c>
      <c r="T1916">
        <v>1.0595002739605355</v>
      </c>
      <c r="U1916">
        <v>3.5990574787295143E-2</v>
      </c>
      <c r="V1916">
        <v>0.24126275546503098</v>
      </c>
      <c r="W1916">
        <v>0.11515260409623804</v>
      </c>
      <c r="X1916">
        <v>1.9602716103860437E-2</v>
      </c>
      <c r="Y1916">
        <v>5.3288816894662919E-3</v>
      </c>
    </row>
    <row r="1917" spans="1:25" x14ac:dyDescent="0.25">
      <c r="A1917" s="881"/>
      <c r="B1917" s="1131">
        <v>1667</v>
      </c>
      <c r="C1917" s="885">
        <v>1.0127071747059133</v>
      </c>
      <c r="D1917" s="885">
        <v>0.99008353559180684</v>
      </c>
      <c r="E1917" s="885">
        <v>1.0217179815156232</v>
      </c>
      <c r="F1917" s="885">
        <v>0.99039397477488755</v>
      </c>
      <c r="G1917" s="885">
        <v>1.0191962019594054</v>
      </c>
      <c r="H1917" s="885">
        <v>1.0000057051104834</v>
      </c>
      <c r="I1917" s="885">
        <v>0.9645482902598802</v>
      </c>
      <c r="K1917">
        <v>1.9304802958812517</v>
      </c>
      <c r="L1917">
        <v>0</v>
      </c>
      <c r="M1917">
        <v>1.8514784322376115E-3</v>
      </c>
      <c r="N1917">
        <v>0.19957145199995385</v>
      </c>
      <c r="O1917">
        <v>2.4956203817440653E-2</v>
      </c>
      <c r="P1917">
        <v>2.1307520899864863E-2</v>
      </c>
      <c r="Q1917">
        <v>2.9940360560792474E-3</v>
      </c>
      <c r="R1917">
        <v>1.840434114939228E-3</v>
      </c>
      <c r="S1917">
        <v>0.19694778084731973</v>
      </c>
      <c r="T1917">
        <v>1.056386570818725</v>
      </c>
      <c r="U1917">
        <v>3.6852025474940063E-2</v>
      </c>
      <c r="V1917">
        <v>0.24726363929033884</v>
      </c>
      <c r="W1917">
        <v>0.11754637548891204</v>
      </c>
      <c r="X1917">
        <v>2.1656680543053936E-2</v>
      </c>
      <c r="Y1917">
        <v>5.0090549619216419E-3</v>
      </c>
    </row>
    <row r="1918" spans="1:25" x14ac:dyDescent="0.25">
      <c r="A1918" s="881"/>
      <c r="B1918" s="1131">
        <v>1668</v>
      </c>
      <c r="C1918" s="885">
        <v>1.0110994225771799</v>
      </c>
      <c r="D1918" s="885">
        <v>1.006556282150787</v>
      </c>
      <c r="E1918" s="885">
        <v>0.99427099179929379</v>
      </c>
      <c r="F1918" s="885">
        <v>0.99007853078226438</v>
      </c>
      <c r="G1918" s="885">
        <v>1.0134642713413073</v>
      </c>
      <c r="H1918" s="885">
        <v>1.0200928295316041</v>
      </c>
      <c r="I1918" s="885">
        <v>0.97685478321223018</v>
      </c>
      <c r="K1918">
        <v>1.9306674303117555</v>
      </c>
      <c r="L1918">
        <v>0</v>
      </c>
      <c r="M1918">
        <v>1.9880825844351985E-3</v>
      </c>
      <c r="N1918">
        <v>0.19678855008530433</v>
      </c>
      <c r="O1918">
        <v>2.4792509172097299E-2</v>
      </c>
      <c r="P1918">
        <v>2.0933491612712685E-2</v>
      </c>
      <c r="Q1918">
        <v>2.8971420056315002E-3</v>
      </c>
      <c r="R1918">
        <v>1.9764436190017115E-3</v>
      </c>
      <c r="S1918">
        <v>0.20022739524880484</v>
      </c>
      <c r="T1918">
        <v>1.0588992182245338</v>
      </c>
      <c r="U1918">
        <v>3.6910623987690142E-2</v>
      </c>
      <c r="V1918">
        <v>0.2454579662442295</v>
      </c>
      <c r="W1918">
        <v>0.11809232588082468</v>
      </c>
      <c r="X1918">
        <v>2.0300618818898972E-2</v>
      </c>
      <c r="Y1918">
        <v>5.3792279964587578E-3</v>
      </c>
    </row>
    <row r="1919" spans="1:25" x14ac:dyDescent="0.25">
      <c r="A1919" s="881"/>
      <c r="B1919" s="1131">
        <v>1669</v>
      </c>
      <c r="C1919" s="885">
        <v>1.0228922003763743</v>
      </c>
      <c r="D1919" s="885">
        <v>0.99931310158517916</v>
      </c>
      <c r="E1919" s="885">
        <v>1.0349646286861078</v>
      </c>
      <c r="F1919" s="885">
        <v>0.98165608455613085</v>
      </c>
      <c r="G1919" s="885">
        <v>1.0092097145013441</v>
      </c>
      <c r="H1919" s="885">
        <v>0.99298235687023828</v>
      </c>
      <c r="I1919" s="885">
        <v>0.96249328520681898</v>
      </c>
      <c r="K1919">
        <v>1.918640268795365</v>
      </c>
      <c r="L1919">
        <v>0</v>
      </c>
      <c r="M1919">
        <v>1.7617723909533782E-3</v>
      </c>
      <c r="N1919">
        <v>0.19786546174480221</v>
      </c>
      <c r="O1919">
        <v>2.4594408601364765E-2</v>
      </c>
      <c r="P1919">
        <v>2.1402234276687956E-2</v>
      </c>
      <c r="Q1919">
        <v>2.9915038609964746E-3</v>
      </c>
      <c r="R1919">
        <v>1.7511820276814431E-3</v>
      </c>
      <c r="S1919">
        <v>0.1930746205698522</v>
      </c>
      <c r="T1919">
        <v>1.0551844315622247</v>
      </c>
      <c r="U1919">
        <v>3.6485086685757187E-2</v>
      </c>
      <c r="V1919">
        <v>0.24472898814019667</v>
      </c>
      <c r="W1919">
        <v>0.1155104375745887</v>
      </c>
      <c r="X1919">
        <v>2.204754593981453E-2</v>
      </c>
      <c r="Y1919">
        <v>4.7661402023486095E-3</v>
      </c>
    </row>
    <row r="1920" spans="1:25" x14ac:dyDescent="0.25">
      <c r="A1920" s="881"/>
      <c r="B1920" s="1131">
        <v>1670</v>
      </c>
      <c r="C1920" s="885">
        <v>0.99693153980301363</v>
      </c>
      <c r="D1920" s="885">
        <v>0.99570724837100577</v>
      </c>
      <c r="E1920" s="885">
        <v>0.99826514565378888</v>
      </c>
      <c r="F1920" s="885">
        <v>1.0019669523941266</v>
      </c>
      <c r="G1920" s="885">
        <v>1.0050032242262044</v>
      </c>
      <c r="H1920" s="885">
        <v>1.0435212268879879</v>
      </c>
      <c r="I1920" s="885">
        <v>0.9890855640071301</v>
      </c>
      <c r="K1920">
        <v>1.9591965797930437</v>
      </c>
      <c r="L1920">
        <v>0</v>
      </c>
      <c r="M1920">
        <v>2.0563684610297801E-3</v>
      </c>
      <c r="N1920">
        <v>0.20612172910141607</v>
      </c>
      <c r="O1920">
        <v>2.5280070288117008E-2</v>
      </c>
      <c r="P1920">
        <v>2.116316824639379E-2</v>
      </c>
      <c r="Q1920">
        <v>2.9637862717550303E-3</v>
      </c>
      <c r="R1920">
        <v>2.0446088398832431E-3</v>
      </c>
      <c r="S1920">
        <v>0.20899888700950806</v>
      </c>
      <c r="T1920">
        <v>1.0585317454028227</v>
      </c>
      <c r="U1920">
        <v>3.7435178957515053E-2</v>
      </c>
      <c r="V1920">
        <v>0.24877947364188474</v>
      </c>
      <c r="W1920">
        <v>0.12335467610756258</v>
      </c>
      <c r="X1920">
        <v>2.1014873130176838E-2</v>
      </c>
      <c r="Y1920">
        <v>5.564751257039262E-3</v>
      </c>
    </row>
    <row r="1921" spans="1:25" x14ac:dyDescent="0.25">
      <c r="A1921" s="881"/>
      <c r="B1921" s="1131">
        <v>1671</v>
      </c>
      <c r="C1921" s="885">
        <v>0.98127183605983825</v>
      </c>
      <c r="D1921" s="885">
        <v>1.0205669972734015</v>
      </c>
      <c r="E1921" s="885">
        <v>1.0033632215967041</v>
      </c>
      <c r="F1921" s="885">
        <v>1.0249528234249337</v>
      </c>
      <c r="G1921" s="885">
        <v>1.0005747592066392</v>
      </c>
      <c r="H1921" s="885">
        <v>0.9704892711324089</v>
      </c>
      <c r="I1921" s="885">
        <v>1.0120313039310866</v>
      </c>
      <c r="K1921">
        <v>1.93532490684731</v>
      </c>
      <c r="L1921">
        <v>0</v>
      </c>
      <c r="M1921">
        <v>1.8989439857635122E-3</v>
      </c>
      <c r="N1921">
        <v>0.19329926256077376</v>
      </c>
      <c r="O1921">
        <v>2.5372242971450024E-2</v>
      </c>
      <c r="P1921">
        <v>2.1210464114845413E-2</v>
      </c>
      <c r="Q1921">
        <v>2.9949940430229298E-3</v>
      </c>
      <c r="R1921">
        <v>1.8872475208977523E-3</v>
      </c>
      <c r="S1921">
        <v>0.20726713544648998</v>
      </c>
      <c r="T1921">
        <v>1.0580636113818036</v>
      </c>
      <c r="U1921">
        <v>3.8032591204055638E-2</v>
      </c>
      <c r="V1921">
        <v>0.24794669073955405</v>
      </c>
      <c r="W1921">
        <v>0.11527840064644132</v>
      </c>
      <c r="X1921">
        <v>2.0734744582831335E-2</v>
      </c>
      <c r="Y1921">
        <v>5.1364656209056192E-3</v>
      </c>
    </row>
    <row r="1922" spans="1:25" x14ac:dyDescent="0.25">
      <c r="A1922" s="881"/>
      <c r="B1922" s="1131">
        <v>1672</v>
      </c>
      <c r="C1922" s="885">
        <v>1.0254905722510834</v>
      </c>
      <c r="D1922" s="885">
        <v>1.0013271025847286</v>
      </c>
      <c r="E1922" s="885">
        <v>1.0049438150533356</v>
      </c>
      <c r="F1922" s="885">
        <v>0.99786279822199409</v>
      </c>
      <c r="G1922" s="885">
        <v>0.99992084461530206</v>
      </c>
      <c r="H1922" s="885">
        <v>1.0162757733824677</v>
      </c>
      <c r="I1922" s="885">
        <v>0.99464624770492593</v>
      </c>
      <c r="K1922">
        <v>1.9264611618239529</v>
      </c>
      <c r="L1922">
        <v>0</v>
      </c>
      <c r="M1922">
        <v>1.9143703287271339E-3</v>
      </c>
      <c r="N1922">
        <v>0.19588607292656235</v>
      </c>
      <c r="O1922">
        <v>2.4507656363797661E-2</v>
      </c>
      <c r="P1922">
        <v>2.1074551953165245E-2</v>
      </c>
      <c r="Q1922">
        <v>2.8937022344246235E-3</v>
      </c>
      <c r="R1922">
        <v>1.9031248602195876E-3</v>
      </c>
      <c r="S1922">
        <v>0.20111997947585186</v>
      </c>
      <c r="T1922">
        <v>1.0579186780934655</v>
      </c>
      <c r="U1922">
        <v>3.6392641347247109E-2</v>
      </c>
      <c r="V1922">
        <v>0.24413597565161838</v>
      </c>
      <c r="W1922">
        <v>0.11669519445293267</v>
      </c>
      <c r="X1922">
        <v>2.0668276288818396E-2</v>
      </c>
      <c r="Y1922">
        <v>5.1796785045761535E-3</v>
      </c>
    </row>
    <row r="1923" spans="1:25" x14ac:dyDescent="0.25">
      <c r="A1923" s="881"/>
      <c r="B1923" s="1131">
        <v>1673</v>
      </c>
      <c r="C1923" s="885">
        <v>0.9722761468585005</v>
      </c>
      <c r="D1923" s="885">
        <v>1.0078043839031605</v>
      </c>
      <c r="E1923" s="885">
        <v>0.99846298699888136</v>
      </c>
      <c r="F1923" s="885">
        <v>1.0128163169596485</v>
      </c>
      <c r="G1923" s="885">
        <v>0.99231538396482721</v>
      </c>
      <c r="H1923" s="885">
        <v>1.0350518280578898</v>
      </c>
      <c r="I1923" s="885">
        <v>1.0139335454473346</v>
      </c>
      <c r="K1923">
        <v>1.9754453363210063</v>
      </c>
      <c r="L1923">
        <v>0</v>
      </c>
      <c r="M1923">
        <v>2.078085112073226E-3</v>
      </c>
      <c r="N1923">
        <v>0.20841595892774267</v>
      </c>
      <c r="O1923">
        <v>2.5766687034353621E-2</v>
      </c>
      <c r="P1923">
        <v>2.1324043705784741E-2</v>
      </c>
      <c r="Q1923">
        <v>3.0239802977873511E-3</v>
      </c>
      <c r="R1923">
        <v>2.0660940386479638E-3</v>
      </c>
      <c r="S1923">
        <v>0.21757586884457936</v>
      </c>
      <c r="T1923">
        <v>1.0585135596144064</v>
      </c>
      <c r="U1923">
        <v>3.8384476181485779E-2</v>
      </c>
      <c r="V1923">
        <v>0.25084287716146447</v>
      </c>
      <c r="W1923">
        <v>0.12471076780950503</v>
      </c>
      <c r="X1923">
        <v>2.1275880931838617E-2</v>
      </c>
      <c r="Y1923">
        <v>5.623226885482965E-3</v>
      </c>
    </row>
    <row r="1924" spans="1:25" x14ac:dyDescent="0.25">
      <c r="A1924" s="881"/>
      <c r="B1924" s="1131">
        <v>1674</v>
      </c>
      <c r="C1924" s="885">
        <v>0.96552438917705941</v>
      </c>
      <c r="D1924" s="885">
        <v>1.0114213080163845</v>
      </c>
      <c r="E1924" s="885">
        <v>0.99016923280131641</v>
      </c>
      <c r="F1924" s="885">
        <v>0.99555265644529012</v>
      </c>
      <c r="G1924" s="885">
        <v>1.0228053924623781</v>
      </c>
      <c r="H1924" s="885">
        <v>1.0102616227360035</v>
      </c>
      <c r="I1924" s="885">
        <v>1.0049104566246645</v>
      </c>
      <c r="K1924">
        <v>1.9646538032762972</v>
      </c>
      <c r="L1924">
        <v>0</v>
      </c>
      <c r="M1924">
        <v>2.0747784129803793E-3</v>
      </c>
      <c r="N1924">
        <v>0.20275246260783447</v>
      </c>
      <c r="O1924">
        <v>2.5900959110115529E-2</v>
      </c>
      <c r="P1924">
        <v>2.1167368997086652E-2</v>
      </c>
      <c r="Q1924">
        <v>3.0151728772882603E-3</v>
      </c>
      <c r="R1924">
        <v>2.062509613939206E-3</v>
      </c>
      <c r="S1924">
        <v>0.21419429183794211</v>
      </c>
      <c r="T1924">
        <v>1.0592772370309971</v>
      </c>
      <c r="U1924">
        <v>3.8652892686352476E-2</v>
      </c>
      <c r="V1924">
        <v>0.25138981392740356</v>
      </c>
      <c r="W1924">
        <v>0.12201508381708623</v>
      </c>
      <c r="X1924">
        <v>2.0687317920199729E-2</v>
      </c>
      <c r="Y1924">
        <v>5.6134712630310146E-3</v>
      </c>
    </row>
    <row r="1925" spans="1:25" x14ac:dyDescent="0.25">
      <c r="A1925" s="881"/>
      <c r="B1925" s="1131">
        <v>1675</v>
      </c>
      <c r="C1925" s="885">
        <v>1.0076696317932119</v>
      </c>
      <c r="D1925" s="885">
        <v>0.99783002185970349</v>
      </c>
      <c r="E1925" s="885">
        <v>0.99822205150491727</v>
      </c>
      <c r="F1925" s="885">
        <v>0.96144280105626012</v>
      </c>
      <c r="G1925" s="885">
        <v>0.98666591354135413</v>
      </c>
      <c r="H1925" s="885">
        <v>0.98324074277778628</v>
      </c>
      <c r="I1925" s="885">
        <v>1.0048536502703196</v>
      </c>
      <c r="K1925">
        <v>1.9275270703277618</v>
      </c>
      <c r="L1925">
        <v>0</v>
      </c>
      <c r="M1925">
        <v>1.9150867206592743E-3</v>
      </c>
      <c r="N1925">
        <v>0.19186665154950738</v>
      </c>
      <c r="O1925">
        <v>2.4984313505906745E-2</v>
      </c>
      <c r="P1925">
        <v>2.1061636874261082E-2</v>
      </c>
      <c r="Q1925">
        <v>2.9294208081608241E-3</v>
      </c>
      <c r="R1925">
        <v>1.9034618951087349E-3</v>
      </c>
      <c r="S1925">
        <v>0.20377253315974761</v>
      </c>
      <c r="T1925">
        <v>1.0585357068653225</v>
      </c>
      <c r="U1925">
        <v>3.7036256153222549E-2</v>
      </c>
      <c r="V1925">
        <v>0.24700159995245058</v>
      </c>
      <c r="W1925">
        <v>0.11482703696807968</v>
      </c>
      <c r="X1925">
        <v>2.0342943514212352E-2</v>
      </c>
      <c r="Y1925">
        <v>5.180595802440892E-3</v>
      </c>
    </row>
    <row r="1926" spans="1:25" x14ac:dyDescent="0.25">
      <c r="A1926" s="881"/>
      <c r="B1926" s="1131">
        <v>1676</v>
      </c>
      <c r="C1926" s="885">
        <v>0.99123200378137366</v>
      </c>
      <c r="D1926" s="885">
        <v>0.98009688980672705</v>
      </c>
      <c r="E1926" s="885">
        <v>0.98091342150203342</v>
      </c>
      <c r="F1926" s="885">
        <v>1.0142798677689151</v>
      </c>
      <c r="G1926" s="885">
        <v>0.96604869980706076</v>
      </c>
      <c r="H1926" s="885">
        <v>1.0054620917432611</v>
      </c>
      <c r="I1926" s="885">
        <v>1.000050977134336</v>
      </c>
      <c r="K1926">
        <v>1.9522553776874247</v>
      </c>
      <c r="L1926">
        <v>0</v>
      </c>
      <c r="M1926">
        <v>2.0830476873580027E-3</v>
      </c>
      <c r="N1926">
        <v>0.19777330469264784</v>
      </c>
      <c r="O1926">
        <v>2.5625420283548011E-2</v>
      </c>
      <c r="P1926">
        <v>2.0966270321807905E-2</v>
      </c>
      <c r="Q1926">
        <v>2.9487636735292398E-3</v>
      </c>
      <c r="R1926">
        <v>2.0706981953438766E-3</v>
      </c>
      <c r="S1926">
        <v>0.21015892092547295</v>
      </c>
      <c r="T1926">
        <v>1.0601326563379725</v>
      </c>
      <c r="U1926">
        <v>3.7650429423733853E-2</v>
      </c>
      <c r="V1926">
        <v>0.25159726834727764</v>
      </c>
      <c r="W1926">
        <v>0.11978253588417682</v>
      </c>
      <c r="X1926">
        <v>1.9996399407020367E-2</v>
      </c>
      <c r="Y1926">
        <v>5.6357578822493907E-3</v>
      </c>
    </row>
    <row r="1927" spans="1:25" x14ac:dyDescent="0.25">
      <c r="A1927" s="881"/>
      <c r="B1927" s="1131">
        <v>1677</v>
      </c>
      <c r="C1927" s="885">
        <v>1.0065149836778253</v>
      </c>
      <c r="D1927" s="885">
        <v>1.0183707773864903</v>
      </c>
      <c r="E1927" s="885">
        <v>1.0280446112493746</v>
      </c>
      <c r="F1927" s="885">
        <v>1.0007829966576245</v>
      </c>
      <c r="G1927" s="885">
        <v>1.0343201198600878</v>
      </c>
      <c r="H1927" s="885">
        <v>0.99864724434284857</v>
      </c>
      <c r="I1927" s="885">
        <v>0.9874665245587283</v>
      </c>
      <c r="K1927">
        <v>1.9293127350402925</v>
      </c>
      <c r="L1927">
        <v>0</v>
      </c>
      <c r="M1927">
        <v>1.8102412568769661E-3</v>
      </c>
      <c r="N1927">
        <v>0.19899401276064613</v>
      </c>
      <c r="O1927">
        <v>2.4762234402850834E-2</v>
      </c>
      <c r="P1927">
        <v>2.1409413614250934E-2</v>
      </c>
      <c r="Q1927">
        <v>2.9953243005464989E-3</v>
      </c>
      <c r="R1927">
        <v>1.7994071460884402E-3</v>
      </c>
      <c r="S1927">
        <v>0.20012909229738432</v>
      </c>
      <c r="T1927">
        <v>1.0558115694431278</v>
      </c>
      <c r="U1927">
        <v>3.7078743194212338E-2</v>
      </c>
      <c r="V1927">
        <v>0.24466453535845445</v>
      </c>
      <c r="W1927">
        <v>0.11670865595984284</v>
      </c>
      <c r="X1927">
        <v>2.1872594742517175E-2</v>
      </c>
      <c r="Y1927">
        <v>4.8973930772464452E-3</v>
      </c>
    </row>
    <row r="1928" spans="1:25" x14ac:dyDescent="0.25">
      <c r="A1928" s="881"/>
      <c r="B1928" s="1131">
        <v>1678</v>
      </c>
      <c r="C1928" s="885">
        <v>0.96993718536562146</v>
      </c>
      <c r="D1928" s="885">
        <v>0.99682285438315632</v>
      </c>
      <c r="E1928" s="885">
        <v>0.9822168706195028</v>
      </c>
      <c r="F1928" s="885">
        <v>1.0194374834655018</v>
      </c>
      <c r="G1928" s="885">
        <v>0.9823909516667485</v>
      </c>
      <c r="H1928" s="885">
        <v>0.96251698598491064</v>
      </c>
      <c r="I1928" s="885">
        <v>0.98435238458890972</v>
      </c>
      <c r="K1928">
        <v>1.9399652441184043</v>
      </c>
      <c r="L1928">
        <v>0</v>
      </c>
      <c r="M1928">
        <v>2.0153220538963413E-3</v>
      </c>
      <c r="N1928">
        <v>0.19206918476858845</v>
      </c>
      <c r="O1928">
        <v>2.5969234944059044E-2</v>
      </c>
      <c r="P1928">
        <v>2.094503372540877E-2</v>
      </c>
      <c r="Q1928">
        <v>2.99583517796757E-3</v>
      </c>
      <c r="R1928">
        <v>2.0028262703518716E-3</v>
      </c>
      <c r="S1928">
        <v>0.20534491653507697</v>
      </c>
      <c r="T1928">
        <v>1.0600119907498897</v>
      </c>
      <c r="U1928">
        <v>3.8477038682508978E-2</v>
      </c>
      <c r="V1928">
        <v>0.25258766649772146</v>
      </c>
      <c r="W1928">
        <v>0.11622275317689426</v>
      </c>
      <c r="X1928">
        <v>1.9903052767437413E-2</v>
      </c>
      <c r="Y1928">
        <v>5.4510328763952122E-3</v>
      </c>
    </row>
    <row r="1929" spans="1:25" x14ac:dyDescent="0.25">
      <c r="A1929" s="881"/>
      <c r="B1929" s="1131">
        <v>1679</v>
      </c>
      <c r="C1929" s="885">
        <v>1.0147868386236447</v>
      </c>
      <c r="D1929" s="885">
        <v>0.98034920612046061</v>
      </c>
      <c r="E1929" s="885">
        <v>0.98813808981552909</v>
      </c>
      <c r="F1929" s="885">
        <v>0.98015324441653318</v>
      </c>
      <c r="G1929" s="885">
        <v>0.96009181062883386</v>
      </c>
      <c r="H1929" s="885">
        <v>0.9855685807193435</v>
      </c>
      <c r="I1929" s="885">
        <v>1.0206804052214458</v>
      </c>
      <c r="K1929">
        <v>1.9316250073685852</v>
      </c>
      <c r="L1929">
        <v>0</v>
      </c>
      <c r="M1929">
        <v>1.9641459304897543E-3</v>
      </c>
      <c r="N1929">
        <v>0.1907052315246941</v>
      </c>
      <c r="O1929">
        <v>2.502741517520608E-2</v>
      </c>
      <c r="P1929">
        <v>2.0977825873368286E-2</v>
      </c>
      <c r="Q1929">
        <v>2.9011748347199319E-3</v>
      </c>
      <c r="R1929">
        <v>1.9522660984990752E-3</v>
      </c>
      <c r="S1929">
        <v>0.20744566122488103</v>
      </c>
      <c r="T1929">
        <v>1.0594646696740597</v>
      </c>
      <c r="U1929">
        <v>3.6776502394862007E-2</v>
      </c>
      <c r="V1929">
        <v>0.24820886617882079</v>
      </c>
      <c r="W1929">
        <v>0.11492596682712376</v>
      </c>
      <c r="X1929">
        <v>1.9890148737069784E-2</v>
      </c>
      <c r="Y1929">
        <v>5.3134247557680737E-3</v>
      </c>
    </row>
    <row r="1930" spans="1:25" x14ac:dyDescent="0.25">
      <c r="A1930" s="881"/>
      <c r="B1930" s="1131">
        <v>1680</v>
      </c>
      <c r="C1930" s="885">
        <v>0.960442866310251</v>
      </c>
      <c r="D1930" s="885">
        <v>0.99583059756095738</v>
      </c>
      <c r="E1930" s="885">
        <v>0.96610438031677315</v>
      </c>
      <c r="F1930" s="885">
        <v>1.0178228733315946</v>
      </c>
      <c r="G1930" s="885">
        <v>1.0145109132057348</v>
      </c>
      <c r="H1930" s="885">
        <v>1.0142877546738978</v>
      </c>
      <c r="I1930" s="885">
        <v>0.97727311148969365</v>
      </c>
      <c r="K1930">
        <v>1.9658377594052285</v>
      </c>
      <c r="L1930">
        <v>0</v>
      </c>
      <c r="M1930">
        <v>2.2195236604453505E-3</v>
      </c>
      <c r="N1930">
        <v>0.20123314591159008</v>
      </c>
      <c r="O1930">
        <v>2.6238888434163235E-2</v>
      </c>
      <c r="P1930">
        <v>2.0814070713771761E-2</v>
      </c>
      <c r="Q1930">
        <v>2.9774089012194818E-3</v>
      </c>
      <c r="R1930">
        <v>2.206465078598925E-3</v>
      </c>
      <c r="S1930">
        <v>0.21131950814533509</v>
      </c>
      <c r="T1930">
        <v>1.061508212290917</v>
      </c>
      <c r="U1930">
        <v>3.8857397883843903E-2</v>
      </c>
      <c r="V1930">
        <v>0.25415528281637356</v>
      </c>
      <c r="W1930">
        <v>0.12314265857755342</v>
      </c>
      <c r="X1930">
        <v>1.9598973729377127E-2</v>
      </c>
      <c r="Y1930">
        <v>6.0052705829285952E-3</v>
      </c>
    </row>
    <row r="1931" spans="1:25" x14ac:dyDescent="0.25">
      <c r="A1931" s="881"/>
      <c r="B1931" s="1131">
        <v>1681</v>
      </c>
      <c r="C1931" s="885">
        <v>1.0160414237424822</v>
      </c>
      <c r="D1931" s="885">
        <v>0.98949633980627894</v>
      </c>
      <c r="E1931" s="885">
        <v>1.018303359615349</v>
      </c>
      <c r="F1931" s="885">
        <v>0.96256006624897017</v>
      </c>
      <c r="G1931" s="885">
        <v>0.97744864850306146</v>
      </c>
      <c r="H1931" s="885">
        <v>0.99028921989467555</v>
      </c>
      <c r="I1931" s="885">
        <v>1.0042146890606682</v>
      </c>
      <c r="K1931">
        <v>1.9315901433832874</v>
      </c>
      <c r="L1931">
        <v>0</v>
      </c>
      <c r="M1931">
        <v>1.8412418998992439E-3</v>
      </c>
      <c r="N1931">
        <v>0.19636240725526785</v>
      </c>
      <c r="O1931">
        <v>2.4881623279708918E-2</v>
      </c>
      <c r="P1931">
        <v>2.1341519006469648E-2</v>
      </c>
      <c r="Q1931">
        <v>2.9748489010123242E-3</v>
      </c>
      <c r="R1931">
        <v>1.8301513377658089E-3</v>
      </c>
      <c r="S1931">
        <v>0.20345304259973965</v>
      </c>
      <c r="T1931">
        <v>1.0566975622393893</v>
      </c>
      <c r="U1931">
        <v>3.673109159609992E-2</v>
      </c>
      <c r="V1931">
        <v>0.2468769518002662</v>
      </c>
      <c r="W1931">
        <v>0.11592305796285596</v>
      </c>
      <c r="X1931">
        <v>2.1378060672439476E-2</v>
      </c>
      <c r="Y1931">
        <v>4.98106863217218E-3</v>
      </c>
    </row>
    <row r="1932" spans="1:25" x14ac:dyDescent="0.25">
      <c r="A1932" s="881"/>
      <c r="B1932" s="1131">
        <v>1682</v>
      </c>
      <c r="C1932" s="885">
        <v>0.98677660392708744</v>
      </c>
      <c r="D1932" s="885">
        <v>0.98956697977123542</v>
      </c>
      <c r="E1932" s="885">
        <v>0.96616653734294233</v>
      </c>
      <c r="F1932" s="885">
        <v>0.96682080574151374</v>
      </c>
      <c r="G1932" s="885">
        <v>1.0420984674683307</v>
      </c>
      <c r="H1932" s="885">
        <v>1.0112247051251249</v>
      </c>
      <c r="I1932" s="885">
        <v>0.9586587599720483</v>
      </c>
      <c r="K1932">
        <v>1.9423729894817157</v>
      </c>
      <c r="L1932">
        <v>0</v>
      </c>
      <c r="M1932">
        <v>2.1602253579306768E-3</v>
      </c>
      <c r="N1932">
        <v>0.19589183583357755</v>
      </c>
      <c r="O1932">
        <v>2.5618630632592884E-2</v>
      </c>
      <c r="P1932">
        <v>2.0636174880877677E-2</v>
      </c>
      <c r="Q1932">
        <v>2.9059287997226999E-3</v>
      </c>
      <c r="R1932">
        <v>2.1474827503694146E-3</v>
      </c>
      <c r="S1932">
        <v>0.20204597453751671</v>
      </c>
      <c r="T1932">
        <v>1.0615024210254447</v>
      </c>
      <c r="U1932">
        <v>3.7820425061146384E-2</v>
      </c>
      <c r="V1932">
        <v>0.25102410370434852</v>
      </c>
      <c r="W1932">
        <v>0.11986887528863899</v>
      </c>
      <c r="X1932">
        <v>1.9226622196400932E-2</v>
      </c>
      <c r="Y1932">
        <v>5.8447401290071446E-3</v>
      </c>
    </row>
    <row r="1933" spans="1:25" x14ac:dyDescent="0.25">
      <c r="A1933" s="881"/>
      <c r="B1933" s="1131">
        <v>1683</v>
      </c>
      <c r="C1933" s="885">
        <v>0.95626730297408735</v>
      </c>
      <c r="D1933" s="885">
        <v>1.0118911510772508</v>
      </c>
      <c r="E1933" s="885">
        <v>1.0077990311335039</v>
      </c>
      <c r="F1933" s="885">
        <v>1.015780915006387</v>
      </c>
      <c r="G1933" s="885">
        <v>1.0327953490096642</v>
      </c>
      <c r="H1933" s="885">
        <v>0.98085093046052219</v>
      </c>
      <c r="I1933" s="885">
        <v>0.97102546895173847</v>
      </c>
      <c r="K1933">
        <v>1.9551643628955615</v>
      </c>
      <c r="L1933">
        <v>0</v>
      </c>
      <c r="M1933">
        <v>1.9593123658414343E-3</v>
      </c>
      <c r="N1933">
        <v>0.20222862779499476</v>
      </c>
      <c r="O1933">
        <v>2.6145690057609333E-2</v>
      </c>
      <c r="P1933">
        <v>2.1335767301454905E-2</v>
      </c>
      <c r="Q1933">
        <v>3.0982112212155693E-3</v>
      </c>
      <c r="R1933">
        <v>1.9473785655884312E-3</v>
      </c>
      <c r="S1933">
        <v>0.20592619186739236</v>
      </c>
      <c r="T1933">
        <v>1.0576571146042388</v>
      </c>
      <c r="U1933">
        <v>3.9027069612070829E-2</v>
      </c>
      <c r="V1933">
        <v>0.25272966358764359</v>
      </c>
      <c r="W1933">
        <v>0.12023955165461218</v>
      </c>
      <c r="X1933">
        <v>2.1488286492220073E-2</v>
      </c>
      <c r="Y1933">
        <v>5.3001225023600919E-3</v>
      </c>
    </row>
    <row r="1934" spans="1:25" x14ac:dyDescent="0.25">
      <c r="A1934" s="881"/>
      <c r="B1934" s="1131">
        <v>1684</v>
      </c>
      <c r="C1934" s="885">
        <v>0.99293835352495319</v>
      </c>
      <c r="D1934" s="885">
        <v>1.0128554312238713</v>
      </c>
      <c r="E1934" s="885">
        <v>0.97711690382561833</v>
      </c>
      <c r="F1934" s="885">
        <v>1.0287143463844488</v>
      </c>
      <c r="G1934" s="885">
        <v>1.0122206038446724</v>
      </c>
      <c r="H1934" s="885">
        <v>0.97967853579220388</v>
      </c>
      <c r="I1934" s="885">
        <v>1.0021909166072138</v>
      </c>
      <c r="K1934">
        <v>1.9263485409555789</v>
      </c>
      <c r="L1934">
        <v>0</v>
      </c>
      <c r="M1934">
        <v>2.0093963876747184E-3</v>
      </c>
      <c r="N1934">
        <v>0.18850471689971857</v>
      </c>
      <c r="O1934">
        <v>2.5168232452388525E-2</v>
      </c>
      <c r="P1934">
        <v>2.0774721681174658E-2</v>
      </c>
      <c r="Q1934">
        <v>2.8916244927255971E-3</v>
      </c>
      <c r="R1934">
        <v>1.9971420843099574E-3</v>
      </c>
      <c r="S1934">
        <v>0.20447789305282446</v>
      </c>
      <c r="T1934">
        <v>1.0604844908870916</v>
      </c>
      <c r="U1934">
        <v>3.7585727722601263E-2</v>
      </c>
      <c r="V1934">
        <v>0.24721898696989686</v>
      </c>
      <c r="W1934">
        <v>0.11447033070620263</v>
      </c>
      <c r="X1934">
        <v>1.9348507998538073E-2</v>
      </c>
      <c r="Y1934">
        <v>5.4355623957805504E-3</v>
      </c>
    </row>
    <row r="1935" spans="1:25" x14ac:dyDescent="0.25">
      <c r="A1935" s="881"/>
      <c r="B1935" s="1131">
        <v>1685</v>
      </c>
      <c r="C1935" s="885">
        <v>1.0313202978142639</v>
      </c>
      <c r="D1935" s="885">
        <v>1.0198432974350267</v>
      </c>
      <c r="E1935" s="885">
        <v>1.0111425839871298</v>
      </c>
      <c r="F1935" s="885">
        <v>1.0002998577478939</v>
      </c>
      <c r="G1935" s="885">
        <v>0.99428022590844822</v>
      </c>
      <c r="H1935" s="885">
        <v>0.99142250798394427</v>
      </c>
      <c r="I1935" s="885">
        <v>0.96927872505934032</v>
      </c>
      <c r="K1935">
        <v>1.9008729667717603</v>
      </c>
      <c r="L1935">
        <v>0</v>
      </c>
      <c r="M1935">
        <v>1.8163728354461143E-3</v>
      </c>
      <c r="N1935">
        <v>0.18944596012429243</v>
      </c>
      <c r="O1935">
        <v>2.4149419966575984E-2</v>
      </c>
      <c r="P1935">
        <v>2.0979544453824581E-2</v>
      </c>
      <c r="Q1935">
        <v>2.8727971543423192E-3</v>
      </c>
      <c r="R1935">
        <v>1.8054217222470657E-3</v>
      </c>
      <c r="S1935">
        <v>0.19091084876171671</v>
      </c>
      <c r="T1935">
        <v>1.0573512193748225</v>
      </c>
      <c r="U1935">
        <v>3.6186925322823506E-2</v>
      </c>
      <c r="V1935">
        <v>0.24116388993777538</v>
      </c>
      <c r="W1935">
        <v>0.11238362194362653</v>
      </c>
      <c r="X1935">
        <v>2.0525928074314123E-2</v>
      </c>
      <c r="Y1935">
        <v>4.9137627708457253E-3</v>
      </c>
    </row>
    <row r="1936" spans="1:25" x14ac:dyDescent="0.25">
      <c r="A1936" s="881"/>
      <c r="B1936" s="1131">
        <v>1686</v>
      </c>
      <c r="C1936" s="885">
        <v>1.0220090665796631</v>
      </c>
      <c r="D1936" s="885">
        <v>1.0309153639506723</v>
      </c>
      <c r="E1936" s="885">
        <v>0.98837893766474039</v>
      </c>
      <c r="F1936" s="885">
        <v>0.99518552182846742</v>
      </c>
      <c r="G1936" s="885">
        <v>0.97027362876046319</v>
      </c>
      <c r="H1936" s="885">
        <v>0.97023501608749108</v>
      </c>
      <c r="I1936" s="885">
        <v>0.96413505122147491</v>
      </c>
      <c r="K1936">
        <v>1.8892088179324087</v>
      </c>
      <c r="L1936">
        <v>0</v>
      </c>
      <c r="M1936">
        <v>1.8718423917991008E-3</v>
      </c>
      <c r="N1936">
        <v>0.18185812827433381</v>
      </c>
      <c r="O1936">
        <v>2.4239978726776339E-2</v>
      </c>
      <c r="P1936">
        <v>2.0628021622032741E-2</v>
      </c>
      <c r="Q1936">
        <v>2.8204283901232261E-3</v>
      </c>
      <c r="R1936">
        <v>1.8603018613127633E-3</v>
      </c>
      <c r="S1936">
        <v>0.18869147138524955</v>
      </c>
      <c r="T1936">
        <v>1.0594424360019132</v>
      </c>
      <c r="U1936">
        <v>3.6516614011865893E-2</v>
      </c>
      <c r="V1936">
        <v>0.24110881260303979</v>
      </c>
      <c r="W1936">
        <v>0.10957616958976865</v>
      </c>
      <c r="X1936">
        <v>1.9275169439640721E-2</v>
      </c>
      <c r="Y1936">
        <v>5.0631284181495741E-3</v>
      </c>
    </row>
    <row r="1937" spans="1:25" x14ac:dyDescent="0.25">
      <c r="A1937" s="881"/>
      <c r="B1937" s="1131">
        <v>1687</v>
      </c>
      <c r="C1937" s="885">
        <v>0.98192007745872045</v>
      </c>
      <c r="D1937" s="885">
        <v>1.0084355564741161</v>
      </c>
      <c r="E1937" s="885">
        <v>0.96919158354066481</v>
      </c>
      <c r="F1937" s="885">
        <v>1.0303376057540148</v>
      </c>
      <c r="G1937" s="885">
        <v>1.0055283267040183</v>
      </c>
      <c r="H1937" s="885">
        <v>0.98252966452936374</v>
      </c>
      <c r="I1937" s="885">
        <v>0.95585928814829857</v>
      </c>
      <c r="K1937">
        <v>1.9262904546344655</v>
      </c>
      <c r="L1937">
        <v>0</v>
      </c>
      <c r="M1937">
        <v>2.0764889988084578E-3</v>
      </c>
      <c r="N1937">
        <v>0.19004884389757065</v>
      </c>
      <c r="O1937">
        <v>2.5505722606193056E-2</v>
      </c>
      <c r="P1937">
        <v>2.0605125154033517E-2</v>
      </c>
      <c r="Q1937">
        <v>2.905917577311551E-3</v>
      </c>
      <c r="R1937">
        <v>2.0638660864772604E-3</v>
      </c>
      <c r="S1937">
        <v>0.19788833715480575</v>
      </c>
      <c r="T1937">
        <v>1.0612207533239384</v>
      </c>
      <c r="U1937">
        <v>3.8007482948616923E-2</v>
      </c>
      <c r="V1937">
        <v>0.24934537218826155</v>
      </c>
      <c r="W1937">
        <v>0.11604749935396978</v>
      </c>
      <c r="X1937">
        <v>1.9110860207974326E-2</v>
      </c>
      <c r="Y1937">
        <v>5.6171631341185423E-3</v>
      </c>
    </row>
    <row r="1938" spans="1:25" x14ac:dyDescent="0.25">
      <c r="A1938" s="881"/>
      <c r="B1938" s="1131">
        <v>1688</v>
      </c>
      <c r="C1938" s="885">
        <v>0.98680533407608284</v>
      </c>
      <c r="D1938" s="885">
        <v>1.0026392748990876</v>
      </c>
      <c r="E1938" s="885">
        <v>0.99960264991796155</v>
      </c>
      <c r="F1938" s="885">
        <v>1.0165873685312921</v>
      </c>
      <c r="G1938" s="885">
        <v>0.97586726847500194</v>
      </c>
      <c r="H1938" s="885">
        <v>1.006607252456245</v>
      </c>
      <c r="I1938" s="885">
        <v>1.0072723553038223</v>
      </c>
      <c r="K1938">
        <v>1.9522901872652376</v>
      </c>
      <c r="L1938">
        <v>0</v>
      </c>
      <c r="M1938">
        <v>1.9914991585994308E-3</v>
      </c>
      <c r="N1938">
        <v>0.20040908712920746</v>
      </c>
      <c r="O1938">
        <v>2.5451918309953869E-2</v>
      </c>
      <c r="P1938">
        <v>2.1216802647740354E-2</v>
      </c>
      <c r="Q1938">
        <v>2.989396131553624E-3</v>
      </c>
      <c r="R1938">
        <v>1.9796871808396145E-3</v>
      </c>
      <c r="S1938">
        <v>0.21053280952956754</v>
      </c>
      <c r="T1938">
        <v>1.058408830259947</v>
      </c>
      <c r="U1938">
        <v>3.781932394585083E-2</v>
      </c>
      <c r="V1938">
        <v>0.24936477353880601</v>
      </c>
      <c r="W1938">
        <v>0.11982612043211439</v>
      </c>
      <c r="X1938">
        <v>2.0894881415711927E-2</v>
      </c>
      <c r="Y1938">
        <v>5.3880559025416578E-3</v>
      </c>
    </row>
    <row r="1939" spans="1:25" x14ac:dyDescent="0.25">
      <c r="A1939" s="881"/>
      <c r="B1939" s="1131">
        <v>1689</v>
      </c>
      <c r="C1939" s="885">
        <v>1.0314196392910207</v>
      </c>
      <c r="D1939" s="885">
        <v>1.0050055617566558</v>
      </c>
      <c r="E1939" s="885">
        <v>0.95978156677990611</v>
      </c>
      <c r="F1939" s="885">
        <v>0.97326526919513423</v>
      </c>
      <c r="G1939" s="885">
        <v>0.97282696209325159</v>
      </c>
      <c r="H1939" s="885">
        <v>0.99012228086856413</v>
      </c>
      <c r="I1939" s="885">
        <v>0.99617809112791578</v>
      </c>
      <c r="K1939">
        <v>1.901664200919341</v>
      </c>
      <c r="L1939">
        <v>0</v>
      </c>
      <c r="M1939">
        <v>2.0351790689273484E-3</v>
      </c>
      <c r="N1939">
        <v>0.18088870249494268</v>
      </c>
      <c r="O1939">
        <v>2.4322607431759707E-2</v>
      </c>
      <c r="P1939">
        <v>2.0351734667809766E-2</v>
      </c>
      <c r="Q1939">
        <v>2.7438674006036706E-3</v>
      </c>
      <c r="R1939">
        <v>2.0229050393930554E-3</v>
      </c>
      <c r="S1939">
        <v>0.19738493146663977</v>
      </c>
      <c r="T1939">
        <v>1.0620980980962367</v>
      </c>
      <c r="U1939">
        <v>3.6183439968789227E-2</v>
      </c>
      <c r="V1939">
        <v>0.2429034947366028</v>
      </c>
      <c r="W1939">
        <v>0.11118568121719277</v>
      </c>
      <c r="X1939">
        <v>1.8108236801537506E-2</v>
      </c>
      <c r="Y1939">
        <v>5.5056806667608798E-3</v>
      </c>
    </row>
    <row r="1940" spans="1:25" x14ac:dyDescent="0.25">
      <c r="A1940" s="881"/>
      <c r="B1940" s="1131">
        <v>1690</v>
      </c>
      <c r="C1940" s="885">
        <v>1.0093060163669598</v>
      </c>
      <c r="D1940" s="885">
        <v>1.0221980622165059</v>
      </c>
      <c r="E1940" s="885">
        <v>0.99879604558604618</v>
      </c>
      <c r="F1940" s="885">
        <v>1.0305205817643415</v>
      </c>
      <c r="G1940" s="885">
        <v>1.0247959958962185</v>
      </c>
      <c r="H1940" s="885">
        <v>0.97511482896113821</v>
      </c>
      <c r="I1940" s="885">
        <v>0.99858127261007268</v>
      </c>
      <c r="K1940">
        <v>1.9122676876645222</v>
      </c>
      <c r="L1940">
        <v>0</v>
      </c>
      <c r="M1940">
        <v>1.8714552820465811E-3</v>
      </c>
      <c r="N1940">
        <v>0.18781902325143313</v>
      </c>
      <c r="O1940">
        <v>2.4648076979226705E-2</v>
      </c>
      <c r="P1940">
        <v>2.0962766331920225E-2</v>
      </c>
      <c r="Q1940">
        <v>2.8965128483532825E-3</v>
      </c>
      <c r="R1940">
        <v>1.8599815550965155E-3</v>
      </c>
      <c r="S1940">
        <v>0.19914509172245609</v>
      </c>
      <c r="T1940">
        <v>1.0584829479551909</v>
      </c>
      <c r="U1940">
        <v>3.6976209391134877E-2</v>
      </c>
      <c r="V1940">
        <v>0.2438282603700645</v>
      </c>
      <c r="W1940">
        <v>0.11236045590210945</v>
      </c>
      <c r="X1940">
        <v>2.0097559989363356E-2</v>
      </c>
      <c r="Y1940">
        <v>5.0622566502178641E-3</v>
      </c>
    </row>
    <row r="1941" spans="1:25" x14ac:dyDescent="0.25">
      <c r="A1941" s="881"/>
      <c r="B1941" s="1131">
        <v>1691</v>
      </c>
      <c r="C1941" s="885">
        <v>0.98125227305690754</v>
      </c>
      <c r="D1941" s="885">
        <v>0.98021525665020937</v>
      </c>
      <c r="E1941" s="885">
        <v>0.98049490222456581</v>
      </c>
      <c r="F1941" s="885">
        <v>1.0286297379654414</v>
      </c>
      <c r="G1941" s="885">
        <v>0.96906337477123539</v>
      </c>
      <c r="H1941" s="885">
        <v>1.0154837258217106</v>
      </c>
      <c r="I1941" s="885">
        <v>0.96501624756986315</v>
      </c>
      <c r="K1941">
        <v>1.9566958166440376</v>
      </c>
      <c r="L1941">
        <v>0</v>
      </c>
      <c r="M1941">
        <v>2.1269472829406151E-3</v>
      </c>
      <c r="N1941">
        <v>0.2016900324931101</v>
      </c>
      <c r="O1941">
        <v>2.5884489489043195E-2</v>
      </c>
      <c r="P1941">
        <v>2.0927056910267541E-2</v>
      </c>
      <c r="Q1941">
        <v>2.9773342564036976E-3</v>
      </c>
      <c r="R1941">
        <v>2.1144618672295002E-3</v>
      </c>
      <c r="S1941">
        <v>0.20585488836864527</v>
      </c>
      <c r="T1941">
        <v>1.060171414349157</v>
      </c>
      <c r="U1941">
        <v>3.8033349451158403E-2</v>
      </c>
      <c r="V1941">
        <v>0.2530593802801579</v>
      </c>
      <c r="W1941">
        <v>0.12219018666694348</v>
      </c>
      <c r="X1941">
        <v>2.0165301624431191E-2</v>
      </c>
      <c r="Y1941">
        <v>5.7548681704314986E-3</v>
      </c>
    </row>
    <row r="1942" spans="1:25" x14ac:dyDescent="0.25">
      <c r="A1942" s="881"/>
      <c r="B1942" s="1131">
        <v>1692</v>
      </c>
      <c r="C1942" s="885">
        <v>0.98970670716727838</v>
      </c>
      <c r="D1942" s="885">
        <v>0.97858303994768325</v>
      </c>
      <c r="E1942" s="885">
        <v>0.96790720793119744</v>
      </c>
      <c r="F1942" s="885">
        <v>0.99383219861999694</v>
      </c>
      <c r="G1942" s="885">
        <v>1.0330641491366654</v>
      </c>
      <c r="H1942" s="885">
        <v>1.0012442144951805</v>
      </c>
      <c r="I1942" s="885">
        <v>0.99472375050006323</v>
      </c>
      <c r="K1942">
        <v>1.9484435494308854</v>
      </c>
      <c r="L1942">
        <v>0</v>
      </c>
      <c r="M1942">
        <v>2.1365979957738068E-3</v>
      </c>
      <c r="N1942">
        <v>0.19479332687258988</v>
      </c>
      <c r="O1942">
        <v>2.5684615088035049E-2</v>
      </c>
      <c r="P1942">
        <v>2.076709943545596E-2</v>
      </c>
      <c r="Q1942">
        <v>2.9163237637624558E-3</v>
      </c>
      <c r="R1942">
        <v>2.1238790407309741E-3</v>
      </c>
      <c r="S1942">
        <v>0.20907704913012717</v>
      </c>
      <c r="T1942">
        <v>1.0613403007200097</v>
      </c>
      <c r="U1942">
        <v>3.770845476811447E-2</v>
      </c>
      <c r="V1942">
        <v>0.2520206157014922</v>
      </c>
      <c r="W1942">
        <v>0.11905148271938051</v>
      </c>
      <c r="X1942">
        <v>1.9316501574629313E-2</v>
      </c>
      <c r="Y1942">
        <v>5.7804986123321019E-3</v>
      </c>
    </row>
    <row r="1943" spans="1:25" x14ac:dyDescent="0.25">
      <c r="A1943" s="881"/>
      <c r="B1943" s="1131">
        <v>1693</v>
      </c>
      <c r="C1943" s="885">
        <v>1.0334207048849697</v>
      </c>
      <c r="D1943" s="885">
        <v>0.99221973395817809</v>
      </c>
      <c r="E1943" s="885">
        <v>0.96321851166361738</v>
      </c>
      <c r="F1943" s="885">
        <v>1.0332979666245736</v>
      </c>
      <c r="G1943" s="885">
        <v>1.0293273927603648</v>
      </c>
      <c r="H1943" s="885">
        <v>0.97831951583907872</v>
      </c>
      <c r="I1943" s="885">
        <v>0.97196354514421057</v>
      </c>
      <c r="K1943">
        <v>1.8960835229107811</v>
      </c>
      <c r="L1943">
        <v>0</v>
      </c>
      <c r="M1943">
        <v>2.0052993541475289E-3</v>
      </c>
      <c r="N1943">
        <v>0.18014228802573065</v>
      </c>
      <c r="O1943">
        <v>2.4429881430310992E-2</v>
      </c>
      <c r="P1943">
        <v>2.0349146441225478E-2</v>
      </c>
      <c r="Q1943">
        <v>2.7632446190337312E-3</v>
      </c>
      <c r="R1943">
        <v>1.9930704847296002E-3</v>
      </c>
      <c r="S1943">
        <v>0.19221927865541735</v>
      </c>
      <c r="T1943">
        <v>1.0617772574361195</v>
      </c>
      <c r="U1943">
        <v>3.6113376115365359E-2</v>
      </c>
      <c r="V1943">
        <v>0.24418614238030831</v>
      </c>
      <c r="W1943">
        <v>0.11045968083184249</v>
      </c>
      <c r="X1943">
        <v>1.8230975000918134E-2</v>
      </c>
      <c r="Y1943">
        <v>5.4244808439252576E-3</v>
      </c>
    </row>
    <row r="1944" spans="1:25" x14ac:dyDescent="0.25">
      <c r="A1944" s="881"/>
      <c r="B1944" s="1131">
        <v>1694</v>
      </c>
      <c r="C1944" s="885">
        <v>0.98982973695939092</v>
      </c>
      <c r="D1944" s="885">
        <v>0.97811955838986808</v>
      </c>
      <c r="E1944" s="885">
        <v>0.98466152181941635</v>
      </c>
      <c r="F1944" s="885">
        <v>0.99798346676027905</v>
      </c>
      <c r="G1944" s="885">
        <v>0.98663810319393985</v>
      </c>
      <c r="H1944" s="885">
        <v>0.98691722714283781</v>
      </c>
      <c r="I1944" s="885">
        <v>0.98925559224566217</v>
      </c>
      <c r="K1944">
        <v>1.9445321333373951</v>
      </c>
      <c r="L1944">
        <v>0</v>
      </c>
      <c r="M1944">
        <v>2.0335054701559911E-3</v>
      </c>
      <c r="N1944">
        <v>0.19531525753994924</v>
      </c>
      <c r="O1944">
        <v>2.5687463821844454E-2</v>
      </c>
      <c r="P1944">
        <v>2.097867746218967E-2</v>
      </c>
      <c r="Q1944">
        <v>2.9667462183631615E-3</v>
      </c>
      <c r="R1944">
        <v>2.0212248907957161E-3</v>
      </c>
      <c r="S1944">
        <v>0.20648223072518615</v>
      </c>
      <c r="T1944">
        <v>1.059785857230336</v>
      </c>
      <c r="U1944">
        <v>3.7703767837445772E-2</v>
      </c>
      <c r="V1944">
        <v>0.2520656875746709</v>
      </c>
      <c r="W1944">
        <v>0.11798714984978013</v>
      </c>
      <c r="X1944">
        <v>2.007046780084942E-2</v>
      </c>
      <c r="Y1944">
        <v>5.5011078561397614E-3</v>
      </c>
    </row>
    <row r="1945" spans="1:25" x14ac:dyDescent="0.25">
      <c r="A1945" s="881"/>
      <c r="B1945" s="1131">
        <v>1695</v>
      </c>
      <c r="C1945" s="885">
        <v>1.0094220206540094</v>
      </c>
      <c r="D1945" s="885">
        <v>1.0002495237982438</v>
      </c>
      <c r="E1945" s="885">
        <v>0.98320079208169298</v>
      </c>
      <c r="F1945" s="885">
        <v>1.0179764153492925</v>
      </c>
      <c r="G1945" s="885">
        <v>1.0065437427729478</v>
      </c>
      <c r="H1945" s="885">
        <v>0.95865614543051914</v>
      </c>
      <c r="I1945" s="885">
        <v>1.0125696779105844</v>
      </c>
      <c r="K1945">
        <v>1.9135096879456222</v>
      </c>
      <c r="L1945">
        <v>0</v>
      </c>
      <c r="M1945">
        <v>1.9214763699571392E-3</v>
      </c>
      <c r="N1945">
        <v>0.18368252569563256</v>
      </c>
      <c r="O1945">
        <v>2.4911055049772118E-2</v>
      </c>
      <c r="P1945">
        <v>2.0814926284644299E-2</v>
      </c>
      <c r="Q1945">
        <v>2.8773222792832817E-3</v>
      </c>
      <c r="R1945">
        <v>1.909511638182496E-3</v>
      </c>
      <c r="S1945">
        <v>0.20225772410465592</v>
      </c>
      <c r="T1945">
        <v>1.0599209488007646</v>
      </c>
      <c r="U1945">
        <v>3.6971960029896E-2</v>
      </c>
      <c r="V1945">
        <v>0.24645721678209129</v>
      </c>
      <c r="W1945">
        <v>0.11107219752703101</v>
      </c>
      <c r="X1945">
        <v>1.9358714914832761E-2</v>
      </c>
      <c r="Y1945">
        <v>5.197061208790401E-3</v>
      </c>
    </row>
    <row r="1946" spans="1:25" x14ac:dyDescent="0.25">
      <c r="A1946" s="881"/>
      <c r="B1946" s="1131">
        <v>1696</v>
      </c>
      <c r="C1946" s="885">
        <v>0.95458329701241118</v>
      </c>
      <c r="D1946" s="885">
        <v>0.97242187057236207</v>
      </c>
      <c r="E1946" s="885">
        <v>0.98787058096039371</v>
      </c>
      <c r="F1946" s="885">
        <v>0.96250357766727235</v>
      </c>
      <c r="G1946" s="885">
        <v>0.99664178530406367</v>
      </c>
      <c r="H1946" s="885">
        <v>0.99564561097518534</v>
      </c>
      <c r="I1946" s="885">
        <v>1.0257536226303483</v>
      </c>
      <c r="K1946">
        <v>1.9876785086968927</v>
      </c>
      <c r="L1946">
        <v>0</v>
      </c>
      <c r="M1946">
        <v>2.119076192225794E-3</v>
      </c>
      <c r="N1946">
        <v>0.20558995821071344</v>
      </c>
      <c r="O1946">
        <v>2.6713338111153482E-2</v>
      </c>
      <c r="P1946">
        <v>2.1358357654210382E-2</v>
      </c>
      <c r="Q1946">
        <v>3.0939985913812015E-3</v>
      </c>
      <c r="R1946">
        <v>2.1063962208943965E-3</v>
      </c>
      <c r="S1946">
        <v>0.2235661054816572</v>
      </c>
      <c r="T1946">
        <v>1.0594893671771959</v>
      </c>
      <c r="U1946">
        <v>3.9095918310868692E-2</v>
      </c>
      <c r="V1946">
        <v>0.25819388578041425</v>
      </c>
      <c r="W1946">
        <v>0.12391892021541859</v>
      </c>
      <c r="X1946">
        <v>2.0938422995261559E-2</v>
      </c>
      <c r="Y1946">
        <v>5.7329161399469449E-3</v>
      </c>
    </row>
    <row r="1947" spans="1:25" x14ac:dyDescent="0.25">
      <c r="A1947" s="881"/>
      <c r="B1947" s="1131">
        <v>1697</v>
      </c>
      <c r="C1947" s="885">
        <v>1.0436988200799895</v>
      </c>
      <c r="D1947" s="885">
        <v>1.001824458671023</v>
      </c>
      <c r="E1947" s="885">
        <v>0.97546216155949206</v>
      </c>
      <c r="F1947" s="885">
        <v>0.96912882225220398</v>
      </c>
      <c r="G1947" s="885">
        <v>1.0244751183587231</v>
      </c>
      <c r="H1947" s="885">
        <v>1.022081610985957</v>
      </c>
      <c r="I1947" s="885">
        <v>1.0015436914932327</v>
      </c>
      <c r="K1947">
        <v>1.9114287093588254</v>
      </c>
      <c r="L1947">
        <v>0</v>
      </c>
      <c r="M1947">
        <v>2.0122049990165601E-3</v>
      </c>
      <c r="N1947">
        <v>0.18784583921296899</v>
      </c>
      <c r="O1947">
        <v>2.4074181780139765E-2</v>
      </c>
      <c r="P1947">
        <v>2.0585054018741722E-2</v>
      </c>
      <c r="Q1947">
        <v>2.7591690025578078E-3</v>
      </c>
      <c r="R1947">
        <v>2.00045156551214E-3</v>
      </c>
      <c r="S1947">
        <v>0.19949954938606118</v>
      </c>
      <c r="T1947">
        <v>1.0606380155819941</v>
      </c>
      <c r="U1947">
        <v>3.5757739572855572E-2</v>
      </c>
      <c r="V1947">
        <v>0.24167055696051873</v>
      </c>
      <c r="W1947">
        <v>0.11420161827065761</v>
      </c>
      <c r="X1947">
        <v>1.8964169293190239E-2</v>
      </c>
      <c r="Y1947">
        <v>5.4445697126427051E-3</v>
      </c>
    </row>
    <row r="1948" spans="1:25" x14ac:dyDescent="0.25">
      <c r="A1948" s="881"/>
      <c r="B1948" s="1131">
        <v>1698</v>
      </c>
      <c r="C1948" s="885">
        <v>1.0022170819841068</v>
      </c>
      <c r="D1948" s="885">
        <v>1.0167385647084526</v>
      </c>
      <c r="E1948" s="885">
        <v>0.95325657735070457</v>
      </c>
      <c r="F1948" s="885">
        <v>0.98953264974265487</v>
      </c>
      <c r="G1948" s="885">
        <v>0.99130781162811799</v>
      </c>
      <c r="H1948" s="885">
        <v>0.98736417287440292</v>
      </c>
      <c r="I1948" s="885">
        <v>1.007998414172059</v>
      </c>
      <c r="K1948">
        <v>1.9179623982956722</v>
      </c>
      <c r="L1948">
        <v>0</v>
      </c>
      <c r="M1948">
        <v>2.1052409509514196E-3</v>
      </c>
      <c r="N1948">
        <v>0.18333969205802217</v>
      </c>
      <c r="O1948">
        <v>2.4888130410542789E-2</v>
      </c>
      <c r="P1948">
        <v>2.0393859564861928E-2</v>
      </c>
      <c r="Q1948">
        <v>2.7911088081082206E-3</v>
      </c>
      <c r="R1948">
        <v>2.0924987203004876E-3</v>
      </c>
      <c r="S1948">
        <v>0.2041780445515313</v>
      </c>
      <c r="T1948">
        <v>1.0627084626764867</v>
      </c>
      <c r="U1948">
        <v>3.7237751453041659E-2</v>
      </c>
      <c r="V1948">
        <v>0.24545359119868115</v>
      </c>
      <c r="W1948">
        <v>0.11321214835501367</v>
      </c>
      <c r="X1948">
        <v>1.807725972539536E-2</v>
      </c>
      <c r="Y1948">
        <v>5.6950917246401632E-3</v>
      </c>
    </row>
    <row r="1949" spans="1:25" x14ac:dyDescent="0.25">
      <c r="A1949" s="881"/>
      <c r="B1949" s="1131">
        <v>1699</v>
      </c>
      <c r="C1949" s="885">
        <v>1.0312224380231814</v>
      </c>
      <c r="D1949" s="885">
        <v>1.0055186735824706</v>
      </c>
      <c r="E1949" s="885">
        <v>1.001932295866824</v>
      </c>
      <c r="F1949" s="885">
        <v>0.97518324446738103</v>
      </c>
      <c r="G1949" s="885">
        <v>0.95927868489592483</v>
      </c>
      <c r="H1949" s="885">
        <v>0.96248590912896326</v>
      </c>
      <c r="I1949" s="885">
        <v>1.0287887133261056</v>
      </c>
      <c r="K1949">
        <v>1.9043976718005147</v>
      </c>
      <c r="L1949">
        <v>0</v>
      </c>
      <c r="M1949">
        <v>1.8107022430150208E-3</v>
      </c>
      <c r="N1949">
        <v>0.18349003242360629</v>
      </c>
      <c r="O1949">
        <v>2.4321117445288299E-2</v>
      </c>
      <c r="P1949">
        <v>2.101016133804871E-2</v>
      </c>
      <c r="Q1949">
        <v>2.8638462457317685E-3</v>
      </c>
      <c r="R1949">
        <v>1.7994680636098175E-3</v>
      </c>
      <c r="S1949">
        <v>0.20105513208577205</v>
      </c>
      <c r="T1949">
        <v>1.0581949048043682</v>
      </c>
      <c r="U1949">
        <v>3.6190359349102849E-2</v>
      </c>
      <c r="V1949">
        <v>0.24286676386803993</v>
      </c>
      <c r="W1949">
        <v>0.10953543933084688</v>
      </c>
      <c r="X1949">
        <v>1.9983590214457173E-2</v>
      </c>
      <c r="Y1949">
        <v>4.8975588746581807E-3</v>
      </c>
    </row>
    <row r="1950" spans="1:25" x14ac:dyDescent="0.25">
      <c r="A1950" s="881"/>
      <c r="B1950" s="1131">
        <v>1700</v>
      </c>
      <c r="C1950" s="885">
        <v>0.99293156809759209</v>
      </c>
      <c r="D1950" s="885">
        <v>1.0106854889930481</v>
      </c>
      <c r="E1950" s="885">
        <v>1.0308699750328052</v>
      </c>
      <c r="F1950" s="885">
        <v>1.0213649652189116</v>
      </c>
      <c r="G1950" s="885">
        <v>1.0131984578701092</v>
      </c>
      <c r="H1950" s="885">
        <v>1.0111885348515455</v>
      </c>
      <c r="I1950" s="885">
        <v>0.98173425152374549</v>
      </c>
      <c r="K1950">
        <v>1.9474557437349951</v>
      </c>
      <c r="L1950">
        <v>0</v>
      </c>
      <c r="M1950">
        <v>1.8538972883252716E-3</v>
      </c>
      <c r="N1950">
        <v>0.20560427593167768</v>
      </c>
      <c r="O1950">
        <v>2.5195094429741126E-2</v>
      </c>
      <c r="P1950">
        <v>2.1545338662075961E-2</v>
      </c>
      <c r="Q1950">
        <v>3.0546091432243948E-3</v>
      </c>
      <c r="R1950">
        <v>1.8429452255611072E-3</v>
      </c>
      <c r="S1950">
        <v>0.20363861074827336</v>
      </c>
      <c r="T1950">
        <v>1.0555552897180025</v>
      </c>
      <c r="U1950">
        <v>3.7585984573358655E-2</v>
      </c>
      <c r="V1950">
        <v>0.24748670290794089</v>
      </c>
      <c r="W1950">
        <v>0.1203573542853177</v>
      </c>
      <c r="X1950">
        <v>2.2427546020897138E-2</v>
      </c>
      <c r="Y1950">
        <v>5.0158893772470035E-3</v>
      </c>
    </row>
    <row r="1951" spans="1:25" x14ac:dyDescent="0.25">
      <c r="A1951" s="881"/>
      <c r="B1951" s="1131">
        <v>1701</v>
      </c>
      <c r="C1951" s="885">
        <v>1.0369444683383</v>
      </c>
      <c r="D1951" s="885">
        <v>0.99868848868299553</v>
      </c>
      <c r="E1951" s="885">
        <v>0.98507647190566949</v>
      </c>
      <c r="F1951" s="885">
        <v>1.0424535564091892</v>
      </c>
      <c r="G1951" s="885">
        <v>0.98668080340995079</v>
      </c>
      <c r="H1951" s="885">
        <v>1.0204169630446702</v>
      </c>
      <c r="I1951" s="885">
        <v>0.9869043690926248</v>
      </c>
      <c r="K1951">
        <v>1.9155510917290011</v>
      </c>
      <c r="L1951">
        <v>0</v>
      </c>
      <c r="M1951">
        <v>1.9846841431448007E-3</v>
      </c>
      <c r="N1951">
        <v>0.19090901041167152</v>
      </c>
      <c r="O1951">
        <v>2.426862545843805E-2</v>
      </c>
      <c r="P1951">
        <v>2.0723722099085903E-2</v>
      </c>
      <c r="Q1951">
        <v>2.808150123242671E-3</v>
      </c>
      <c r="R1951">
        <v>1.9730750713824532E-3</v>
      </c>
      <c r="S1951">
        <v>0.1979887744145562</v>
      </c>
      <c r="T1951">
        <v>1.0597474968213614</v>
      </c>
      <c r="U1951">
        <v>3.5990654987265169E-2</v>
      </c>
      <c r="V1951">
        <v>0.24293133663065983</v>
      </c>
      <c r="W1951">
        <v>0.11529231143583989</v>
      </c>
      <c r="X1951">
        <v>1.9532558498362728E-2</v>
      </c>
      <c r="Y1951">
        <v>5.3700599202805618E-3</v>
      </c>
    </row>
    <row r="1952" spans="1:25" x14ac:dyDescent="0.25">
      <c r="A1952" s="881"/>
      <c r="B1952" s="1131">
        <v>1702</v>
      </c>
      <c r="C1952" s="885">
        <v>0.96582101847058655</v>
      </c>
      <c r="D1952" s="885">
        <v>0.96545080062354627</v>
      </c>
      <c r="E1952" s="885">
        <v>0.99958090787338949</v>
      </c>
      <c r="F1952" s="885">
        <v>1.0399202900730353</v>
      </c>
      <c r="G1952" s="885">
        <v>0.98372655573584067</v>
      </c>
      <c r="H1952" s="885">
        <v>1.0425838096536959</v>
      </c>
      <c r="I1952" s="885">
        <v>1.0014290285901337</v>
      </c>
      <c r="K1952">
        <v>1.9999945702681814</v>
      </c>
      <c r="L1952">
        <v>0</v>
      </c>
      <c r="M1952">
        <v>2.1474461990741555E-3</v>
      </c>
      <c r="N1952">
        <v>0.21613554430773077</v>
      </c>
      <c r="O1952">
        <v>2.6497124835535419E-2</v>
      </c>
      <c r="P1952">
        <v>2.1486233015821199E-2</v>
      </c>
      <c r="Q1952">
        <v>3.1038429399609319E-3</v>
      </c>
      <c r="R1952">
        <v>2.1351811789010111E-3</v>
      </c>
      <c r="S1952">
        <v>0.22145363527657622</v>
      </c>
      <c r="T1952">
        <v>1.0584108277723736</v>
      </c>
      <c r="U1952">
        <v>3.8641021356125634E-2</v>
      </c>
      <c r="V1952">
        <v>0.25739317451621413</v>
      </c>
      <c r="W1952">
        <v>0.12923101210156007</v>
      </c>
      <c r="X1952">
        <v>2.1843159859770988E-2</v>
      </c>
      <c r="Y1952">
        <v>5.8112593066820938E-3</v>
      </c>
    </row>
    <row r="1953" spans="1:25" x14ac:dyDescent="0.25">
      <c r="A1953" s="881"/>
      <c r="B1953" s="1131">
        <v>1703</v>
      </c>
      <c r="C1953" s="885">
        <v>0.97837122958350242</v>
      </c>
      <c r="D1953" s="885">
        <v>1.0288397896607362</v>
      </c>
      <c r="E1953" s="885">
        <v>0.99049494300646201</v>
      </c>
      <c r="F1953" s="885">
        <v>1.024195374153434</v>
      </c>
      <c r="G1953" s="885">
        <v>1.0036673194241845</v>
      </c>
      <c r="H1953" s="885">
        <v>1.0022168418458985</v>
      </c>
      <c r="I1953" s="885">
        <v>1.0165291308534385</v>
      </c>
      <c r="K1953">
        <v>1.9465562844340363</v>
      </c>
      <c r="L1953">
        <v>0</v>
      </c>
      <c r="M1953">
        <v>2.0128162708931935E-3</v>
      </c>
      <c r="N1953">
        <v>0.19688614371733607</v>
      </c>
      <c r="O1953">
        <v>2.5346313378940246E-2</v>
      </c>
      <c r="P1953">
        <v>2.107184093310175E-2</v>
      </c>
      <c r="Q1953">
        <v>2.9550617979306579E-3</v>
      </c>
      <c r="R1953">
        <v>2.0008042519699689E-3</v>
      </c>
      <c r="S1953">
        <v>0.2113262511099844</v>
      </c>
      <c r="T1953">
        <v>1.0592471956097791</v>
      </c>
      <c r="U1953">
        <v>3.814534756587673E-2</v>
      </c>
      <c r="V1953">
        <v>0.2473629500437772</v>
      </c>
      <c r="W1953">
        <v>0.11845818997583772</v>
      </c>
      <c r="X1953">
        <v>2.0323472711477497E-2</v>
      </c>
      <c r="Y1953">
        <v>5.4455296089178538E-3</v>
      </c>
    </row>
    <row r="1954" spans="1:25" x14ac:dyDescent="0.25">
      <c r="A1954" s="881"/>
      <c r="B1954" s="1131">
        <v>1704</v>
      </c>
      <c r="C1954" s="885">
        <v>1.0252279129582389</v>
      </c>
      <c r="D1954" s="885">
        <v>0.97072544057470589</v>
      </c>
      <c r="E1954" s="885">
        <v>1.011818936571997</v>
      </c>
      <c r="F1954" s="885">
        <v>0.97630943239378598</v>
      </c>
      <c r="G1954" s="885">
        <v>1.0095824604685528</v>
      </c>
      <c r="H1954" s="885">
        <v>0.99435387358715921</v>
      </c>
      <c r="I1954" s="885">
        <v>0.99886204222453479</v>
      </c>
      <c r="K1954">
        <v>1.9318783741009575</v>
      </c>
      <c r="L1954">
        <v>0</v>
      </c>
      <c r="M1954">
        <v>1.8752116860068023E-3</v>
      </c>
      <c r="N1954">
        <v>0.19600198718856637</v>
      </c>
      <c r="O1954">
        <v>2.4894214504613967E-2</v>
      </c>
      <c r="P1954">
        <v>2.1248933331228431E-2</v>
      </c>
      <c r="Q1954">
        <v>2.9531966155407542E-3</v>
      </c>
      <c r="R1954">
        <v>1.8639777331029535E-3</v>
      </c>
      <c r="S1954">
        <v>0.20273772599292531</v>
      </c>
      <c r="T1954">
        <v>1.0572893942352468</v>
      </c>
      <c r="U1954">
        <v>3.6401964996476931E-2</v>
      </c>
      <c r="V1954">
        <v>0.24798860069914822</v>
      </c>
      <c r="W1954">
        <v>0.11621943679052757</v>
      </c>
      <c r="X1954">
        <v>2.1081020770174326E-2</v>
      </c>
      <c r="Y1954">
        <v>5.0731329294116624E-3</v>
      </c>
    </row>
    <row r="1955" spans="1:25" x14ac:dyDescent="0.25">
      <c r="A1955" s="881"/>
      <c r="B1955" s="1131">
        <v>1705</v>
      </c>
      <c r="C1955" s="885">
        <v>0.96968687924155117</v>
      </c>
      <c r="D1955" s="885">
        <v>1.0373853639568547</v>
      </c>
      <c r="E1955" s="885">
        <v>1.0376878578106394</v>
      </c>
      <c r="F1955" s="885">
        <v>1.0203599051494747</v>
      </c>
      <c r="G1955" s="885">
        <v>0.98986431784177087</v>
      </c>
      <c r="H1955" s="885">
        <v>0.96369767981778354</v>
      </c>
      <c r="I1955" s="885">
        <v>0.95361725944315467</v>
      </c>
      <c r="K1955">
        <v>1.9294003189575843</v>
      </c>
      <c r="L1955">
        <v>0</v>
      </c>
      <c r="M1955">
        <v>1.7604829405937069E-3</v>
      </c>
      <c r="N1955">
        <v>0.19935852608702742</v>
      </c>
      <c r="O1955">
        <v>2.5469283860983113E-2</v>
      </c>
      <c r="P1955">
        <v>2.1543367923704961E-2</v>
      </c>
      <c r="Q1955">
        <v>3.1142842829994387E-3</v>
      </c>
      <c r="R1955">
        <v>1.7495506804224574E-3</v>
      </c>
      <c r="S1955">
        <v>0.19550366839408317</v>
      </c>
      <c r="T1955">
        <v>1.054938148816154</v>
      </c>
      <c r="U1955">
        <v>3.8486970794229212E-2</v>
      </c>
      <c r="V1955">
        <v>0.24759857204826868</v>
      </c>
      <c r="W1955">
        <v>0.11617079897018304</v>
      </c>
      <c r="X1955">
        <v>2.24659298272409E-2</v>
      </c>
      <c r="Y1955">
        <v>4.761700212883131E-3</v>
      </c>
    </row>
    <row r="1956" spans="1:25" x14ac:dyDescent="0.25">
      <c r="A1956" s="881"/>
      <c r="B1956" s="1131">
        <v>1706</v>
      </c>
      <c r="C1956" s="885">
        <v>1.0129729386948072</v>
      </c>
      <c r="D1956" s="885">
        <v>0.98188318303620914</v>
      </c>
      <c r="E1956" s="885">
        <v>0.99428663600771039</v>
      </c>
      <c r="F1956" s="885">
        <v>1.0017530280520637</v>
      </c>
      <c r="G1956" s="885">
        <v>1.0080779902081798</v>
      </c>
      <c r="H1956" s="885">
        <v>1.015417245129012</v>
      </c>
      <c r="I1956" s="885">
        <v>1.024058141874375</v>
      </c>
      <c r="K1956">
        <v>1.9471269505772737</v>
      </c>
      <c r="L1956">
        <v>0</v>
      </c>
      <c r="M1956">
        <v>1.9996591345575864E-3</v>
      </c>
      <c r="N1956">
        <v>0.19794073229334955</v>
      </c>
      <c r="O1956">
        <v>2.5052783375636749E-2</v>
      </c>
      <c r="P1956">
        <v>2.1123247679788754E-2</v>
      </c>
      <c r="Q1956">
        <v>2.9225290218749698E-3</v>
      </c>
      <c r="R1956">
        <v>1.9879187511085967E-3</v>
      </c>
      <c r="S1956">
        <v>0.21143641925325204</v>
      </c>
      <c r="T1956">
        <v>1.0588977777043844</v>
      </c>
      <c r="U1956">
        <v>3.6842356962668001E-2</v>
      </c>
      <c r="V1956">
        <v>0.24826371024717744</v>
      </c>
      <c r="W1956">
        <v>0.11878247099927079</v>
      </c>
      <c r="X1956">
        <v>2.046620390004104E-2</v>
      </c>
      <c r="Y1956">
        <v>5.4104595232774182E-3</v>
      </c>
    </row>
    <row r="1957" spans="1:25" x14ac:dyDescent="0.25">
      <c r="A1957" s="881"/>
      <c r="B1957" s="1131">
        <v>1707</v>
      </c>
      <c r="C1957" s="885">
        <v>0.95539369570810928</v>
      </c>
      <c r="D1957" s="885">
        <v>0.97687932098446051</v>
      </c>
      <c r="E1957" s="885">
        <v>0.96690270525437072</v>
      </c>
      <c r="F1957" s="885">
        <v>0.96473998200379563</v>
      </c>
      <c r="G1957" s="885">
        <v>1.0062941481506373</v>
      </c>
      <c r="H1957" s="885">
        <v>1.0088132118400555</v>
      </c>
      <c r="I1957" s="885">
        <v>1.0079355289610394</v>
      </c>
      <c r="K1957">
        <v>1.9825634050986061</v>
      </c>
      <c r="L1957">
        <v>0</v>
      </c>
      <c r="M1957">
        <v>2.2366968521167511E-3</v>
      </c>
      <c r="N1957">
        <v>0.20329079093402733</v>
      </c>
      <c r="O1957">
        <v>2.6630110441636875E-2</v>
      </c>
      <c r="P1957">
        <v>2.0994193578244946E-2</v>
      </c>
      <c r="Q1957">
        <v>3.0202009321508216E-3</v>
      </c>
      <c r="R1957">
        <v>2.2234835294719247E-3</v>
      </c>
      <c r="S1957">
        <v>0.22045646791199985</v>
      </c>
      <c r="T1957">
        <v>1.0614338424880039</v>
      </c>
      <c r="U1957">
        <v>3.9062755771332822E-2</v>
      </c>
      <c r="V1957">
        <v>0.2574589554942695</v>
      </c>
      <c r="W1957">
        <v>0.12433226410352904</v>
      </c>
      <c r="X1957">
        <v>1.9845447569979083E-2</v>
      </c>
      <c r="Y1957">
        <v>6.0515891960740802E-3</v>
      </c>
    </row>
    <row r="1958" spans="1:25" x14ac:dyDescent="0.25">
      <c r="A1958" s="881"/>
      <c r="B1958" s="1131">
        <v>1708</v>
      </c>
      <c r="C1958" s="885">
        <v>0.97176395871405152</v>
      </c>
      <c r="D1958" s="885">
        <v>0.9837905341298796</v>
      </c>
      <c r="E1958" s="885">
        <v>1.0223651478642966</v>
      </c>
      <c r="F1958" s="885">
        <v>0.97720864099819615</v>
      </c>
      <c r="G1958" s="885">
        <v>1.0179985422385001</v>
      </c>
      <c r="H1958" s="885">
        <v>1.0050350841396292</v>
      </c>
      <c r="I1958" s="885">
        <v>1.0083971648746626</v>
      </c>
      <c r="K1958">
        <v>1.9765168731209724</v>
      </c>
      <c r="L1958">
        <v>0</v>
      </c>
      <c r="M1958">
        <v>1.9426684456490915E-3</v>
      </c>
      <c r="N1958">
        <v>0.20982905535393045</v>
      </c>
      <c r="O1958">
        <v>2.6090046341792274E-2</v>
      </c>
      <c r="P1958">
        <v>2.1692631781996971E-2</v>
      </c>
      <c r="Q1958">
        <v>3.1306772232413877E-3</v>
      </c>
      <c r="R1958">
        <v>1.9311432805132706E-3</v>
      </c>
      <c r="S1958">
        <v>0.2157390313820455</v>
      </c>
      <c r="T1958">
        <v>1.0563276806365822</v>
      </c>
      <c r="U1958">
        <v>3.84047075076785E-2</v>
      </c>
      <c r="V1958">
        <v>0.25400695868418732</v>
      </c>
      <c r="W1958">
        <v>0.1235341597432406</v>
      </c>
      <c r="X1958">
        <v>2.2517514223065464E-2</v>
      </c>
      <c r="Y1958">
        <v>5.2559354083457927E-3</v>
      </c>
    </row>
    <row r="1959" spans="1:25" x14ac:dyDescent="0.25">
      <c r="A1959" s="881"/>
      <c r="B1959" s="1131">
        <v>1709</v>
      </c>
      <c r="C1959" s="885">
        <v>0.96721318110659382</v>
      </c>
      <c r="D1959" s="885">
        <v>0.9954159408851706</v>
      </c>
      <c r="E1959" s="885">
        <v>0.99797918133673125</v>
      </c>
      <c r="F1959" s="885">
        <v>1.000328775587594</v>
      </c>
      <c r="G1959" s="885">
        <v>0.98606153274711517</v>
      </c>
      <c r="H1959" s="885">
        <v>1.012672993702987</v>
      </c>
      <c r="I1959" s="885">
        <v>0.98312923488279824</v>
      </c>
      <c r="K1959">
        <v>1.9679087908107935</v>
      </c>
      <c r="L1959">
        <v>0</v>
      </c>
      <c r="M1959">
        <v>2.058431208137338E-3</v>
      </c>
      <c r="N1959">
        <v>0.20610889009874891</v>
      </c>
      <c r="O1959">
        <v>2.6060596229345444E-2</v>
      </c>
      <c r="P1959">
        <v>2.1261478069981375E-2</v>
      </c>
      <c r="Q1959">
        <v>3.0543521734025482E-3</v>
      </c>
      <c r="R1959">
        <v>2.0463014542172024E-3</v>
      </c>
      <c r="S1959">
        <v>0.2109716706557497</v>
      </c>
      <c r="T1959">
        <v>1.0585580342430037</v>
      </c>
      <c r="U1959">
        <v>3.858540322849878E-2</v>
      </c>
      <c r="V1959">
        <v>0.253176291049446</v>
      </c>
      <c r="W1959">
        <v>0.12337116169942615</v>
      </c>
      <c r="X1959">
        <v>2.1203685121821941E-2</v>
      </c>
      <c r="Y1959">
        <v>5.5693579952861361E-3</v>
      </c>
    </row>
    <row r="1960" spans="1:25" x14ac:dyDescent="0.25">
      <c r="A1960" s="881"/>
      <c r="B1960" s="1131">
        <v>1710</v>
      </c>
      <c r="C1960" s="885">
        <v>0.98022832446376829</v>
      </c>
      <c r="D1960" s="885">
        <v>1.0120774176441676</v>
      </c>
      <c r="E1960" s="885">
        <v>1.0216620310434155</v>
      </c>
      <c r="F1960" s="885">
        <v>0.97474213458136161</v>
      </c>
      <c r="G1960" s="885">
        <v>0.99034163898575256</v>
      </c>
      <c r="H1960" s="885">
        <v>1.0118537642873389</v>
      </c>
      <c r="I1960" s="885">
        <v>1.004239027247644</v>
      </c>
      <c r="K1960">
        <v>1.9599206122946373</v>
      </c>
      <c r="L1960">
        <v>0</v>
      </c>
      <c r="M1960">
        <v>1.9147998396874884E-3</v>
      </c>
      <c r="N1960">
        <v>0.20637365675126754</v>
      </c>
      <c r="O1960">
        <v>2.5504256324568767E-2</v>
      </c>
      <c r="P1960">
        <v>2.154377503253059E-2</v>
      </c>
      <c r="Q1960">
        <v>3.064304433892258E-3</v>
      </c>
      <c r="R1960">
        <v>1.9034943537453541E-3</v>
      </c>
      <c r="S1960">
        <v>0.21094171796924005</v>
      </c>
      <c r="T1960">
        <v>1.0563916629118462</v>
      </c>
      <c r="U1960">
        <v>3.8073079168909799E-2</v>
      </c>
      <c r="V1960">
        <v>0.24914262666736986</v>
      </c>
      <c r="W1960">
        <v>0.12155741668501989</v>
      </c>
      <c r="X1960">
        <v>2.2158737691785477E-2</v>
      </c>
      <c r="Y1960">
        <v>5.180684144149782E-3</v>
      </c>
    </row>
    <row r="1961" spans="1:25" x14ac:dyDescent="0.25">
      <c r="A1961" s="881"/>
      <c r="B1961" s="1131">
        <v>1711</v>
      </c>
      <c r="C1961" s="885">
        <v>0.99588471374866616</v>
      </c>
      <c r="D1961" s="885">
        <v>1.007521521196721</v>
      </c>
      <c r="E1961" s="885">
        <v>1.0079347435063539</v>
      </c>
      <c r="F1961" s="885">
        <v>0.98007529499921298</v>
      </c>
      <c r="G1961" s="885">
        <v>1.010694472941656</v>
      </c>
      <c r="H1961" s="885">
        <v>1.0101488861453161</v>
      </c>
      <c r="I1961" s="885">
        <v>1.0195202992302452</v>
      </c>
      <c r="K1961">
        <v>1.9491822338933265</v>
      </c>
      <c r="L1961">
        <v>0</v>
      </c>
      <c r="M1961">
        <v>1.9411555117229123E-3</v>
      </c>
      <c r="N1961">
        <v>0.20047512805033613</v>
      </c>
      <c r="O1961">
        <v>2.5159350710167384E-2</v>
      </c>
      <c r="P1961">
        <v>2.131437955101162E-2</v>
      </c>
      <c r="Q1961">
        <v>2.9808413785674384E-3</v>
      </c>
      <c r="R1961">
        <v>1.9296786447270298E-3</v>
      </c>
      <c r="S1961">
        <v>0.21104549843468975</v>
      </c>
      <c r="T1961">
        <v>1.0576446900460132</v>
      </c>
      <c r="U1961">
        <v>3.74745290149473E-2</v>
      </c>
      <c r="V1961">
        <v>0.24746110850596739</v>
      </c>
      <c r="W1961">
        <v>0.11918596163065245</v>
      </c>
      <c r="X1961">
        <v>2.1200274285416182E-2</v>
      </c>
      <c r="Y1961">
        <v>5.2519491525527019E-3</v>
      </c>
    </row>
    <row r="1962" spans="1:25" x14ac:dyDescent="0.25">
      <c r="A1962" s="881"/>
      <c r="B1962" s="1131">
        <v>1712</v>
      </c>
      <c r="C1962" s="885">
        <v>1.0035384354925547</v>
      </c>
      <c r="D1962" s="885">
        <v>0.99288651065470068</v>
      </c>
      <c r="E1962" s="885">
        <v>1.0238124001347364</v>
      </c>
      <c r="F1962" s="885">
        <v>0.97669962681525035</v>
      </c>
      <c r="G1962" s="885">
        <v>1.0005808668474527</v>
      </c>
      <c r="H1962" s="885">
        <v>0.98349323429073554</v>
      </c>
      <c r="I1962" s="885">
        <v>0.99330318239096926</v>
      </c>
      <c r="K1962">
        <v>1.9353775026375157</v>
      </c>
      <c r="L1962">
        <v>0</v>
      </c>
      <c r="M1962">
        <v>1.8268685377743103E-3</v>
      </c>
      <c r="N1962">
        <v>0.19818366779088639</v>
      </c>
      <c r="O1962">
        <v>2.5148955000602238E-2</v>
      </c>
      <c r="P1962">
        <v>2.1435700718468134E-2</v>
      </c>
      <c r="Q1962">
        <v>3.0240380404729793E-3</v>
      </c>
      <c r="R1962">
        <v>1.8157858776769254E-3</v>
      </c>
      <c r="S1962">
        <v>0.20274652837538823</v>
      </c>
      <c r="T1962">
        <v>1.0561960443287113</v>
      </c>
      <c r="U1962">
        <v>3.7188720711628154E-2</v>
      </c>
      <c r="V1962">
        <v>0.24819558078083459</v>
      </c>
      <c r="W1962">
        <v>0.11656444204640268</v>
      </c>
      <c r="X1962">
        <v>2.1762936918834391E-2</v>
      </c>
      <c r="Y1962">
        <v>4.9419705853828858E-3</v>
      </c>
    </row>
    <row r="1963" spans="1:25" x14ac:dyDescent="0.25">
      <c r="A1963" s="881"/>
      <c r="B1963" s="1131">
        <v>1713</v>
      </c>
      <c r="C1963" s="885">
        <v>0.98269620373498823</v>
      </c>
      <c r="D1963" s="885">
        <v>1.0039046815192878</v>
      </c>
      <c r="E1963" s="885">
        <v>1.0099975343554246</v>
      </c>
      <c r="F1963" s="885">
        <v>1.0237279373751031</v>
      </c>
      <c r="G1963" s="885">
        <v>1.0143587132169316</v>
      </c>
      <c r="H1963" s="885">
        <v>0.96621467041828657</v>
      </c>
      <c r="I1963" s="885">
        <v>0.97532750935782297</v>
      </c>
      <c r="K1963">
        <v>1.9325665143454509</v>
      </c>
      <c r="L1963">
        <v>0</v>
      </c>
      <c r="M1963">
        <v>1.876812913849819E-3</v>
      </c>
      <c r="N1963">
        <v>0.19502470292726029</v>
      </c>
      <c r="O1963">
        <v>2.5542400655539359E-2</v>
      </c>
      <c r="P1963">
        <v>2.1238982452037203E-2</v>
      </c>
      <c r="Q1963">
        <v>3.031716523109049E-3</v>
      </c>
      <c r="R1963">
        <v>1.8652147882629632E-3</v>
      </c>
      <c r="S1963">
        <v>0.200540629130746</v>
      </c>
      <c r="T1963">
        <v>1.0574559286443339</v>
      </c>
      <c r="U1963">
        <v>3.7977464916493502E-2</v>
      </c>
      <c r="V1963">
        <v>0.24979893153767369</v>
      </c>
      <c r="W1963">
        <v>0.11578307193297691</v>
      </c>
      <c r="X1963">
        <v>2.1107783965106076E-2</v>
      </c>
      <c r="Y1963">
        <v>5.0764997857620838E-3</v>
      </c>
    </row>
    <row r="1964" spans="1:25" x14ac:dyDescent="0.25">
      <c r="A1964" s="881"/>
      <c r="B1964" s="1131">
        <v>1714</v>
      </c>
      <c r="C1964" s="885">
        <v>0.98488641841582725</v>
      </c>
      <c r="D1964" s="885">
        <v>1.0025883937085351</v>
      </c>
      <c r="E1964" s="885">
        <v>0.99614023132557306</v>
      </c>
      <c r="F1964" s="885">
        <v>0.97763935290375581</v>
      </c>
      <c r="G1964" s="885">
        <v>1.0119790207333152</v>
      </c>
      <c r="H1964" s="885">
        <v>0.98053710042807363</v>
      </c>
      <c r="I1964" s="885">
        <v>0.98002948310009297</v>
      </c>
      <c r="K1964">
        <v>1.9359120519225024</v>
      </c>
      <c r="L1964">
        <v>0</v>
      </c>
      <c r="M1964">
        <v>1.9579698661626788E-3</v>
      </c>
      <c r="N1964">
        <v>0.19489264523379973</v>
      </c>
      <c r="O1964">
        <v>2.5502148248217157E-2</v>
      </c>
      <c r="P1964">
        <v>2.1063403628093936E-2</v>
      </c>
      <c r="Q1964">
        <v>2.9848664121516254E-3</v>
      </c>
      <c r="R1964">
        <v>1.9460480342089373E-3</v>
      </c>
      <c r="S1964">
        <v>0.20262065741478211</v>
      </c>
      <c r="T1964">
        <v>1.0587271658919679</v>
      </c>
      <c r="U1964">
        <v>3.7893009694403103E-2</v>
      </c>
      <c r="V1964">
        <v>0.2496439246579055</v>
      </c>
      <c r="W1964">
        <v>0.11680460621128001</v>
      </c>
      <c r="X1964">
        <v>2.0495045127298984E-2</v>
      </c>
      <c r="Y1964">
        <v>5.2965012345546608E-3</v>
      </c>
    </row>
    <row r="1965" spans="1:25" x14ac:dyDescent="0.25">
      <c r="A1965" s="881"/>
      <c r="B1965" s="1131">
        <v>1715</v>
      </c>
      <c r="C1965" s="885">
        <v>1.0159245620696082</v>
      </c>
      <c r="D1965" s="885">
        <v>1.0170765913584492</v>
      </c>
      <c r="E1965" s="885">
        <v>1.0139312425627915</v>
      </c>
      <c r="F1965" s="885">
        <v>0.98635323917302975</v>
      </c>
      <c r="G1965" s="885">
        <v>0.97560940598276535</v>
      </c>
      <c r="H1965" s="885">
        <v>1.0159096727360231</v>
      </c>
      <c r="I1965" s="885">
        <v>1.0046202723855158</v>
      </c>
      <c r="K1965">
        <v>1.9309643673070509</v>
      </c>
      <c r="L1965">
        <v>0</v>
      </c>
      <c r="M1965">
        <v>1.8808754983782555E-3</v>
      </c>
      <c r="N1965">
        <v>0.19791045562199899</v>
      </c>
      <c r="O1965">
        <v>2.4548294292258563E-2</v>
      </c>
      <c r="P1965">
        <v>2.1233771678172825E-2</v>
      </c>
      <c r="Q1965">
        <v>2.9278374568939419E-3</v>
      </c>
      <c r="R1965">
        <v>1.8698108937220891E-3</v>
      </c>
      <c r="S1965">
        <v>0.20355042409210505</v>
      </c>
      <c r="T1965">
        <v>1.0570964241222103</v>
      </c>
      <c r="U1965">
        <v>3.6735316768884106E-2</v>
      </c>
      <c r="V1965">
        <v>0.24353266509655111</v>
      </c>
      <c r="W1965">
        <v>0.11718308872747148</v>
      </c>
      <c r="X1965">
        <v>2.1168145185442886E-2</v>
      </c>
      <c r="Y1965">
        <v>5.0890088697160673E-3</v>
      </c>
    </row>
    <row r="1966" spans="1:25" x14ac:dyDescent="0.25">
      <c r="A1966" s="881"/>
      <c r="B1966" s="1131">
        <v>1716</v>
      </c>
      <c r="C1966" s="885">
        <v>0.99812246833197615</v>
      </c>
      <c r="D1966" s="885">
        <v>0.98336664029922827</v>
      </c>
      <c r="E1966" s="885">
        <v>0.98501679227942962</v>
      </c>
      <c r="F1966" s="885">
        <v>0.98421261850472597</v>
      </c>
      <c r="G1966" s="885">
        <v>1.0250179551999468</v>
      </c>
      <c r="H1966" s="885">
        <v>1.0068197566839439</v>
      </c>
      <c r="I1966" s="885">
        <v>1.0038180903116369</v>
      </c>
      <c r="K1966">
        <v>1.9478529231243842</v>
      </c>
      <c r="L1966">
        <v>0</v>
      </c>
      <c r="M1966">
        <v>2.0502961557841448E-3</v>
      </c>
      <c r="N1966">
        <v>0.19716924472198041</v>
      </c>
      <c r="O1966">
        <v>2.5406489750460535E-2</v>
      </c>
      <c r="P1966">
        <v>2.0992388806904457E-2</v>
      </c>
      <c r="Q1966">
        <v>2.9364566775722501E-3</v>
      </c>
      <c r="R1966">
        <v>2.0381543998912862E-3</v>
      </c>
      <c r="S1966">
        <v>0.2093126210614106</v>
      </c>
      <c r="T1966">
        <v>1.0597530135428752</v>
      </c>
      <c r="U1966">
        <v>3.7390512472167049E-2</v>
      </c>
      <c r="V1966">
        <v>0.25017949668645528</v>
      </c>
      <c r="W1966">
        <v>0.11907785794144719</v>
      </c>
      <c r="X1966">
        <v>2.0099798819915027E-2</v>
      </c>
      <c r="Y1966">
        <v>5.5471843990867265E-3</v>
      </c>
    </row>
    <row r="1967" spans="1:25" x14ac:dyDescent="0.25">
      <c r="A1967" s="881"/>
      <c r="B1967" s="1131">
        <v>1717</v>
      </c>
      <c r="C1967" s="885">
        <v>0.9665168940170874</v>
      </c>
      <c r="D1967" s="885">
        <v>0.95529533486557183</v>
      </c>
      <c r="E1967" s="885">
        <v>0.99907941753122009</v>
      </c>
      <c r="F1967" s="885">
        <v>0.969655600796688</v>
      </c>
      <c r="G1967" s="885">
        <v>0.97326423339686474</v>
      </c>
      <c r="H1967" s="885">
        <v>1.0160568846976719</v>
      </c>
      <c r="I1967" s="885">
        <v>0.98206779353571172</v>
      </c>
      <c r="K1967">
        <v>1.9874450915214252</v>
      </c>
      <c r="L1967">
        <v>0</v>
      </c>
      <c r="M1967">
        <v>2.1045499383974126E-3</v>
      </c>
      <c r="N1967">
        <v>0.21145711087305474</v>
      </c>
      <c r="O1967">
        <v>2.661778885118939E-2</v>
      </c>
      <c r="P1967">
        <v>2.1412091588792825E-2</v>
      </c>
      <c r="Q1967">
        <v>3.1140680344196314E-3</v>
      </c>
      <c r="R1967">
        <v>2.0922252983876953E-3</v>
      </c>
      <c r="S1967">
        <v>0.21528952175612467</v>
      </c>
      <c r="T1967">
        <v>1.0584569064331684</v>
      </c>
      <c r="U1967">
        <v>3.8613200485098899E-2</v>
      </c>
      <c r="V1967">
        <v>0.25869271828043922</v>
      </c>
      <c r="W1967">
        <v>0.12647711171008455</v>
      </c>
      <c r="X1967">
        <v>2.1632550588736293E-2</v>
      </c>
      <c r="Y1967">
        <v>5.6943475603270554E-3</v>
      </c>
    </row>
    <row r="1968" spans="1:25" x14ac:dyDescent="0.25">
      <c r="A1968" s="881"/>
      <c r="B1968" s="1131">
        <v>1718</v>
      </c>
      <c r="C1968" s="885">
        <v>0.98733373871362307</v>
      </c>
      <c r="D1968" s="885">
        <v>1.0079935681160084</v>
      </c>
      <c r="E1968" s="885">
        <v>0.99490381635349356</v>
      </c>
      <c r="F1968" s="885">
        <v>1.0282055204007219</v>
      </c>
      <c r="G1968" s="885">
        <v>1.0069175603578653</v>
      </c>
      <c r="H1968" s="885">
        <v>0.98330391630016367</v>
      </c>
      <c r="I1968" s="885">
        <v>0.99643078298771348</v>
      </c>
      <c r="K1968">
        <v>1.9363128978502413</v>
      </c>
      <c r="L1968">
        <v>0</v>
      </c>
      <c r="M1968">
        <v>1.9585195329421823E-3</v>
      </c>
      <c r="N1968">
        <v>0.19420156782534526</v>
      </c>
      <c r="O1968">
        <v>2.5371370601958151E-2</v>
      </c>
      <c r="P1968">
        <v>2.1066377425219541E-2</v>
      </c>
      <c r="Q1968">
        <v>2.9669715149882245E-3</v>
      </c>
      <c r="R1968">
        <v>1.9466234880152072E-3</v>
      </c>
      <c r="S1968">
        <v>0.20527659914209329</v>
      </c>
      <c r="T1968">
        <v>1.0588409552800229</v>
      </c>
      <c r="U1968">
        <v>3.7799083671080369E-2</v>
      </c>
      <c r="V1968">
        <v>0.24862151014851716</v>
      </c>
      <c r="W1968">
        <v>0.11648924167122171</v>
      </c>
      <c r="X1968">
        <v>2.0393049184605286E-2</v>
      </c>
      <c r="Y1968">
        <v>5.2980674301170323E-3</v>
      </c>
    </row>
    <row r="1969" spans="1:25" x14ac:dyDescent="0.25">
      <c r="A1969" s="881"/>
      <c r="B1969" s="1131">
        <v>1719</v>
      </c>
      <c r="C1969" s="885">
        <v>0.96668531322903006</v>
      </c>
      <c r="D1969" s="885">
        <v>1.0051340086498324</v>
      </c>
      <c r="E1969" s="885">
        <v>0.98286277107402054</v>
      </c>
      <c r="F1969" s="885">
        <v>0.98882406262108102</v>
      </c>
      <c r="G1969" s="885">
        <v>0.99624464458839534</v>
      </c>
      <c r="H1969" s="885">
        <v>0.9725813663730245</v>
      </c>
      <c r="I1969" s="885">
        <v>0.95597203149559795</v>
      </c>
      <c r="K1969">
        <v>1.9376557330999891</v>
      </c>
      <c r="L1969">
        <v>0</v>
      </c>
      <c r="M1969">
        <v>2.0321144959421504E-3</v>
      </c>
      <c r="N1969">
        <v>0.19407148823621459</v>
      </c>
      <c r="O1969">
        <v>2.5949736507951255E-2</v>
      </c>
      <c r="P1969">
        <v>2.0881072421648963E-2</v>
      </c>
      <c r="Q1969">
        <v>2.9972825849276926E-3</v>
      </c>
      <c r="R1969">
        <v>2.0196378044422662E-3</v>
      </c>
      <c r="S1969">
        <v>0.20034000064993471</v>
      </c>
      <c r="T1969">
        <v>1.0599522215437986</v>
      </c>
      <c r="U1969">
        <v>3.8606473161628435E-2</v>
      </c>
      <c r="V1969">
        <v>0.25201423597365241</v>
      </c>
      <c r="W1969">
        <v>0.11738183789906323</v>
      </c>
      <c r="X1969">
        <v>1.997707248239905E-2</v>
      </c>
      <c r="Y1969">
        <v>5.496788330268545E-3</v>
      </c>
    </row>
    <row r="1970" spans="1:25" x14ac:dyDescent="0.25">
      <c r="A1970" s="881"/>
      <c r="B1970" s="1131">
        <v>1720</v>
      </c>
      <c r="C1970" s="885">
        <v>0.99719888589113159</v>
      </c>
      <c r="D1970" s="885">
        <v>0.96354948832206788</v>
      </c>
      <c r="E1970" s="885">
        <v>0.99492783811968433</v>
      </c>
      <c r="F1970" s="885">
        <v>1.0130237040860375</v>
      </c>
      <c r="G1970" s="885">
        <v>1.0326871256208217</v>
      </c>
      <c r="H1970" s="885">
        <v>1.0266354906834958</v>
      </c>
      <c r="I1970" s="885">
        <v>0.98916826367493149</v>
      </c>
      <c r="K1970">
        <v>1.9645338659354312</v>
      </c>
      <c r="L1970">
        <v>0</v>
      </c>
      <c r="M1970">
        <v>2.0702455364198097E-3</v>
      </c>
      <c r="N1970">
        <v>0.20535209352360057</v>
      </c>
      <c r="O1970">
        <v>2.5688545803864222E-2</v>
      </c>
      <c r="P1970">
        <v>2.1189981002281713E-2</v>
      </c>
      <c r="Q1970">
        <v>2.9946461500593947E-3</v>
      </c>
      <c r="R1970">
        <v>2.0582394279394572E-3</v>
      </c>
      <c r="S1970">
        <v>0.2104217947214776</v>
      </c>
      <c r="T1970">
        <v>1.0588387439490166</v>
      </c>
      <c r="U1970">
        <v>3.7425142696149473E-2</v>
      </c>
      <c r="V1970">
        <v>0.25291552526214961</v>
      </c>
      <c r="W1970">
        <v>0.1231757051972537</v>
      </c>
      <c r="X1970">
        <v>2.0941844513652334E-2</v>
      </c>
      <c r="Y1970">
        <v>5.6018492244061333E-3</v>
      </c>
    </row>
    <row r="1971" spans="1:25" x14ac:dyDescent="0.25">
      <c r="A1971" s="881"/>
      <c r="B1971" s="1131">
        <v>1721</v>
      </c>
      <c r="C1971" s="885">
        <v>1.0070334217130561</v>
      </c>
      <c r="D1971" s="885">
        <v>0.99628437300391237</v>
      </c>
      <c r="E1971" s="885">
        <v>1.0131377802537875</v>
      </c>
      <c r="F1971" s="885">
        <v>0.99082762988630768</v>
      </c>
      <c r="G1971" s="885">
        <v>1.0328336332398267</v>
      </c>
      <c r="H1971" s="885">
        <v>0.98215029094915041</v>
      </c>
      <c r="I1971" s="885">
        <v>1.0470084566586957</v>
      </c>
      <c r="K1971">
        <v>1.9397925194703072</v>
      </c>
      <c r="L1971">
        <v>0</v>
      </c>
      <c r="M1971">
        <v>1.8563512573517309E-3</v>
      </c>
      <c r="N1971">
        <v>0.1948109162396002</v>
      </c>
      <c r="O1971">
        <v>2.5019296568802717E-2</v>
      </c>
      <c r="P1971">
        <v>2.1401685240109217E-2</v>
      </c>
      <c r="Q1971">
        <v>2.9773741777800893E-3</v>
      </c>
      <c r="R1971">
        <v>1.8450716661644786E-3</v>
      </c>
      <c r="S1971">
        <v>0.21249144311749774</v>
      </c>
      <c r="T1971">
        <v>1.0571688905898813</v>
      </c>
      <c r="U1971">
        <v>3.7059654422821095E-2</v>
      </c>
      <c r="V1971">
        <v>0.24728011804763414</v>
      </c>
      <c r="W1971">
        <v>0.11540989996394643</v>
      </c>
      <c r="X1971">
        <v>2.1162843845831735E-2</v>
      </c>
      <c r="Y1971">
        <v>5.021676847588424E-3</v>
      </c>
    </row>
    <row r="1972" spans="1:25" x14ac:dyDescent="0.25">
      <c r="A1972" s="881"/>
      <c r="B1972" s="1131">
        <v>1722</v>
      </c>
      <c r="C1972" s="885">
        <v>0.96411918027733734</v>
      </c>
      <c r="D1972" s="885">
        <v>0.96901222574910462</v>
      </c>
      <c r="E1972" s="885">
        <v>0.971354051752086</v>
      </c>
      <c r="F1972" s="885">
        <v>0.98174000951864304</v>
      </c>
      <c r="G1972" s="885">
        <v>0.99502081011400545</v>
      </c>
      <c r="H1972" s="885">
        <v>0.97700590056391812</v>
      </c>
      <c r="I1972" s="885">
        <v>1.0180096509240166</v>
      </c>
      <c r="K1972">
        <v>1.9676782171037486</v>
      </c>
      <c r="L1972">
        <v>0</v>
      </c>
      <c r="M1972">
        <v>2.1351935439274717E-3</v>
      </c>
      <c r="N1972">
        <v>0.19674036740947853</v>
      </c>
      <c r="O1972">
        <v>2.6495338609341151E-2</v>
      </c>
      <c r="P1972">
        <v>2.1019304291017983E-2</v>
      </c>
      <c r="Q1972">
        <v>3.016903503648671E-3</v>
      </c>
      <c r="R1972">
        <v>2.1221765874859461E-3</v>
      </c>
      <c r="S1972">
        <v>0.21801666330875083</v>
      </c>
      <c r="T1972">
        <v>1.0610196187788419</v>
      </c>
      <c r="U1972">
        <v>3.8709229485696307E-2</v>
      </c>
      <c r="V1972">
        <v>0.25716710780437069</v>
      </c>
      <c r="W1972">
        <v>0.11995211090655045</v>
      </c>
      <c r="X1972">
        <v>1.9778724866681852E-2</v>
      </c>
      <c r="Y1972">
        <v>5.7758650958126944E-3</v>
      </c>
    </row>
    <row r="1973" spans="1:25" x14ac:dyDescent="0.25">
      <c r="A1973" s="881"/>
      <c r="B1973" s="1131">
        <v>1723</v>
      </c>
      <c r="C1973" s="885">
        <v>1.0119537141702972</v>
      </c>
      <c r="D1973" s="885">
        <v>0.99331769100569201</v>
      </c>
      <c r="E1973" s="885">
        <v>1.035520037905731</v>
      </c>
      <c r="F1973" s="885">
        <v>0.96373391184219104</v>
      </c>
      <c r="G1973" s="885">
        <v>1.0161608935487849</v>
      </c>
      <c r="H1973" s="885">
        <v>1.0389312713760113</v>
      </c>
      <c r="I1973" s="885">
        <v>1.0290585712698122</v>
      </c>
      <c r="K1973">
        <v>1.9631732995387228</v>
      </c>
      <c r="L1973">
        <v>0</v>
      </c>
      <c r="M1973">
        <v>1.8665808787572274E-3</v>
      </c>
      <c r="N1973">
        <v>0.21005483269829056</v>
      </c>
      <c r="O1973">
        <v>2.493445502972395E-2</v>
      </c>
      <c r="P1973">
        <v>2.173982157137451E-2</v>
      </c>
      <c r="Q1973">
        <v>3.0332512473460814E-3</v>
      </c>
      <c r="R1973">
        <v>1.8558612142378704E-3</v>
      </c>
      <c r="S1973">
        <v>0.21398054410380488</v>
      </c>
      <c r="T1973">
        <v>1.055134178006049</v>
      </c>
      <c r="U1973">
        <v>3.6879464029158586E-2</v>
      </c>
      <c r="V1973">
        <v>0.24696436111453599</v>
      </c>
      <c r="W1973">
        <v>0.12258091526258812</v>
      </c>
      <c r="X1973">
        <v>2.2831153699697977E-2</v>
      </c>
      <c r="Y1973">
        <v>5.0510424406706297E-3</v>
      </c>
    </row>
    <row r="1974" spans="1:25" x14ac:dyDescent="0.25">
      <c r="A1974" s="881"/>
      <c r="B1974" s="1131">
        <v>1724</v>
      </c>
      <c r="C1974" s="885">
        <v>0.9831193360097128</v>
      </c>
      <c r="D1974" s="885">
        <v>0.99699596527914536</v>
      </c>
      <c r="E1974" s="885">
        <v>1.027840918115063</v>
      </c>
      <c r="F1974" s="885">
        <v>0.98412195554009041</v>
      </c>
      <c r="G1974" s="885">
        <v>0.99415045712813521</v>
      </c>
      <c r="H1974" s="885">
        <v>0.96102784776362893</v>
      </c>
      <c r="I1974" s="885">
        <v>1.0101107465672448</v>
      </c>
      <c r="K1974">
        <v>1.9435784456912464</v>
      </c>
      <c r="L1974">
        <v>0</v>
      </c>
      <c r="M1974">
        <v>1.8030714604096716E-3</v>
      </c>
      <c r="N1974">
        <v>0.1980356825310888</v>
      </c>
      <c r="O1974">
        <v>2.5618823507732071E-2</v>
      </c>
      <c r="P1974">
        <v>2.160734057130638E-2</v>
      </c>
      <c r="Q1974">
        <v>3.0937524969786054E-3</v>
      </c>
      <c r="R1974">
        <v>1.7918742551780162E-3</v>
      </c>
      <c r="S1974">
        <v>0.20772130711500225</v>
      </c>
      <c r="T1974">
        <v>1.0558300578736211</v>
      </c>
      <c r="U1974">
        <v>3.7961119503958383E-2</v>
      </c>
      <c r="V1974">
        <v>0.25060760704091067</v>
      </c>
      <c r="W1974">
        <v>0.11616247916098113</v>
      </c>
      <c r="X1974">
        <v>2.2074582063491107E-2</v>
      </c>
      <c r="Y1974">
        <v>4.8768910314050933E-3</v>
      </c>
    </row>
    <row r="1975" spans="1:25" x14ac:dyDescent="0.25">
      <c r="A1975" s="881"/>
      <c r="B1975" s="1131">
        <v>1725</v>
      </c>
      <c r="C1975" s="885">
        <v>1.0022823273103738</v>
      </c>
      <c r="D1975" s="885">
        <v>0.99844740447659985</v>
      </c>
      <c r="E1975" s="885">
        <v>1.019679662508068</v>
      </c>
      <c r="F1975" s="885">
        <v>0.9596577089800965</v>
      </c>
      <c r="G1975" s="885">
        <v>1.0020794701553362</v>
      </c>
      <c r="H1975" s="885">
        <v>0.97989610491881984</v>
      </c>
      <c r="I1975" s="885">
        <v>1.024633805792655</v>
      </c>
      <c r="K1975">
        <v>1.938173310514244</v>
      </c>
      <c r="L1975">
        <v>0</v>
      </c>
      <c r="M1975">
        <v>1.8333773165148844E-3</v>
      </c>
      <c r="N1975">
        <v>0.19634811490004375</v>
      </c>
      <c r="O1975">
        <v>2.51109137653775E-2</v>
      </c>
      <c r="P1975">
        <v>2.1449279854020668E-2</v>
      </c>
      <c r="Q1975">
        <v>3.008268759360539E-3</v>
      </c>
      <c r="R1975">
        <v>1.8222100130588371E-3</v>
      </c>
      <c r="S1975">
        <v>0.20849498422639234</v>
      </c>
      <c r="T1975">
        <v>1.0565721587102299</v>
      </c>
      <c r="U1975">
        <v>3.7235327396289666E-2</v>
      </c>
      <c r="V1975">
        <v>0.24768079336484355</v>
      </c>
      <c r="W1975">
        <v>0.11580694524406533</v>
      </c>
      <c r="X1975">
        <v>2.1518236632897886E-2</v>
      </c>
      <c r="Y1975">
        <v>4.9594549641767899E-3</v>
      </c>
    </row>
    <row r="1976" spans="1:25" x14ac:dyDescent="0.25">
      <c r="A1976" s="881"/>
      <c r="B1976" s="1131">
        <v>1726</v>
      </c>
      <c r="C1976" s="885">
        <v>1.03043316326931</v>
      </c>
      <c r="D1976" s="885">
        <v>0.99555609178558691</v>
      </c>
      <c r="E1976" s="885">
        <v>0.99353336498310851</v>
      </c>
      <c r="F1976" s="885">
        <v>0.97093236334008637</v>
      </c>
      <c r="G1976" s="885">
        <v>1.0184071869630826</v>
      </c>
      <c r="H1976" s="885">
        <v>1.0000561695703341</v>
      </c>
      <c r="I1976" s="885">
        <v>1.0166180721697542</v>
      </c>
      <c r="K1976">
        <v>1.9206041039683555</v>
      </c>
      <c r="L1976">
        <v>0</v>
      </c>
      <c r="M1976">
        <v>1.9258705168490784E-3</v>
      </c>
      <c r="N1976">
        <v>0.19017181200501532</v>
      </c>
      <c r="O1976">
        <v>2.4459999417412105E-2</v>
      </c>
      <c r="P1976">
        <v>2.0940403485955241E-2</v>
      </c>
      <c r="Q1976">
        <v>2.8539746790996359E-3</v>
      </c>
      <c r="R1976">
        <v>1.9143786179305579E-3</v>
      </c>
      <c r="S1976">
        <v>0.20349776471168393</v>
      </c>
      <c r="T1976">
        <v>1.0589671497784774</v>
      </c>
      <c r="U1976">
        <v>3.6218079863141038E-2</v>
      </c>
      <c r="V1976">
        <v>0.24417400919219145</v>
      </c>
      <c r="W1976">
        <v>0.1141794970824138</v>
      </c>
      <c r="X1976">
        <v>1.9942598128615634E-2</v>
      </c>
      <c r="Y1976">
        <v>5.2103075232651829E-3</v>
      </c>
    </row>
    <row r="1977" spans="1:25" x14ac:dyDescent="0.25">
      <c r="A1977" s="881"/>
      <c r="B1977" s="1131">
        <v>1727</v>
      </c>
      <c r="C1977" s="885">
        <v>0.97892230680645131</v>
      </c>
      <c r="D1977" s="885">
        <v>0.99349888369363859</v>
      </c>
      <c r="E1977" s="885">
        <v>1.0290950213509604</v>
      </c>
      <c r="F1977" s="885">
        <v>1.0012592815723731</v>
      </c>
      <c r="G1977" s="885">
        <v>0.96418132790113131</v>
      </c>
      <c r="H1977" s="885">
        <v>0.97204819774363727</v>
      </c>
      <c r="I1977" s="885">
        <v>1.0411873458661405</v>
      </c>
      <c r="K1977">
        <v>1.9600973544690103</v>
      </c>
      <c r="L1977">
        <v>0</v>
      </c>
      <c r="M1977">
        <v>1.8298944983571358E-3</v>
      </c>
      <c r="N1977">
        <v>0.20178035607246178</v>
      </c>
      <c r="O1977">
        <v>2.5773479803659596E-2</v>
      </c>
      <c r="P1977">
        <v>2.1765956597389495E-2</v>
      </c>
      <c r="Q1977">
        <v>3.1155289183297783E-3</v>
      </c>
      <c r="R1977">
        <v>1.8186622950186265E-3</v>
      </c>
      <c r="S1977">
        <v>0.21656683218566172</v>
      </c>
      <c r="T1977">
        <v>1.0557162536019904</v>
      </c>
      <c r="U1977">
        <v>3.8123873918725341E-2</v>
      </c>
      <c r="V1977">
        <v>0.25167422417198076</v>
      </c>
      <c r="W1977">
        <v>0.11825947340409625</v>
      </c>
      <c r="X1977">
        <v>2.2382808752876241E-2</v>
      </c>
      <c r="Y1977">
        <v>4.9497992451762755E-3</v>
      </c>
    </row>
    <row r="1978" spans="1:25" x14ac:dyDescent="0.25">
      <c r="A1978" s="881"/>
      <c r="B1978" s="1131">
        <v>1728</v>
      </c>
      <c r="C1978" s="885">
        <v>0.95337796949750264</v>
      </c>
      <c r="D1978" s="885">
        <v>1.0122603501551539</v>
      </c>
      <c r="E1978" s="885">
        <v>1.0017402242746503</v>
      </c>
      <c r="F1978" s="885">
        <v>1.0197622891188056</v>
      </c>
      <c r="G1978" s="885">
        <v>1.0067849884560298</v>
      </c>
      <c r="H1978" s="885">
        <v>0.98787663003500659</v>
      </c>
      <c r="I1978" s="885">
        <v>1.0105039068816428</v>
      </c>
      <c r="K1978">
        <v>1.9678113653397031</v>
      </c>
      <c r="L1978">
        <v>0</v>
      </c>
      <c r="M1978">
        <v>2.0044017790846924E-3</v>
      </c>
      <c r="N1978">
        <v>0.2030295259401558</v>
      </c>
      <c r="O1978">
        <v>2.6220200739599155E-2</v>
      </c>
      <c r="P1978">
        <v>2.1387622307212889E-2</v>
      </c>
      <c r="Q1978">
        <v>3.0883032923626351E-3</v>
      </c>
      <c r="R1978">
        <v>1.9922798683463788E-3</v>
      </c>
      <c r="S1978">
        <v>0.21566104853191495</v>
      </c>
      <c r="T1978">
        <v>1.0582125342510964</v>
      </c>
      <c r="U1978">
        <v>3.914534612184014E-2</v>
      </c>
      <c r="V1978">
        <v>0.2531294897600016</v>
      </c>
      <c r="W1978">
        <v>0.12121556243085632</v>
      </c>
      <c r="X1978">
        <v>2.1311524828643767E-2</v>
      </c>
      <c r="Y1978">
        <v>5.4223290467567496E-3</v>
      </c>
    </row>
    <row r="1979" spans="1:25" x14ac:dyDescent="0.25">
      <c r="A1979" s="881"/>
      <c r="B1979" s="1131">
        <v>1729</v>
      </c>
      <c r="C1979" s="885">
        <v>1.0053897475283795</v>
      </c>
      <c r="D1979" s="885">
        <v>1.0145254304092417</v>
      </c>
      <c r="E1979" s="885">
        <v>0.97678997931946865</v>
      </c>
      <c r="F1979" s="885">
        <v>1.0086158121442481</v>
      </c>
      <c r="G1979" s="885">
        <v>0.99427381121152048</v>
      </c>
      <c r="H1979" s="885">
        <v>1.0249443555271827</v>
      </c>
      <c r="I1979" s="885">
        <v>0.97115198425101323</v>
      </c>
      <c r="K1979">
        <v>1.9290720432744213</v>
      </c>
      <c r="L1979">
        <v>0</v>
      </c>
      <c r="M1979">
        <v>2.0759403623724412E-3</v>
      </c>
      <c r="N1979">
        <v>0.1946015905649186</v>
      </c>
      <c r="O1979">
        <v>2.4836309310239536E-2</v>
      </c>
      <c r="P1979">
        <v>2.0676744471121243E-2</v>
      </c>
      <c r="Q1979">
        <v>2.852865273130827E-3</v>
      </c>
      <c r="R1979">
        <v>2.063837991128371E-3</v>
      </c>
      <c r="S1979">
        <v>0.19993697051846682</v>
      </c>
      <c r="T1979">
        <v>1.060514814079593</v>
      </c>
      <c r="U1979">
        <v>3.7120241869050351E-2</v>
      </c>
      <c r="V1979">
        <v>0.24527546525362187</v>
      </c>
      <c r="W1979">
        <v>0.11819955237497058</v>
      </c>
      <c r="X1979">
        <v>1.9452505262709741E-2</v>
      </c>
      <c r="Y1979">
        <v>5.6170866678404976E-3</v>
      </c>
    </row>
    <row r="1980" spans="1:25" x14ac:dyDescent="0.25">
      <c r="A1980" s="881"/>
      <c r="B1980" s="1131">
        <v>1730</v>
      </c>
      <c r="C1980" s="885">
        <v>1.0104037376776154</v>
      </c>
      <c r="D1980" s="885">
        <v>0.99861388307733467</v>
      </c>
      <c r="E1980" s="885">
        <v>0.9766492839358496</v>
      </c>
      <c r="F1980" s="885">
        <v>1.0114508686776498</v>
      </c>
      <c r="G1980" s="885">
        <v>0.98246321661512925</v>
      </c>
      <c r="H1980" s="885">
        <v>0.97910873638024976</v>
      </c>
      <c r="I1980" s="885">
        <v>0.98230461454259432</v>
      </c>
      <c r="K1980">
        <v>1.9146804652780991</v>
      </c>
      <c r="L1980">
        <v>0</v>
      </c>
      <c r="M1980">
        <v>1.9893243857926281E-3</v>
      </c>
      <c r="N1980">
        <v>0.18635041570732347</v>
      </c>
      <c r="O1980">
        <v>2.4907021580957915E-2</v>
      </c>
      <c r="P1980">
        <v>2.06654855716959E-2</v>
      </c>
      <c r="Q1980">
        <v>2.8574363220731942E-3</v>
      </c>
      <c r="R1980">
        <v>1.9771973070744076E-3</v>
      </c>
      <c r="S1980">
        <v>0.19818244511458039</v>
      </c>
      <c r="T1980">
        <v>1.0605278652577119</v>
      </c>
      <c r="U1980">
        <v>3.6936037753281255E-2</v>
      </c>
      <c r="V1980">
        <v>0.24652690131693525</v>
      </c>
      <c r="W1980">
        <v>0.11319892664669705</v>
      </c>
      <c r="X1980">
        <v>1.9158777798620654E-2</v>
      </c>
      <c r="Y1980">
        <v>5.3812792869394315E-3</v>
      </c>
    </row>
    <row r="1981" spans="1:25" x14ac:dyDescent="0.25">
      <c r="A1981" s="881"/>
      <c r="B1981" s="1131">
        <v>1731</v>
      </c>
      <c r="C1981" s="885">
        <v>0.98529476555942308</v>
      </c>
      <c r="D1981" s="885">
        <v>1.0306537782064407</v>
      </c>
      <c r="E1981" s="885">
        <v>1.0142050702940573</v>
      </c>
      <c r="F1981" s="885">
        <v>0.97620529534038514</v>
      </c>
      <c r="G1981" s="885">
        <v>0.98861625560789679</v>
      </c>
      <c r="H1981" s="885">
        <v>0.97155966424052687</v>
      </c>
      <c r="I1981" s="885">
        <v>0.98380173373060009</v>
      </c>
      <c r="K1981">
        <v>1.9251307295149684</v>
      </c>
      <c r="L1981">
        <v>0</v>
      </c>
      <c r="M1981">
        <v>1.8415335549491329E-3</v>
      </c>
      <c r="N1981">
        <v>0.19388229219401001</v>
      </c>
      <c r="O1981">
        <v>2.5146360298749316E-2</v>
      </c>
      <c r="P1981">
        <v>2.1238907570069576E-2</v>
      </c>
      <c r="Q1981">
        <v>3.0027330135909496E-3</v>
      </c>
      <c r="R1981">
        <v>1.8301955651151775E-3</v>
      </c>
      <c r="S1981">
        <v>0.19986994983096876</v>
      </c>
      <c r="T1981">
        <v>1.0570714212959982</v>
      </c>
      <c r="U1981">
        <v>3.7877305254664075E-2</v>
      </c>
      <c r="V1981">
        <v>0.24615779894019169</v>
      </c>
      <c r="W1981">
        <v>0.11477670968109713</v>
      </c>
      <c r="X1981">
        <v>2.113740042102253E-2</v>
      </c>
      <c r="Y1981">
        <v>4.98118900443762E-3</v>
      </c>
    </row>
    <row r="1982" spans="1:25" x14ac:dyDescent="0.25">
      <c r="A1982" s="881"/>
      <c r="B1982" s="1131">
        <v>1732</v>
      </c>
      <c r="C1982" s="885">
        <v>0.97397241419026548</v>
      </c>
      <c r="D1982" s="885">
        <v>0.99913668843487402</v>
      </c>
      <c r="E1982" s="885">
        <v>1.0067968898710022</v>
      </c>
      <c r="F1982" s="885">
        <v>1.0334103330520257</v>
      </c>
      <c r="G1982" s="885">
        <v>1.0000814906433215</v>
      </c>
      <c r="H1982" s="885">
        <v>0.983307751512975</v>
      </c>
      <c r="I1982" s="885">
        <v>0.97757015505279377</v>
      </c>
      <c r="K1982">
        <v>1.9485910591625106</v>
      </c>
      <c r="L1982">
        <v>0</v>
      </c>
      <c r="M1982">
        <v>1.9447459359474362E-3</v>
      </c>
      <c r="N1982">
        <v>0.20010479916746518</v>
      </c>
      <c r="O1982">
        <v>2.5831971444355721E-2</v>
      </c>
      <c r="P1982">
        <v>2.1284180552934323E-2</v>
      </c>
      <c r="Q1982">
        <v>3.0552703325488258E-3</v>
      </c>
      <c r="R1982">
        <v>1.9329408083723592E-3</v>
      </c>
      <c r="S1982">
        <v>0.20498208442776525</v>
      </c>
      <c r="T1982">
        <v>1.0577488835469995</v>
      </c>
      <c r="U1982">
        <v>3.8317625896975752E-2</v>
      </c>
      <c r="V1982">
        <v>0.25168596634100082</v>
      </c>
      <c r="W1982">
        <v>0.11905797840741252</v>
      </c>
      <c r="X1982">
        <v>2.1273276486001986E-2</v>
      </c>
      <c r="Y1982">
        <v>5.2608276866233311E-3</v>
      </c>
    </row>
    <row r="1983" spans="1:25" x14ac:dyDescent="0.25">
      <c r="A1983" s="881"/>
      <c r="B1983" s="1131">
        <v>1733</v>
      </c>
      <c r="C1983" s="885">
        <v>0.9577108223032138</v>
      </c>
      <c r="D1983" s="885">
        <v>1.0114067744959232</v>
      </c>
      <c r="E1983" s="885">
        <v>1.0221850716121597</v>
      </c>
      <c r="F1983" s="885">
        <v>0.95833428044262448</v>
      </c>
      <c r="G1983" s="885">
        <v>1.0029116919946999</v>
      </c>
      <c r="H1983" s="885">
        <v>1.0082316583966573</v>
      </c>
      <c r="I1983" s="885">
        <v>0.994263254086177</v>
      </c>
      <c r="K1983">
        <v>1.9747028597273246</v>
      </c>
      <c r="L1983">
        <v>0</v>
      </c>
      <c r="M1983">
        <v>1.9512862811776614E-3</v>
      </c>
      <c r="N1983">
        <v>0.21064360278936919</v>
      </c>
      <c r="O1983">
        <v>2.6112459774040177E-2</v>
      </c>
      <c r="P1983">
        <v>2.1646071254660736E-2</v>
      </c>
      <c r="Q1983">
        <v>3.1388650776882402E-3</v>
      </c>
      <c r="R1983">
        <v>1.939724508704945E-3</v>
      </c>
      <c r="S1983">
        <v>0.21344320071460146</v>
      </c>
      <c r="T1983">
        <v>1.0563440653866707</v>
      </c>
      <c r="U1983">
        <v>3.8968245666436835E-2</v>
      </c>
      <c r="V1983">
        <v>0.252572698436759</v>
      </c>
      <c r="W1983">
        <v>0.12402876030695698</v>
      </c>
      <c r="X1983">
        <v>2.2537161409931939E-2</v>
      </c>
      <c r="Y1983">
        <v>5.2792906826824148E-3</v>
      </c>
    </row>
    <row r="1984" spans="1:25" x14ac:dyDescent="0.25">
      <c r="A1984" s="881"/>
      <c r="B1984" s="1131">
        <v>1734</v>
      </c>
      <c r="C1984" s="885">
        <v>1.0221897190770335</v>
      </c>
      <c r="D1984" s="885">
        <v>0.99891189697275995</v>
      </c>
      <c r="E1984" s="885">
        <v>1.0075827182242247</v>
      </c>
      <c r="F1984" s="885">
        <v>1.0191848387200364</v>
      </c>
      <c r="G1984" s="885">
        <v>1.0068126299210567</v>
      </c>
      <c r="H1984" s="885">
        <v>0.98191958982682925</v>
      </c>
      <c r="I1984" s="885">
        <v>1.0057454051153818</v>
      </c>
      <c r="K1984">
        <v>1.9180003131735868</v>
      </c>
      <c r="L1984">
        <v>0</v>
      </c>
      <c r="M1984">
        <v>1.8475376991974476E-3</v>
      </c>
      <c r="N1984">
        <v>0.19056600532517023</v>
      </c>
      <c r="O1984">
        <v>2.4616203724247231E-2</v>
      </c>
      <c r="P1984">
        <v>2.1120274181598061E-2</v>
      </c>
      <c r="Q1984">
        <v>2.913721515055691E-3</v>
      </c>
      <c r="R1984">
        <v>1.8363069718220898E-3</v>
      </c>
      <c r="S1984">
        <v>0.20082466218963943</v>
      </c>
      <c r="T1984">
        <v>1.0576769196806857</v>
      </c>
      <c r="U1984">
        <v>3.6510160398222913E-2</v>
      </c>
      <c r="V1984">
        <v>0.24487670497113592</v>
      </c>
      <c r="W1984">
        <v>0.11332196057363222</v>
      </c>
      <c r="X1984">
        <v>2.0587109102703834E-2</v>
      </c>
      <c r="Y1984">
        <v>4.9978222388691543E-3</v>
      </c>
    </row>
    <row r="1985" spans="1:25" x14ac:dyDescent="0.25">
      <c r="A1985" s="881"/>
      <c r="B1985" s="1131">
        <v>1735</v>
      </c>
      <c r="C1985" s="885">
        <v>1.0133549827155632</v>
      </c>
      <c r="D1985" s="885">
        <v>1.0042320851151312</v>
      </c>
      <c r="E1985" s="885">
        <v>0.98902338754412444</v>
      </c>
      <c r="F1985" s="885">
        <v>0.98481328731419271</v>
      </c>
      <c r="G1985" s="885">
        <v>1.0268368854025109</v>
      </c>
      <c r="H1985" s="885">
        <v>1.0065560475274309</v>
      </c>
      <c r="I1985" s="885">
        <v>1.0376098055240759</v>
      </c>
      <c r="K1985">
        <v>1.9357493369984573</v>
      </c>
      <c r="L1985">
        <v>0</v>
      </c>
      <c r="M1985">
        <v>1.981318556316585E-3</v>
      </c>
      <c r="N1985">
        <v>0.19292615140458894</v>
      </c>
      <c r="O1985">
        <v>2.4765626893765529E-2</v>
      </c>
      <c r="P1985">
        <v>2.1002328476751698E-2</v>
      </c>
      <c r="Q1985">
        <v>2.8782424007391862E-3</v>
      </c>
      <c r="R1985">
        <v>1.9695650731041715E-3</v>
      </c>
      <c r="S1985">
        <v>0.21103258927250745</v>
      </c>
      <c r="T1985">
        <v>1.0593829552239029</v>
      </c>
      <c r="U1985">
        <v>3.6828467059891325E-2</v>
      </c>
      <c r="V1985">
        <v>0.24542695849866952</v>
      </c>
      <c r="W1985">
        <v>0.11619340361496609</v>
      </c>
      <c r="X1985">
        <v>1.9963860773849543E-2</v>
      </c>
      <c r="Y1985">
        <v>5.3605068620377018E-3</v>
      </c>
    </row>
    <row r="1986" spans="1:25" x14ac:dyDescent="0.25">
      <c r="A1986" s="881"/>
      <c r="B1986" s="1131">
        <v>1736</v>
      </c>
      <c r="C1986" s="885">
        <v>0.96208472769503373</v>
      </c>
      <c r="D1986" s="885">
        <v>0.9596877338493256</v>
      </c>
      <c r="E1986" s="885">
        <v>1.0044704902159585</v>
      </c>
      <c r="F1986" s="885">
        <v>1.0386614965347203</v>
      </c>
      <c r="G1986" s="885">
        <v>1.0302666941020306</v>
      </c>
      <c r="H1986" s="885">
        <v>0.96446673160870244</v>
      </c>
      <c r="I1986" s="885">
        <v>0.99769489838372782</v>
      </c>
      <c r="K1986">
        <v>1.9701240506700335</v>
      </c>
      <c r="L1986">
        <v>0</v>
      </c>
      <c r="M1986">
        <v>1.9797088180246955E-3</v>
      </c>
      <c r="N1986">
        <v>0.20221332184856272</v>
      </c>
      <c r="O1986">
        <v>2.6679395435163632E-2</v>
      </c>
      <c r="P1986">
        <v>2.1473730670107372E-2</v>
      </c>
      <c r="Q1986">
        <v>3.1392419014927373E-3</v>
      </c>
      <c r="R1986">
        <v>1.9674911646113558E-3</v>
      </c>
      <c r="S1986">
        <v>0.21373164200994632</v>
      </c>
      <c r="T1986">
        <v>1.0579620696288403</v>
      </c>
      <c r="U1986">
        <v>3.8791085157675244E-2</v>
      </c>
      <c r="V1986">
        <v>0.25877504252781242</v>
      </c>
      <c r="W1986">
        <v>0.12050341891583341</v>
      </c>
      <c r="X1986">
        <v>2.1512457861229829E-2</v>
      </c>
      <c r="Y1986">
        <v>5.354862366784007E-3</v>
      </c>
    </row>
    <row r="1987" spans="1:25" x14ac:dyDescent="0.25">
      <c r="A1987" s="881"/>
      <c r="B1987" s="1131">
        <v>1737</v>
      </c>
      <c r="C1987" s="885">
        <v>1.0089002367814615</v>
      </c>
      <c r="D1987" s="885">
        <v>1.0178033451036541</v>
      </c>
      <c r="E1987" s="885">
        <v>1.0019393723903001</v>
      </c>
      <c r="F1987" s="885">
        <v>0.99899540050767655</v>
      </c>
      <c r="G1987" s="885">
        <v>1.0168205475471419</v>
      </c>
      <c r="H1987" s="885">
        <v>1.0053278475290859</v>
      </c>
      <c r="I1987" s="885">
        <v>0.97176224695376989</v>
      </c>
      <c r="K1987">
        <v>1.922138417848416</v>
      </c>
      <c r="L1987">
        <v>0</v>
      </c>
      <c r="M1987">
        <v>1.9215599041409541E-3</v>
      </c>
      <c r="N1987">
        <v>0.19477906637214124</v>
      </c>
      <c r="O1987">
        <v>2.4710490705957044E-2</v>
      </c>
      <c r="P1987">
        <v>2.0989191113866924E-2</v>
      </c>
      <c r="Q1987">
        <v>2.9121678205086318E-3</v>
      </c>
      <c r="R1987">
        <v>1.9101364222947881E-3</v>
      </c>
      <c r="S1987">
        <v>0.19717637580560807</v>
      </c>
      <c r="T1987">
        <v>1.0581942553073871</v>
      </c>
      <c r="U1987">
        <v>3.6991081219263179E-2</v>
      </c>
      <c r="V1987">
        <v>0.24440304429260828</v>
      </c>
      <c r="W1987">
        <v>0.11627393139226236</v>
      </c>
      <c r="X1987">
        <v>2.052147563547389E-2</v>
      </c>
      <c r="Y1987">
        <v>5.1987616651840334E-3</v>
      </c>
    </row>
    <row r="1988" spans="1:25" x14ac:dyDescent="0.25">
      <c r="A1988" s="881"/>
      <c r="B1988" s="1131">
        <v>1738</v>
      </c>
      <c r="C1988" s="885">
        <v>0.97640031135106087</v>
      </c>
      <c r="D1988" s="885">
        <v>1.0298832758214944</v>
      </c>
      <c r="E1988" s="885">
        <v>0.97439976236838122</v>
      </c>
      <c r="F1988" s="885">
        <v>0.97827910817864627</v>
      </c>
      <c r="G1988" s="885">
        <v>0.95934779450807328</v>
      </c>
      <c r="H1988" s="885">
        <v>1.0318844896195807</v>
      </c>
      <c r="I1988" s="885">
        <v>1.0230523018821727</v>
      </c>
      <c r="K1988">
        <v>1.9586346008870683</v>
      </c>
      <c r="L1988">
        <v>0</v>
      </c>
      <c r="M1988">
        <v>2.1469034059501124E-3</v>
      </c>
      <c r="N1988">
        <v>0.19976673587922369</v>
      </c>
      <c r="O1988">
        <v>2.5384786228233119E-2</v>
      </c>
      <c r="P1988">
        <v>2.0903414265654254E-2</v>
      </c>
      <c r="Q1988">
        <v>2.9117932810676312E-3</v>
      </c>
      <c r="R1988">
        <v>2.1344586864933046E-3</v>
      </c>
      <c r="S1988">
        <v>0.2161133386787368</v>
      </c>
      <c r="T1988">
        <v>1.0607366394229374</v>
      </c>
      <c r="U1988">
        <v>3.8222346067542969E-2</v>
      </c>
      <c r="V1988">
        <v>0.24752141893572424</v>
      </c>
      <c r="W1988">
        <v>0.12153885784119031</v>
      </c>
      <c r="X1988">
        <v>1.9738422085693499E-2</v>
      </c>
      <c r="Y1988">
        <v>5.809292920517877E-3</v>
      </c>
    </row>
    <row r="1989" spans="1:25" x14ac:dyDescent="0.25">
      <c r="A1989" s="881"/>
      <c r="B1989" s="1131">
        <v>1739</v>
      </c>
      <c r="C1989" s="885">
        <v>1.023506316850364</v>
      </c>
      <c r="D1989" s="885">
        <v>1.0418115532245602</v>
      </c>
      <c r="E1989" s="885">
        <v>0.96335166661296878</v>
      </c>
      <c r="F1989" s="885">
        <v>1.0024053743655872</v>
      </c>
      <c r="G1989" s="885">
        <v>0.97745644012689137</v>
      </c>
      <c r="H1989" s="885">
        <v>1.0213808367495745</v>
      </c>
      <c r="I1989" s="885">
        <v>1.0235766813486911</v>
      </c>
      <c r="K1989">
        <v>1.9124181470827146</v>
      </c>
      <c r="L1989">
        <v>0</v>
      </c>
      <c r="M1989">
        <v>2.0630030802692087E-3</v>
      </c>
      <c r="N1989">
        <v>0.18544729018461054</v>
      </c>
      <c r="O1989">
        <v>2.4079493501946707E-2</v>
      </c>
      <c r="P1989">
        <v>2.0454186296597881E-2</v>
      </c>
      <c r="Q1989">
        <v>2.7331942663214779E-3</v>
      </c>
      <c r="R1989">
        <v>2.0509122235635811E-3</v>
      </c>
      <c r="S1989">
        <v>0.20414751340847159</v>
      </c>
      <c r="T1989">
        <v>1.0617648365244015</v>
      </c>
      <c r="U1989">
        <v>3.6463195181601543E-2</v>
      </c>
      <c r="V1989">
        <v>0.23967605997289368</v>
      </c>
      <c r="W1989">
        <v>0.11370197273658074</v>
      </c>
      <c r="X1989">
        <v>1.8380588876486179E-2</v>
      </c>
      <c r="Y1989">
        <v>5.5819069895072697E-3</v>
      </c>
    </row>
    <row r="1990" spans="1:25" x14ac:dyDescent="0.25">
      <c r="A1990" s="881"/>
      <c r="B1990" s="1131">
        <v>1740</v>
      </c>
      <c r="C1990" s="885">
        <v>1.0059619943446767</v>
      </c>
      <c r="D1990" s="885">
        <v>0.9845156493920435</v>
      </c>
      <c r="E1990" s="885">
        <v>1.0350723717006749</v>
      </c>
      <c r="F1990" s="885">
        <v>0.99155434799143538</v>
      </c>
      <c r="G1990" s="885">
        <v>1.0098808639359143</v>
      </c>
      <c r="H1990" s="885">
        <v>0.96166132903252988</v>
      </c>
      <c r="I1990" s="885">
        <v>0.99456288198954534</v>
      </c>
      <c r="K1990">
        <v>1.9298671573375521</v>
      </c>
      <c r="L1990">
        <v>0</v>
      </c>
      <c r="M1990">
        <v>1.7473809377775568E-3</v>
      </c>
      <c r="N1990">
        <v>0.19627737828893582</v>
      </c>
      <c r="O1990">
        <v>2.5193895573422182E-2</v>
      </c>
      <c r="P1990">
        <v>2.1583389372270074E-2</v>
      </c>
      <c r="Q1990">
        <v>3.0615501166636814E-3</v>
      </c>
      <c r="R1990">
        <v>1.736546223477971E-3</v>
      </c>
      <c r="S1990">
        <v>0.20110276680057959</v>
      </c>
      <c r="T1990">
        <v>1.0551746820041619</v>
      </c>
      <c r="U1990">
        <v>3.7099125822570252E-2</v>
      </c>
      <c r="V1990">
        <v>0.24891373087750004</v>
      </c>
      <c r="W1990">
        <v>0.1145750979173866</v>
      </c>
      <c r="X1990">
        <v>2.2170068910363473E-2</v>
      </c>
      <c r="Y1990">
        <v>4.7263063679983171E-3</v>
      </c>
    </row>
    <row r="1991" spans="1:25" x14ac:dyDescent="0.25">
      <c r="A1991" s="881"/>
      <c r="B1991" s="1131">
        <v>1741</v>
      </c>
      <c r="C1991" s="885">
        <v>0.99758292511482427</v>
      </c>
      <c r="D1991" s="885">
        <v>1.0227270784172768</v>
      </c>
      <c r="E1991" s="885">
        <v>1.0277687545888414</v>
      </c>
      <c r="F1991" s="885">
        <v>1.0014453258587879</v>
      </c>
      <c r="G1991" s="885">
        <v>0.99575941419331415</v>
      </c>
      <c r="H1991" s="885">
        <v>1.0224063443781801</v>
      </c>
      <c r="I1991" s="885">
        <v>1.0251282334467178</v>
      </c>
      <c r="K1991">
        <v>1.9524892161019221</v>
      </c>
      <c r="L1991">
        <v>0</v>
      </c>
      <c r="M1991">
        <v>1.8670596802128009E-3</v>
      </c>
      <c r="N1991">
        <v>0.20509251557802283</v>
      </c>
      <c r="O1991">
        <v>2.493136241186104E-2</v>
      </c>
      <c r="P1991">
        <v>2.1580637301111868E-2</v>
      </c>
      <c r="Q1991">
        <v>3.015848537690539E-3</v>
      </c>
      <c r="R1991">
        <v>1.8561419866433646E-3</v>
      </c>
      <c r="S1991">
        <v>0.21165660532235667</v>
      </c>
      <c r="T1991">
        <v>1.0558366082647259</v>
      </c>
      <c r="U1991">
        <v>3.7410735149282164E-2</v>
      </c>
      <c r="V1991">
        <v>0.24538063796850645</v>
      </c>
      <c r="W1991">
        <v>0.12030765680563164</v>
      </c>
      <c r="X1991">
        <v>2.223571984569955E-2</v>
      </c>
      <c r="Y1991">
        <v>5.051806610601786E-3</v>
      </c>
    </row>
    <row r="1992" spans="1:25" x14ac:dyDescent="0.25">
      <c r="A1992" s="881"/>
      <c r="B1992" s="1131">
        <v>1742</v>
      </c>
      <c r="C1992" s="885">
        <v>1.0111381883138888</v>
      </c>
      <c r="D1992" s="885">
        <v>1.0063527276241688</v>
      </c>
      <c r="E1992" s="885">
        <v>0.99915236703053845</v>
      </c>
      <c r="F1992" s="885">
        <v>0.98434104064959294</v>
      </c>
      <c r="G1992" s="885">
        <v>0.9916036946515564</v>
      </c>
      <c r="H1992" s="885">
        <v>1.0308948440490087</v>
      </c>
      <c r="I1992" s="885">
        <v>0.96092429566967741</v>
      </c>
      <c r="K1992">
        <v>1.932944830810694</v>
      </c>
      <c r="L1992">
        <v>0</v>
      </c>
      <c r="M1992">
        <v>1.988720011751691E-3</v>
      </c>
      <c r="N1992">
        <v>0.1998770366391803</v>
      </c>
      <c r="O1992">
        <v>2.4794038501945836E-2</v>
      </c>
      <c r="P1992">
        <v>2.097394464010512E-2</v>
      </c>
      <c r="Q1992">
        <v>2.911556916758162E-3</v>
      </c>
      <c r="R1992">
        <v>1.9771994711377254E-3</v>
      </c>
      <c r="S1992">
        <v>0.1980084570547633</v>
      </c>
      <c r="T1992">
        <v>1.0584502029729759</v>
      </c>
      <c r="U1992">
        <v>3.6909208881873982E-2</v>
      </c>
      <c r="V1992">
        <v>0.24547505483912815</v>
      </c>
      <c r="W1992">
        <v>0.11954484573039</v>
      </c>
      <c r="X1992">
        <v>2.0630719997378352E-2</v>
      </c>
      <c r="Y1992">
        <v>5.3812851768063989E-3</v>
      </c>
    </row>
    <row r="1993" spans="1:25" x14ac:dyDescent="0.25">
      <c r="A1993" s="881"/>
      <c r="B1993" s="1131">
        <v>1743</v>
      </c>
      <c r="C1993" s="885">
        <v>0.99730535030537815</v>
      </c>
      <c r="D1993" s="885">
        <v>1.0130680226062496</v>
      </c>
      <c r="E1993" s="885">
        <v>0.99158830425290245</v>
      </c>
      <c r="F1993" s="885">
        <v>1.005761403230677</v>
      </c>
      <c r="G1993" s="885">
        <v>1.0192317680452267</v>
      </c>
      <c r="H1993" s="885">
        <v>0.99269832411190673</v>
      </c>
      <c r="I1993" s="885">
        <v>0.99544961356811623</v>
      </c>
      <c r="K1993">
        <v>1.9300091411170379</v>
      </c>
      <c r="L1993">
        <v>0</v>
      </c>
      <c r="M1993">
        <v>1.9662801067915504E-3</v>
      </c>
      <c r="N1993">
        <v>0.19298006878191235</v>
      </c>
      <c r="O1993">
        <v>2.5055427515180292E-2</v>
      </c>
      <c r="P1993">
        <v>2.0961261413906918E-2</v>
      </c>
      <c r="Q1993">
        <v>2.9212572504208599E-3</v>
      </c>
      <c r="R1993">
        <v>1.9544458502352281E-3</v>
      </c>
      <c r="S1993">
        <v>0.20350042038832072</v>
      </c>
      <c r="T1993">
        <v>1.0591463811394879</v>
      </c>
      <c r="U1993">
        <v>3.7421147484558569E-2</v>
      </c>
      <c r="V1993">
        <v>0.24658175533805446</v>
      </c>
      <c r="W1993">
        <v>0.11602069152140886</v>
      </c>
      <c r="X1993">
        <v>2.011320721890255E-2</v>
      </c>
      <c r="Y1993">
        <v>5.3193573214389165E-3</v>
      </c>
    </row>
    <row r="1994" spans="1:25" x14ac:dyDescent="0.25">
      <c r="A1994" s="881"/>
      <c r="B1994" s="1131">
        <v>1744</v>
      </c>
      <c r="C1994" s="885">
        <v>0.99691586503095353</v>
      </c>
      <c r="D1994" s="885">
        <v>1.0045415228456021</v>
      </c>
      <c r="E1994" s="885">
        <v>1.02316655325584</v>
      </c>
      <c r="F1994" s="885">
        <v>0.99268400835227255</v>
      </c>
      <c r="G1994" s="885">
        <v>0.99714297482891956</v>
      </c>
      <c r="H1994" s="885">
        <v>1.0116256213067378</v>
      </c>
      <c r="I1994" s="885">
        <v>0.99657290252431929</v>
      </c>
      <c r="K1994">
        <v>1.9485756783955104</v>
      </c>
      <c r="L1994">
        <v>0</v>
      </c>
      <c r="M1994">
        <v>1.883288889630677E-3</v>
      </c>
      <c r="N1994">
        <v>0.20392854417011014</v>
      </c>
      <c r="O1994">
        <v>2.5170175034843211E-2</v>
      </c>
      <c r="P1994">
        <v>2.1474935789360217E-2</v>
      </c>
      <c r="Q1994">
        <v>3.0271138025364875E-3</v>
      </c>
      <c r="R1994">
        <v>1.8721726826446887E-3</v>
      </c>
      <c r="S1994">
        <v>0.20651124698355797</v>
      </c>
      <c r="T1994">
        <v>1.0562547778686264</v>
      </c>
      <c r="U1994">
        <v>3.7435767560744092E-2</v>
      </c>
      <c r="V1994">
        <v>0.2476798507002618</v>
      </c>
      <c r="W1994">
        <v>0.11999552649937802</v>
      </c>
      <c r="X1994">
        <v>2.2013419312477151E-2</v>
      </c>
      <c r="Y1994">
        <v>5.0954368805998743E-3</v>
      </c>
    </row>
    <row r="1995" spans="1:25" x14ac:dyDescent="0.25">
      <c r="A1995" s="881"/>
      <c r="B1995" s="1131">
        <v>1745</v>
      </c>
      <c r="C1995" s="885">
        <v>1.0018138697433943</v>
      </c>
      <c r="D1995" s="885">
        <v>0.96905182547558044</v>
      </c>
      <c r="E1995" s="885">
        <v>0.97608601999091527</v>
      </c>
      <c r="F1995" s="885">
        <v>1.029812190481779</v>
      </c>
      <c r="G1995" s="885">
        <v>0.98272595947496466</v>
      </c>
      <c r="H1995" s="885">
        <v>0.99426556713015812</v>
      </c>
      <c r="I1995" s="885">
        <v>1.021566563041753</v>
      </c>
      <c r="K1995">
        <v>1.9475258926592109</v>
      </c>
      <c r="L1995">
        <v>0</v>
      </c>
      <c r="M1995">
        <v>2.0704626392609917E-3</v>
      </c>
      <c r="N1995">
        <v>0.19363144019613984</v>
      </c>
      <c r="O1995">
        <v>2.5497895313304167E-2</v>
      </c>
      <c r="P1995">
        <v>2.091827309438124E-2</v>
      </c>
      <c r="Q1995">
        <v>2.9173841453064139E-3</v>
      </c>
      <c r="R1995">
        <v>2.0580593852962833E-3</v>
      </c>
      <c r="S1995">
        <v>0.21235167372241534</v>
      </c>
      <c r="T1995">
        <v>1.0605801224017706</v>
      </c>
      <c r="U1995">
        <v>3.7252738984813787E-2</v>
      </c>
      <c r="V1995">
        <v>0.25150938745495244</v>
      </c>
      <c r="W1995">
        <v>0.11766789747888121</v>
      </c>
      <c r="X1995">
        <v>1.9610123913526806E-2</v>
      </c>
      <c r="Y1995">
        <v>5.6013592076824556E-3</v>
      </c>
    </row>
    <row r="1996" spans="1:25" x14ac:dyDescent="0.25">
      <c r="A1996" s="881"/>
      <c r="B1996" s="1131">
        <v>1746</v>
      </c>
      <c r="C1996" s="885">
        <v>0.96805380966316368</v>
      </c>
      <c r="D1996" s="885">
        <v>1.0082977583042156</v>
      </c>
      <c r="E1996" s="885">
        <v>1.0402617669683389</v>
      </c>
      <c r="F1996" s="885">
        <v>1.0230125660351064</v>
      </c>
      <c r="G1996" s="885">
        <v>1.0362658171335664</v>
      </c>
      <c r="H1996" s="885">
        <v>1.0196743493144269</v>
      </c>
      <c r="I1996" s="885">
        <v>1.009589558509062</v>
      </c>
      <c r="K1996">
        <v>1.9800620893855347</v>
      </c>
      <c r="L1996">
        <v>0</v>
      </c>
      <c r="M1996">
        <v>1.8819425654682095E-3</v>
      </c>
      <c r="N1996">
        <v>0.21489732122900293</v>
      </c>
      <c r="O1996">
        <v>2.5872811063336051E-2</v>
      </c>
      <c r="P1996">
        <v>2.1921586962351879E-2</v>
      </c>
      <c r="Q1996">
        <v>3.1654274748184803E-3</v>
      </c>
      <c r="R1996">
        <v>1.8709191449236713E-3</v>
      </c>
      <c r="S1996">
        <v>0.21592340044985361</v>
      </c>
      <c r="T1996">
        <v>1.0547056374144819</v>
      </c>
      <c r="U1996">
        <v>3.85518968350557E-2</v>
      </c>
      <c r="V1996">
        <v>0.25140727655246037</v>
      </c>
      <c r="W1996">
        <v>0.12501114123403062</v>
      </c>
      <c r="X1996">
        <v>2.3524588426534002E-2</v>
      </c>
      <c r="Y1996">
        <v>5.0920251641518631E-3</v>
      </c>
    </row>
    <row r="1997" spans="1:25" x14ac:dyDescent="0.25">
      <c r="A1997" s="881"/>
      <c r="B1997" s="1131">
        <v>1747</v>
      </c>
      <c r="C1997" s="885">
        <v>0.96662178585853531</v>
      </c>
      <c r="D1997" s="885">
        <v>0.98944193972521588</v>
      </c>
      <c r="E1997" s="885">
        <v>0.98876059519707504</v>
      </c>
      <c r="F1997" s="885">
        <v>1.0008493004962578</v>
      </c>
      <c r="G1997" s="885">
        <v>0.95777973769352442</v>
      </c>
      <c r="H1997" s="885">
        <v>1.0027326728034054</v>
      </c>
      <c r="I1997" s="885">
        <v>0.98816477033730299</v>
      </c>
      <c r="K1997">
        <v>1.9655950817459411</v>
      </c>
      <c r="L1997">
        <v>0</v>
      </c>
      <c r="M1997">
        <v>2.0856182312794245E-3</v>
      </c>
      <c r="N1997">
        <v>0.20291261244351422</v>
      </c>
      <c r="O1997">
        <v>2.6154437366102616E-2</v>
      </c>
      <c r="P1997">
        <v>2.1148798228144448E-2</v>
      </c>
      <c r="Q1997">
        <v>3.0356951840769014E-3</v>
      </c>
      <c r="R1997">
        <v>2.0732116322184622E-3</v>
      </c>
      <c r="S1997">
        <v>0.21173629978304456</v>
      </c>
      <c r="T1997">
        <v>1.0594072082152133</v>
      </c>
      <c r="U1997">
        <v>3.8609010418454076E-2</v>
      </c>
      <c r="V1997">
        <v>0.25404858409172432</v>
      </c>
      <c r="W1997">
        <v>0.12223008560481972</v>
      </c>
      <c r="X1997">
        <v>2.0682158381038936E-2</v>
      </c>
      <c r="Y1997">
        <v>5.6425986288677716E-3</v>
      </c>
    </row>
    <row r="1998" spans="1:25" x14ac:dyDescent="0.25">
      <c r="A1998" s="881"/>
      <c r="B1998" s="1131">
        <v>1748</v>
      </c>
      <c r="C1998" s="885">
        <v>1.0277419717657892</v>
      </c>
      <c r="D1998" s="885">
        <v>1.033378232501061</v>
      </c>
      <c r="E1998" s="885">
        <v>0.96812339311896678</v>
      </c>
      <c r="F1998" s="885">
        <v>0.9894699320903102</v>
      </c>
      <c r="G1998" s="885">
        <v>1.0013990345354999</v>
      </c>
      <c r="H1998" s="885">
        <v>0.98303355029831863</v>
      </c>
      <c r="I1998" s="885">
        <v>1.0054402802074636</v>
      </c>
      <c r="K1998">
        <v>1.8941675833242479</v>
      </c>
      <c r="L1998">
        <v>0</v>
      </c>
      <c r="M1998">
        <v>1.965546598229772E-3</v>
      </c>
      <c r="N1998">
        <v>0.17929542732908946</v>
      </c>
      <c r="O1998">
        <v>2.4076434126437091E-2</v>
      </c>
      <c r="P1998">
        <v>2.0427762059041489E-2</v>
      </c>
      <c r="Q1998">
        <v>2.7447092847722801E-3</v>
      </c>
      <c r="R1998">
        <v>1.9535841724244653E-3</v>
      </c>
      <c r="S1998">
        <v>0.19671144139281163</v>
      </c>
      <c r="T1998">
        <v>1.0613201741228224</v>
      </c>
      <c r="U1998">
        <v>3.6312918637346224E-2</v>
      </c>
      <c r="V1998">
        <v>0.24007288381167396</v>
      </c>
      <c r="W1998">
        <v>0.10956308390041379</v>
      </c>
      <c r="X1998">
        <v>1.83376989671542E-2</v>
      </c>
      <c r="Y1998">
        <v>5.3170121184900341E-3</v>
      </c>
    </row>
    <row r="1999" spans="1:25" x14ac:dyDescent="0.25">
      <c r="A1999" s="881"/>
      <c r="B1999" s="1131">
        <v>1749</v>
      </c>
      <c r="C1999" s="885">
        <v>0.98512301485404463</v>
      </c>
      <c r="D1999" s="885">
        <v>1.0222598159111589</v>
      </c>
      <c r="E1999" s="885">
        <v>1.0066247973464744</v>
      </c>
      <c r="F1999" s="885">
        <v>0.9565222878346249</v>
      </c>
      <c r="G1999" s="885">
        <v>1.0484717178023613</v>
      </c>
      <c r="H1999" s="885">
        <v>0.99331221314054607</v>
      </c>
      <c r="I1999" s="885">
        <v>0.98388985223603742</v>
      </c>
      <c r="K1999">
        <v>1.9364595173866224</v>
      </c>
      <c r="L1999">
        <v>0</v>
      </c>
      <c r="M1999">
        <v>1.9211700186355534E-3</v>
      </c>
      <c r="N1999">
        <v>0.19758346357824436</v>
      </c>
      <c r="O1999">
        <v>2.5252390178770526E-2</v>
      </c>
      <c r="P1999">
        <v>2.1184798094216077E-2</v>
      </c>
      <c r="Q1999">
        <v>2.9909502949950644E-3</v>
      </c>
      <c r="R1999">
        <v>1.9096072285113106E-3</v>
      </c>
      <c r="S1999">
        <v>0.20284576454516864</v>
      </c>
      <c r="T1999">
        <v>1.0577646464931658</v>
      </c>
      <c r="U1999">
        <v>3.7883908951661459E-2</v>
      </c>
      <c r="V1999">
        <v>0.24719221362799812</v>
      </c>
      <c r="W1999">
        <v>0.11757161779664856</v>
      </c>
      <c r="X1999">
        <v>2.1004005241724868E-2</v>
      </c>
      <c r="Y1999">
        <v>5.1973213741540909E-3</v>
      </c>
    </row>
    <row r="2000" spans="1:25" x14ac:dyDescent="0.25">
      <c r="A2000" s="881"/>
      <c r="B2000" s="1131">
        <v>1750</v>
      </c>
      <c r="C2000" s="885">
        <v>0.99276488757081793</v>
      </c>
      <c r="D2000" s="885">
        <v>1.0316484974807021</v>
      </c>
      <c r="E2000" s="885">
        <v>1.0111110600526203</v>
      </c>
      <c r="F2000" s="885">
        <v>0.99712909243183778</v>
      </c>
      <c r="G2000" s="885">
        <v>0.97648272097027411</v>
      </c>
      <c r="H2000" s="885">
        <v>1.0053375659420365</v>
      </c>
      <c r="I2000" s="885">
        <v>0.99605432818812312</v>
      </c>
      <c r="K2000">
        <v>1.9356884455547982</v>
      </c>
      <c r="L2000">
        <v>0</v>
      </c>
      <c r="M2000">
        <v>1.9027019871598876E-3</v>
      </c>
      <c r="N2000">
        <v>0.19844628571792367</v>
      </c>
      <c r="O2000">
        <v>2.4945280958228129E-2</v>
      </c>
      <c r="P2000">
        <v>2.1232974243692943E-2</v>
      </c>
      <c r="Q2000">
        <v>2.9697339243955727E-3</v>
      </c>
      <c r="R2000">
        <v>1.8913802412355264E-3</v>
      </c>
      <c r="S2000">
        <v>0.20412540923751216</v>
      </c>
      <c r="T2000">
        <v>1.057354101401587</v>
      </c>
      <c r="U2000">
        <v>3.7592295082308415E-2</v>
      </c>
      <c r="V2000">
        <v>0.24499338657694766</v>
      </c>
      <c r="W2000">
        <v>0.11772533802923869</v>
      </c>
      <c r="X2000">
        <v>2.1167248605571145E-2</v>
      </c>
      <c r="Y2000">
        <v>5.147713523314148E-3</v>
      </c>
    </row>
    <row r="2001" spans="1:25" x14ac:dyDescent="0.25">
      <c r="A2001" s="881"/>
      <c r="B2001" s="1131">
        <v>1751</v>
      </c>
      <c r="C2001" s="885">
        <v>1.0047439344440354</v>
      </c>
      <c r="D2001" s="885">
        <v>0.99705893759388275</v>
      </c>
      <c r="E2001" s="885">
        <v>1.0088009107378699</v>
      </c>
      <c r="F2001" s="885">
        <v>0.9995438148679856</v>
      </c>
      <c r="G2001" s="885">
        <v>0.98271495711874479</v>
      </c>
      <c r="H2001" s="885">
        <v>0.99239456432091011</v>
      </c>
      <c r="I2001" s="885">
        <v>0.9716556986709951</v>
      </c>
      <c r="K2001">
        <v>1.9291416150521494</v>
      </c>
      <c r="L2001">
        <v>0</v>
      </c>
      <c r="M2001">
        <v>1.8965366261375623E-3</v>
      </c>
      <c r="N2001">
        <v>0.19637521682168668</v>
      </c>
      <c r="O2001">
        <v>2.5066658440878239E-2</v>
      </c>
      <c r="P2001">
        <v>2.115177758768998E-2</v>
      </c>
      <c r="Q2001">
        <v>2.9702741569137591E-3</v>
      </c>
      <c r="R2001">
        <v>1.8851312022089464E-3</v>
      </c>
      <c r="S2001">
        <v>0.19858142386556227</v>
      </c>
      <c r="T2001">
        <v>1.0575654087873321</v>
      </c>
      <c r="U2001">
        <v>3.7144101418803484E-2</v>
      </c>
      <c r="V2001">
        <v>0.24750258094507707</v>
      </c>
      <c r="W2001">
        <v>0.11667972277823341</v>
      </c>
      <c r="X2001">
        <v>2.0985149974821028E-2</v>
      </c>
      <c r="Y2001">
        <v>5.1307056990789572E-3</v>
      </c>
    </row>
    <row r="2002" spans="1:25" x14ac:dyDescent="0.25">
      <c r="A2002" s="881"/>
      <c r="B2002" s="1131">
        <v>1752</v>
      </c>
      <c r="C2002" s="885">
        <v>1.0127506648548652</v>
      </c>
      <c r="D2002" s="885">
        <v>1.0216286613747456</v>
      </c>
      <c r="E2002" s="885">
        <v>1.0090771113555241</v>
      </c>
      <c r="F2002" s="885">
        <v>0.98649764705686194</v>
      </c>
      <c r="G2002" s="885">
        <v>0.97148625247130649</v>
      </c>
      <c r="H2002" s="885">
        <v>0.99863370995993872</v>
      </c>
      <c r="I2002" s="885">
        <v>1.0027332718478985</v>
      </c>
      <c r="K2002">
        <v>1.9228093261292127</v>
      </c>
      <c r="L2002">
        <v>0</v>
      </c>
      <c r="M2002">
        <v>1.8696523121126305E-3</v>
      </c>
      <c r="N2002">
        <v>0.19376318207750315</v>
      </c>
      <c r="O2002">
        <v>2.4570997596526391E-2</v>
      </c>
      <c r="P2002">
        <v>2.1138198898065456E-2</v>
      </c>
      <c r="Q2002">
        <v>2.9172717060515978E-3</v>
      </c>
      <c r="R2002">
        <v>1.8584600251362756E-3</v>
      </c>
      <c r="S2002">
        <v>0.20167551258464414</v>
      </c>
      <c r="T2002">
        <v>1.0575401339905341</v>
      </c>
      <c r="U2002">
        <v>3.6850442953068989E-2</v>
      </c>
      <c r="V2002">
        <v>0.24342434497629756</v>
      </c>
      <c r="W2002">
        <v>0.11510611678452279</v>
      </c>
      <c r="X2002">
        <v>2.0776201301735346E-2</v>
      </c>
      <c r="Y2002">
        <v>5.0581155472383043E-3</v>
      </c>
    </row>
    <row r="2003" spans="1:25" x14ac:dyDescent="0.25">
      <c r="A2003" s="881"/>
      <c r="B2003" s="1131">
        <v>1753</v>
      </c>
      <c r="C2003" s="885">
        <v>0.99484702390199597</v>
      </c>
      <c r="D2003" s="885">
        <v>1.0130333487431857</v>
      </c>
      <c r="E2003" s="885">
        <v>1.0124451595444353</v>
      </c>
      <c r="F2003" s="885">
        <v>0.98779266191459814</v>
      </c>
      <c r="G2003" s="885">
        <v>0.99087002759023113</v>
      </c>
      <c r="H2003" s="885">
        <v>1.0042680415801208</v>
      </c>
      <c r="I2003" s="885">
        <v>0.98639390673029159</v>
      </c>
      <c r="K2003">
        <v>1.9391697252702518</v>
      </c>
      <c r="L2003">
        <v>0</v>
      </c>
      <c r="M2003">
        <v>1.908426676915305E-3</v>
      </c>
      <c r="N2003">
        <v>0.19987070518891192</v>
      </c>
      <c r="O2003">
        <v>2.5117765757268609E-2</v>
      </c>
      <c r="P2003">
        <v>2.1266524842202917E-2</v>
      </c>
      <c r="Q2003">
        <v>2.99049315611934E-3</v>
      </c>
      <c r="R2003">
        <v>1.8970729695737369E-3</v>
      </c>
      <c r="S2003">
        <v>0.20330411030382481</v>
      </c>
      <c r="T2003">
        <v>1.0572321673480216</v>
      </c>
      <c r="U2003">
        <v>3.7513617374597893E-2</v>
      </c>
      <c r="V2003">
        <v>0.24693154751983809</v>
      </c>
      <c r="W2003">
        <v>0.11846305112761901</v>
      </c>
      <c r="X2003">
        <v>2.1327889105943253E-2</v>
      </c>
      <c r="Y2003">
        <v>5.1632072532433642E-3</v>
      </c>
    </row>
    <row r="2004" spans="1:25" x14ac:dyDescent="0.25">
      <c r="A2004" s="881"/>
      <c r="B2004" s="1131">
        <v>1754</v>
      </c>
      <c r="C2004" s="885">
        <v>0.97898329123655492</v>
      </c>
      <c r="D2004" s="885">
        <v>0.99054319651854861</v>
      </c>
      <c r="E2004" s="885">
        <v>0.96858842955452062</v>
      </c>
      <c r="F2004" s="885">
        <v>0.96678674558043987</v>
      </c>
      <c r="G2004" s="885">
        <v>0.97510111963459378</v>
      </c>
      <c r="H2004" s="885">
        <v>0.95787511208762266</v>
      </c>
      <c r="I2004" s="885">
        <v>0.96863909336323339</v>
      </c>
      <c r="K2004">
        <v>1.9275707551360488</v>
      </c>
      <c r="L2004">
        <v>0</v>
      </c>
      <c r="M2004">
        <v>2.0511061269279187E-3</v>
      </c>
      <c r="N2004">
        <v>0.18734491451915614</v>
      </c>
      <c r="O2004">
        <v>2.5809953127095664E-2</v>
      </c>
      <c r="P2004">
        <v>2.0666161347387708E-2</v>
      </c>
      <c r="Q2004">
        <v>2.9350997510050204E-3</v>
      </c>
      <c r="R2004">
        <v>2.0383324488625664E-3</v>
      </c>
      <c r="S2004">
        <v>0.2003141863382597</v>
      </c>
      <c r="T2004">
        <v>1.0612768858794852</v>
      </c>
      <c r="U2004">
        <v>3.8121499043949528E-2</v>
      </c>
      <c r="V2004">
        <v>0.25204473074312056</v>
      </c>
      <c r="W2004">
        <v>0.11444469095851602</v>
      </c>
      <c r="X2004">
        <v>1.9077738116445739E-2</v>
      </c>
      <c r="Y2004">
        <v>5.547668989692724E-3</v>
      </c>
    </row>
    <row r="2005" spans="1:25" x14ac:dyDescent="0.25">
      <c r="A2005" s="881"/>
      <c r="B2005" s="1131">
        <v>1755</v>
      </c>
      <c r="C2005" s="885">
        <v>0.96603243231586755</v>
      </c>
      <c r="D2005" s="885">
        <v>0.9918702911380306</v>
      </c>
      <c r="E2005" s="885">
        <v>0.97648512196192172</v>
      </c>
      <c r="F2005" s="885">
        <v>1.012973853815976</v>
      </c>
      <c r="G2005" s="885">
        <v>1.0253661527074567</v>
      </c>
      <c r="H2005" s="885">
        <v>0.99610789416199608</v>
      </c>
      <c r="I2005" s="885">
        <v>1.0114298958370731</v>
      </c>
      <c r="K2005">
        <v>1.9645971950445908</v>
      </c>
      <c r="L2005">
        <v>0</v>
      </c>
      <c r="M2005">
        <v>2.124663929036521E-3</v>
      </c>
      <c r="N2005">
        <v>0.19894796463821465</v>
      </c>
      <c r="O2005">
        <v>2.6138617715048759E-2</v>
      </c>
      <c r="P2005">
        <v>2.1021284428242932E-2</v>
      </c>
      <c r="Q2005">
        <v>2.9968099974553263E-3</v>
      </c>
      <c r="R2005">
        <v>2.1119388339632546E-3</v>
      </c>
      <c r="S2005">
        <v>0.21590456528598348</v>
      </c>
      <c r="T2005">
        <v>1.0605430942121492</v>
      </c>
      <c r="U2005">
        <v>3.8632564862702348E-2</v>
      </c>
      <c r="V2005">
        <v>0.25382147606181205</v>
      </c>
      <c r="W2005">
        <v>0.12086513277518797</v>
      </c>
      <c r="X2005">
        <v>1.9990408857268448E-2</v>
      </c>
      <c r="Y2005">
        <v>5.7480013055984727E-3</v>
      </c>
    </row>
    <row r="2006" spans="1:25" x14ac:dyDescent="0.25">
      <c r="A2006" s="881"/>
      <c r="B2006" s="1131">
        <v>1756</v>
      </c>
      <c r="C2006" s="885">
        <v>1.0278099438916211</v>
      </c>
      <c r="D2006" s="885">
        <v>0.99169448608876321</v>
      </c>
      <c r="E2006" s="885">
        <v>1.0097563849386162</v>
      </c>
      <c r="F2006" s="885">
        <v>0.95849347922804429</v>
      </c>
      <c r="G2006" s="885">
        <v>0.99261077388419094</v>
      </c>
      <c r="H2006" s="885">
        <v>1.0308108514493801</v>
      </c>
      <c r="I2006" s="885">
        <v>0.97041149624506073</v>
      </c>
      <c r="K2006">
        <v>1.9307169406348275</v>
      </c>
      <c r="L2006">
        <v>0</v>
      </c>
      <c r="M2006">
        <v>1.927005521896005E-3</v>
      </c>
      <c r="N2006">
        <v>0.20016924657518403</v>
      </c>
      <c r="O2006">
        <v>2.4569688983099001E-2</v>
      </c>
      <c r="P2006">
        <v>2.1112273475879746E-2</v>
      </c>
      <c r="Q2006">
        <v>2.913070477516821E-3</v>
      </c>
      <c r="R2006">
        <v>1.9158529303641948E-3</v>
      </c>
      <c r="S2006">
        <v>0.19804309380151461</v>
      </c>
      <c r="T2006">
        <v>1.0574779871197628</v>
      </c>
      <c r="U2006">
        <v>3.6310517156129159E-2</v>
      </c>
      <c r="V2006">
        <v>0.24499976426049253</v>
      </c>
      <c r="W2006">
        <v>0.11885678155421521</v>
      </c>
      <c r="X2006">
        <v>2.1061349706863255E-2</v>
      </c>
      <c r="Y2006">
        <v>5.2143201157025774E-3</v>
      </c>
    </row>
    <row r="2007" spans="1:25" x14ac:dyDescent="0.25">
      <c r="A2007" s="881"/>
      <c r="B2007" s="1131">
        <v>1757</v>
      </c>
      <c r="C2007" s="885">
        <v>0.97980961501787278</v>
      </c>
      <c r="D2007" s="885">
        <v>1.0030215594160232</v>
      </c>
      <c r="E2007" s="885">
        <v>0.98444175803969769</v>
      </c>
      <c r="F2007" s="885">
        <v>1.0177942325087621</v>
      </c>
      <c r="G2007" s="885">
        <v>1.0072498216063936</v>
      </c>
      <c r="H2007" s="885">
        <v>1.0042345101462842</v>
      </c>
      <c r="I2007" s="885">
        <v>0.99453271643510199</v>
      </c>
      <c r="K2007">
        <v>1.9506855514796437</v>
      </c>
      <c r="L2007">
        <v>0</v>
      </c>
      <c r="M2007">
        <v>2.0654371946954323E-3</v>
      </c>
      <c r="N2007">
        <v>0.19826520689000091</v>
      </c>
      <c r="O2007">
        <v>2.5628807287972157E-2</v>
      </c>
      <c r="P2007">
        <v>2.0992284063913437E-2</v>
      </c>
      <c r="Q2007">
        <v>2.964525075901202E-3</v>
      </c>
      <c r="R2007">
        <v>2.0531574070043654E-3</v>
      </c>
      <c r="S2007">
        <v>0.20907423512119103</v>
      </c>
      <c r="T2007">
        <v>1.0598061761852595</v>
      </c>
      <c r="U2007">
        <v>3.8089349225498358E-2</v>
      </c>
      <c r="V2007">
        <v>0.25033509313682778</v>
      </c>
      <c r="W2007">
        <v>0.11978737898498336</v>
      </c>
      <c r="X2007">
        <v>2.0166757657078656E-2</v>
      </c>
      <c r="Y2007">
        <v>5.5880176387085659E-3</v>
      </c>
    </row>
    <row r="2008" spans="1:25" x14ac:dyDescent="0.25">
      <c r="A2008" s="881"/>
      <c r="B2008" s="1131">
        <v>1758</v>
      </c>
      <c r="C2008" s="885">
        <v>1.0105258405955266</v>
      </c>
      <c r="D2008" s="885">
        <v>1.0141716967510059</v>
      </c>
      <c r="E2008" s="885">
        <v>1.0073706595152039</v>
      </c>
      <c r="F2008" s="885">
        <v>1.0149484987825674</v>
      </c>
      <c r="G2008" s="885">
        <v>0.97847035181917663</v>
      </c>
      <c r="H2008" s="885">
        <v>0.98884751137894289</v>
      </c>
      <c r="I2008" s="885">
        <v>1.0244766435105113</v>
      </c>
      <c r="K2008">
        <v>1.9272503039436728</v>
      </c>
      <c r="L2008">
        <v>0</v>
      </c>
      <c r="M2008">
        <v>1.8688370895541503E-3</v>
      </c>
      <c r="N2008">
        <v>0.19264291806088132</v>
      </c>
      <c r="O2008">
        <v>2.4714333819182886E-2</v>
      </c>
      <c r="P2008">
        <v>2.1193149374738433E-2</v>
      </c>
      <c r="Q2008">
        <v>2.9277997577493724E-3</v>
      </c>
      <c r="R2008">
        <v>1.8575446551452729E-3</v>
      </c>
      <c r="S2008">
        <v>0.20619904815763659</v>
      </c>
      <c r="T2008">
        <v>1.0576963370249579</v>
      </c>
      <c r="U2008">
        <v>3.6931574732342515E-2</v>
      </c>
      <c r="V2008">
        <v>0.24461393525524483</v>
      </c>
      <c r="W2008">
        <v>0.11457355415029878</v>
      </c>
      <c r="X2008">
        <v>2.0713321833173134E-2</v>
      </c>
      <c r="Y2008">
        <v>5.0556242118744337E-3</v>
      </c>
    </row>
    <row r="2009" spans="1:25" x14ac:dyDescent="0.25">
      <c r="A2009" s="881"/>
      <c r="B2009" s="1131">
        <v>1759</v>
      </c>
      <c r="C2009" s="885">
        <v>0.9743488410191018</v>
      </c>
      <c r="D2009" s="885">
        <v>0.98478798608308848</v>
      </c>
      <c r="E2009" s="885">
        <v>0.95547026708002736</v>
      </c>
      <c r="F2009" s="885">
        <v>0.98496439442131734</v>
      </c>
      <c r="G2009" s="885">
        <v>0.99653807610957834</v>
      </c>
      <c r="H2009" s="885">
        <v>1.0006881519337731</v>
      </c>
      <c r="I2009" s="885">
        <v>0.98122734294259206</v>
      </c>
      <c r="K2009">
        <v>1.9521004172693723</v>
      </c>
      <c r="L2009">
        <v>0</v>
      </c>
      <c r="M2009">
        <v>2.2193106555103851E-3</v>
      </c>
      <c r="N2009">
        <v>0.19463229753585443</v>
      </c>
      <c r="O2009">
        <v>2.6007753510203142E-2</v>
      </c>
      <c r="P2009">
        <v>2.0607658399043684E-2</v>
      </c>
      <c r="Q2009">
        <v>2.9168372322108589E-3</v>
      </c>
      <c r="R2009">
        <v>2.2060861408239999E-3</v>
      </c>
      <c r="S2009">
        <v>0.20882531915275734</v>
      </c>
      <c r="T2009">
        <v>1.0625012044725481</v>
      </c>
      <c r="U2009">
        <v>3.8302822387393028E-2</v>
      </c>
      <c r="V2009">
        <v>0.25348856334712661</v>
      </c>
      <c r="W2009">
        <v>0.11999749586831474</v>
      </c>
      <c r="X2009">
        <v>1.882945063938294E-2</v>
      </c>
      <c r="Y2009">
        <v>6.0042392392220534E-3</v>
      </c>
    </row>
    <row r="2010" spans="1:25" x14ac:dyDescent="0.25">
      <c r="A2010" s="881"/>
      <c r="B2010" s="1131">
        <v>1760</v>
      </c>
      <c r="C2010" s="885">
        <v>1.0438826974152631</v>
      </c>
      <c r="D2010" s="885">
        <v>1.0169443343427804</v>
      </c>
      <c r="E2010" s="885">
        <v>1.032401653769083</v>
      </c>
      <c r="F2010" s="885">
        <v>1.0216200957716735</v>
      </c>
      <c r="G2010" s="885">
        <v>1.0254534347236806</v>
      </c>
      <c r="H2010" s="885">
        <v>1.0229867698770894</v>
      </c>
      <c r="I2010" s="885">
        <v>1.0221513697643361</v>
      </c>
      <c r="K2010">
        <v>1.9211826003752521</v>
      </c>
      <c r="L2010">
        <v>0</v>
      </c>
      <c r="M2010">
        <v>1.7728012939815735E-3</v>
      </c>
      <c r="N2010">
        <v>0.19756039439362549</v>
      </c>
      <c r="O2010">
        <v>2.3892355791616103E-2</v>
      </c>
      <c r="P2010">
        <v>2.141612553007961E-2</v>
      </c>
      <c r="Q2010">
        <v>2.9022946455110874E-3</v>
      </c>
      <c r="R2010">
        <v>1.7624446963025941E-3</v>
      </c>
      <c r="S2010">
        <v>0.20226318747281677</v>
      </c>
      <c r="T2010">
        <v>1.0554164866851592</v>
      </c>
      <c r="U2010">
        <v>3.5751440936155919E-2</v>
      </c>
      <c r="V2010">
        <v>0.23987617211692586</v>
      </c>
      <c r="W2010">
        <v>0.11553009176446169</v>
      </c>
      <c r="X2010">
        <v>2.1787614162981063E-2</v>
      </c>
      <c r="Y2010">
        <v>4.7967934735976686E-3</v>
      </c>
    </row>
    <row r="2011" spans="1:25" x14ac:dyDescent="0.25">
      <c r="A2011" s="881"/>
      <c r="B2011" s="1131">
        <v>1761</v>
      </c>
      <c r="C2011" s="885">
        <v>0.96626394619231004</v>
      </c>
      <c r="D2011" s="885">
        <v>1.0258573287992185</v>
      </c>
      <c r="E2011" s="885">
        <v>0.98659336901318384</v>
      </c>
      <c r="F2011" s="885">
        <v>1.0155852349143881</v>
      </c>
      <c r="G2011" s="885">
        <v>1.0424627731552021</v>
      </c>
      <c r="H2011" s="885">
        <v>0.9779449654625626</v>
      </c>
      <c r="I2011" s="885">
        <v>1.0301659303675803</v>
      </c>
      <c r="K2011">
        <v>1.9486601523541676</v>
      </c>
      <c r="L2011">
        <v>0</v>
      </c>
      <c r="M2011">
        <v>2.0079272632166022E-3</v>
      </c>
      <c r="N2011">
        <v>0.19400761004883429</v>
      </c>
      <c r="O2011">
        <v>2.5700670747573852E-2</v>
      </c>
      <c r="P2011">
        <v>2.1093570450705378E-2</v>
      </c>
      <c r="Q2011">
        <v>2.983975922898667E-3</v>
      </c>
      <c r="R2011">
        <v>1.9956494563270139E-3</v>
      </c>
      <c r="S2011">
        <v>0.21454676347054297</v>
      </c>
      <c r="T2011">
        <v>1.0596073228929102</v>
      </c>
      <c r="U2011">
        <v>3.8623308618708663E-2</v>
      </c>
      <c r="V2011">
        <v>0.24949408394099612</v>
      </c>
      <c r="W2011">
        <v>0.11704084045889378</v>
      </c>
      <c r="X2011">
        <v>2.0142783654536763E-2</v>
      </c>
      <c r="Y2011">
        <v>5.4314999544556588E-3</v>
      </c>
    </row>
    <row r="2012" spans="1:25" x14ac:dyDescent="0.25">
      <c r="A2012" s="881"/>
      <c r="B2012" s="1131">
        <v>1762</v>
      </c>
      <c r="C2012" s="885">
        <v>1.0103313646180194</v>
      </c>
      <c r="D2012" s="885">
        <v>1.0001143829915622</v>
      </c>
      <c r="E2012" s="885">
        <v>1.0151657247625918</v>
      </c>
      <c r="F2012" s="885">
        <v>1.0031482180839382</v>
      </c>
      <c r="G2012" s="885">
        <v>0.98218844612707445</v>
      </c>
      <c r="H2012" s="885">
        <v>0.9867021438224175</v>
      </c>
      <c r="I2012" s="885">
        <v>0.97268781440555108</v>
      </c>
      <c r="K2012">
        <v>1.9228620189330363</v>
      </c>
      <c r="L2012">
        <v>0</v>
      </c>
      <c r="M2012">
        <v>1.8474181766969862E-3</v>
      </c>
      <c r="N2012">
        <v>0.19510439548988021</v>
      </c>
      <c r="O2012">
        <v>2.489029857371404E-2</v>
      </c>
      <c r="P2012">
        <v>2.1200850771061923E-2</v>
      </c>
      <c r="Q2012">
        <v>2.9688145970107604E-3</v>
      </c>
      <c r="R2012">
        <v>1.8362416758758908E-3</v>
      </c>
      <c r="S2012">
        <v>0.19686093282138911</v>
      </c>
      <c r="T2012">
        <v>1.056983728443649</v>
      </c>
      <c r="U2012">
        <v>3.6938683592216089E-2</v>
      </c>
      <c r="V2012">
        <v>0.24634648720619415</v>
      </c>
      <c r="W2012">
        <v>0.11542506160512427</v>
      </c>
      <c r="X2012">
        <v>2.1156297808787139E-2</v>
      </c>
      <c r="Y2012">
        <v>4.9976445248284054E-3</v>
      </c>
    </row>
    <row r="2013" spans="1:25" x14ac:dyDescent="0.25">
      <c r="A2013" s="881"/>
      <c r="B2013" s="1131">
        <v>1763</v>
      </c>
      <c r="C2013" s="885">
        <v>1.0137585624244458</v>
      </c>
      <c r="D2013" s="885">
        <v>1.0003078485068013</v>
      </c>
      <c r="E2013" s="885">
        <v>1.0401452343638462</v>
      </c>
      <c r="F2013" s="885">
        <v>0.99270160782690131</v>
      </c>
      <c r="G2013" s="885">
        <v>0.99590107680325657</v>
      </c>
      <c r="H2013" s="885">
        <v>0.97853711999755533</v>
      </c>
      <c r="I2013" s="885">
        <v>1.008982802010983</v>
      </c>
      <c r="K2013">
        <v>1.9291760624407654</v>
      </c>
      <c r="L2013">
        <v>0</v>
      </c>
      <c r="M2013">
        <v>1.7318177060754265E-3</v>
      </c>
      <c r="N2013">
        <v>0.19763493212102332</v>
      </c>
      <c r="O2013">
        <v>2.4803777480112761E-2</v>
      </c>
      <c r="P2013">
        <v>2.1631232368657254E-2</v>
      </c>
      <c r="Q2013">
        <v>3.0326089490335683E-3</v>
      </c>
      <c r="R2013">
        <v>1.7212530003397326E-3</v>
      </c>
      <c r="S2013">
        <v>0.20267592664107914</v>
      </c>
      <c r="T2013">
        <v>1.054716158653046</v>
      </c>
      <c r="U2013">
        <v>3.6813805559051269E-2</v>
      </c>
      <c r="V2013">
        <v>0.24585460381529448</v>
      </c>
      <c r="W2013">
        <v>0.11497809338149587</v>
      </c>
      <c r="X2013">
        <v>2.2360804921681719E-2</v>
      </c>
      <c r="Y2013">
        <v>4.6846832560256853E-3</v>
      </c>
    </row>
    <row r="2014" spans="1:25" x14ac:dyDescent="0.25">
      <c r="A2014" s="881"/>
      <c r="B2014" s="1131">
        <v>1764</v>
      </c>
      <c r="C2014" s="885">
        <v>1.0383900056995179</v>
      </c>
      <c r="D2014" s="885">
        <v>1.0123657548851415</v>
      </c>
      <c r="E2014" s="885">
        <v>1.0083410617416733</v>
      </c>
      <c r="F2014" s="885">
        <v>0.9885259353718604</v>
      </c>
      <c r="G2014" s="885">
        <v>1.0230869214149119</v>
      </c>
      <c r="H2014" s="885">
        <v>0.98706721819240695</v>
      </c>
      <c r="I2014" s="885">
        <v>0.97950309620966014</v>
      </c>
      <c r="K2014">
        <v>1.8984973566058581</v>
      </c>
      <c r="L2014">
        <v>0</v>
      </c>
      <c r="M2014">
        <v>1.8132984931850302E-3</v>
      </c>
      <c r="N2014">
        <v>0.18748082335158861</v>
      </c>
      <c r="O2014">
        <v>2.4072338361705359E-2</v>
      </c>
      <c r="P2014">
        <v>2.0948381802341261E-2</v>
      </c>
      <c r="Q2014">
        <v>2.8541637197100856E-3</v>
      </c>
      <c r="R2014">
        <v>1.8023232360900858E-3</v>
      </c>
      <c r="S2014">
        <v>0.19184461233792208</v>
      </c>
      <c r="T2014">
        <v>1.0576074956368968</v>
      </c>
      <c r="U2014">
        <v>3.5940552582433435E-2</v>
      </c>
      <c r="V2014">
        <v>0.24111424895606096</v>
      </c>
      <c r="W2014">
        <v>0.11142981216701597</v>
      </c>
      <c r="X2014">
        <v>2.0310573234336105E-2</v>
      </c>
      <c r="Y2014">
        <v>4.905329712942115E-3</v>
      </c>
    </row>
    <row r="2015" spans="1:25" x14ac:dyDescent="0.25">
      <c r="A2015" s="881"/>
      <c r="B2015" s="1131">
        <v>1765</v>
      </c>
      <c r="C2015" s="885">
        <v>0.99986969381953361</v>
      </c>
      <c r="D2015" s="885">
        <v>1.0221726857617106</v>
      </c>
      <c r="E2015" s="885">
        <v>1.006238187377595</v>
      </c>
      <c r="F2015" s="885">
        <v>1.0169665233778573</v>
      </c>
      <c r="G2015" s="885">
        <v>0.95617601132802932</v>
      </c>
      <c r="H2015" s="885">
        <v>0.96207230930823084</v>
      </c>
      <c r="I2015" s="885">
        <v>0.96129625089390891</v>
      </c>
      <c r="K2015">
        <v>1.9073672618552941</v>
      </c>
      <c r="L2015">
        <v>0</v>
      </c>
      <c r="M2015">
        <v>1.8348771604829982E-3</v>
      </c>
      <c r="N2015">
        <v>0.18844485802363065</v>
      </c>
      <c r="O2015">
        <v>2.4880999319171607E-2</v>
      </c>
      <c r="P2015">
        <v>2.0998168824644798E-2</v>
      </c>
      <c r="Q2015">
        <v>2.945803646080021E-3</v>
      </c>
      <c r="R2015">
        <v>1.8234752045739712E-3</v>
      </c>
      <c r="S2015">
        <v>0.19226556818901092</v>
      </c>
      <c r="T2015">
        <v>1.0578000625408721</v>
      </c>
      <c r="U2015">
        <v>3.7325174301815388E-2</v>
      </c>
      <c r="V2015">
        <v>0.2451275726569288</v>
      </c>
      <c r="W2015">
        <v>0.11216324440376302</v>
      </c>
      <c r="X2015">
        <v>2.0464313506874724E-2</v>
      </c>
      <c r="Y2015">
        <v>4.9628983984107136E-3</v>
      </c>
    </row>
    <row r="2016" spans="1:25" x14ac:dyDescent="0.25">
      <c r="A2016" s="881"/>
      <c r="B2016" s="1131">
        <v>1766</v>
      </c>
      <c r="C2016" s="885">
        <v>1.0105774460981358</v>
      </c>
      <c r="D2016" s="885">
        <v>0.95309321659080815</v>
      </c>
      <c r="E2016" s="885">
        <v>0.97939278417976572</v>
      </c>
      <c r="F2016" s="885">
        <v>1.0144844037740661</v>
      </c>
      <c r="G2016" s="885">
        <v>0.95769649467038587</v>
      </c>
      <c r="H2016" s="885">
        <v>1.0282664770583105</v>
      </c>
      <c r="I2016" s="885">
        <v>1.0058046955068383</v>
      </c>
      <c r="K2016">
        <v>1.9597645605373628</v>
      </c>
      <c r="L2016">
        <v>0</v>
      </c>
      <c r="M2016">
        <v>2.1254979811303793E-3</v>
      </c>
      <c r="N2016">
        <v>0.20087872721467245</v>
      </c>
      <c r="O2016">
        <v>2.5486557465130913E-2</v>
      </c>
      <c r="P2016">
        <v>2.0974460356601946E-2</v>
      </c>
      <c r="Q2016">
        <v>2.922472379048374E-3</v>
      </c>
      <c r="R2016">
        <v>2.1132004718896129E-3</v>
      </c>
      <c r="S2016">
        <v>0.21236443347602624</v>
      </c>
      <c r="T2016">
        <v>1.0602735112124724</v>
      </c>
      <c r="U2016">
        <v>3.692968880812797E-2</v>
      </c>
      <c r="V2016">
        <v>0.25238277415470334</v>
      </c>
      <c r="W2016">
        <v>0.12179178053449015</v>
      </c>
      <c r="X2016">
        <v>2.0021017377195215E-2</v>
      </c>
      <c r="Y2016">
        <v>5.7514350681351885E-3</v>
      </c>
    </row>
    <row r="2017" spans="1:25" x14ac:dyDescent="0.25">
      <c r="A2017" s="881"/>
      <c r="B2017" s="1131">
        <v>1767</v>
      </c>
      <c r="C2017" s="885">
        <v>0.96162287135969404</v>
      </c>
      <c r="D2017" s="885">
        <v>0.97546540280325778</v>
      </c>
      <c r="E2017" s="885">
        <v>0.98619774383920844</v>
      </c>
      <c r="F2017" s="885">
        <v>1.0356367318659134</v>
      </c>
      <c r="G2017" s="885">
        <v>1.0054223108621032</v>
      </c>
      <c r="H2017" s="885">
        <v>0.98612811462972161</v>
      </c>
      <c r="I2017" s="885">
        <v>0.96079274995930508</v>
      </c>
      <c r="K2017">
        <v>1.9615945230692375</v>
      </c>
      <c r="L2017">
        <v>0</v>
      </c>
      <c r="M2017">
        <v>2.0875523682361672E-3</v>
      </c>
      <c r="N2017">
        <v>0.20146726307260637</v>
      </c>
      <c r="O2017">
        <v>2.6476645968231724E-2</v>
      </c>
      <c r="P2017">
        <v>2.1079992774857809E-2</v>
      </c>
      <c r="Q2017">
        <v>3.0620698437293591E-3</v>
      </c>
      <c r="R2017">
        <v>2.0749377050351967E-3</v>
      </c>
      <c r="S2017">
        <v>0.20660135691202031</v>
      </c>
      <c r="T2017">
        <v>1.059643873340387</v>
      </c>
      <c r="U2017">
        <v>3.8809716066910478E-2</v>
      </c>
      <c r="V2017">
        <v>0.25667803883222579</v>
      </c>
      <c r="W2017">
        <v>0.1215743179226328</v>
      </c>
      <c r="X2017">
        <v>2.0566566568760436E-2</v>
      </c>
      <c r="Y2017">
        <v>5.6472964300751704E-3</v>
      </c>
    </row>
    <row r="2018" spans="1:25" x14ac:dyDescent="0.25">
      <c r="A2018" s="881"/>
      <c r="B2018" s="1131">
        <v>1768</v>
      </c>
      <c r="C2018" s="885">
        <v>1.0105219900713183</v>
      </c>
      <c r="D2018" s="885">
        <v>1.0050907507779077</v>
      </c>
      <c r="E2018" s="885">
        <v>1.0283155401295103</v>
      </c>
      <c r="F2018" s="885">
        <v>1.0028567145815881</v>
      </c>
      <c r="G2018" s="885">
        <v>0.99453301893972124</v>
      </c>
      <c r="H2018" s="885">
        <v>1.0119576574222859</v>
      </c>
      <c r="I2018" s="885">
        <v>1.0334110438468811</v>
      </c>
      <c r="K2018">
        <v>1.9469508187378366</v>
      </c>
      <c r="L2018">
        <v>0</v>
      </c>
      <c r="M2018">
        <v>1.8379225150513647E-3</v>
      </c>
      <c r="N2018">
        <v>0.20222403662905411</v>
      </c>
      <c r="O2018">
        <v>2.482455942608721E-2</v>
      </c>
      <c r="P2018">
        <v>2.158073215099424E-2</v>
      </c>
      <c r="Q2018">
        <v>3.0009354215296334E-3</v>
      </c>
      <c r="R2018">
        <v>1.8270772349675893E-3</v>
      </c>
      <c r="S2018">
        <v>0.21124284136661428</v>
      </c>
      <c r="T2018">
        <v>1.0557869808031379</v>
      </c>
      <c r="U2018">
        <v>3.6931715457555699E-2</v>
      </c>
      <c r="V2018">
        <v>0.24571332568493637</v>
      </c>
      <c r="W2018">
        <v>0.11858148531265131</v>
      </c>
      <c r="X2018">
        <v>2.210234982762618E-2</v>
      </c>
      <c r="Y2018">
        <v>4.9727019377331424E-3</v>
      </c>
    </row>
    <row r="2019" spans="1:25" x14ac:dyDescent="0.25">
      <c r="A2019" s="881"/>
      <c r="B2019" s="1131">
        <v>1769</v>
      </c>
      <c r="C2019" s="885">
        <v>1.0339543799363997</v>
      </c>
      <c r="D2019" s="885">
        <v>1.0358131124834813</v>
      </c>
      <c r="E2019" s="885">
        <v>1.029401078953464</v>
      </c>
      <c r="F2019" s="885">
        <v>0.98264933309345504</v>
      </c>
      <c r="G2019" s="885">
        <v>0.97586846243904868</v>
      </c>
      <c r="H2019" s="885">
        <v>1.0169444260843479</v>
      </c>
      <c r="I2019" s="885">
        <v>1.0040595289015153</v>
      </c>
      <c r="K2019">
        <v>1.9142668753573735</v>
      </c>
      <c r="L2019">
        <v>0</v>
      </c>
      <c r="M2019">
        <v>1.7744348975113793E-3</v>
      </c>
      <c r="N2019">
        <v>0.19590095924940068</v>
      </c>
      <c r="O2019">
        <v>2.3904040738718123E-2</v>
      </c>
      <c r="P2019">
        <v>2.1310946266690431E-2</v>
      </c>
      <c r="Q2019">
        <v>2.8987872061438532E-3</v>
      </c>
      <c r="R2019">
        <v>1.7639940230504772E-3</v>
      </c>
      <c r="S2019">
        <v>0.19832653024028254</v>
      </c>
      <c r="T2019">
        <v>1.0556884895866556</v>
      </c>
      <c r="U2019">
        <v>3.6094736213809105E-2</v>
      </c>
      <c r="V2019">
        <v>0.23899795734619347</v>
      </c>
      <c r="W2019">
        <v>0.11479011783952563</v>
      </c>
      <c r="X2019">
        <v>2.1563741314144215E-2</v>
      </c>
      <c r="Y2019">
        <v>4.8010102302699816E-3</v>
      </c>
    </row>
    <row r="2020" spans="1:25" x14ac:dyDescent="0.25">
      <c r="A2020" s="881"/>
      <c r="B2020" s="1131">
        <v>1770</v>
      </c>
      <c r="C2020" s="885">
        <v>1.0233832706974026</v>
      </c>
      <c r="D2020" s="885">
        <v>0.98990920625737855</v>
      </c>
      <c r="E2020" s="885">
        <v>0.96655995169011044</v>
      </c>
      <c r="F2020" s="885">
        <v>0.97684118380805385</v>
      </c>
      <c r="G2020" s="885">
        <v>1.0067601730202831</v>
      </c>
      <c r="H2020" s="885">
        <v>0.98650901369833177</v>
      </c>
      <c r="I2020" s="885">
        <v>0.97087119005410372</v>
      </c>
      <c r="K2020">
        <v>1.9076871165906935</v>
      </c>
      <c r="L2020">
        <v>0</v>
      </c>
      <c r="M2020">
        <v>2.0300217970567655E-3</v>
      </c>
      <c r="N2020">
        <v>0.18428340627492906</v>
      </c>
      <c r="O2020">
        <v>2.4698012423665337E-2</v>
      </c>
      <c r="P2020">
        <v>2.0459408436114903E-2</v>
      </c>
      <c r="Q2020">
        <v>2.8026996679971976E-3</v>
      </c>
      <c r="R2020">
        <v>2.0177469238106525E-3</v>
      </c>
      <c r="S2020">
        <v>0.19488436051870653</v>
      </c>
      <c r="T2020">
        <v>1.0614657694703533</v>
      </c>
      <c r="U2020">
        <v>3.6467579321952735E-2</v>
      </c>
      <c r="V2020">
        <v>0.24582196749281415</v>
      </c>
      <c r="W2020">
        <v>0.11273444368325689</v>
      </c>
      <c r="X2020">
        <v>1.8590102197628824E-2</v>
      </c>
      <c r="Y2020">
        <v>5.4916419765179266E-3</v>
      </c>
    </row>
    <row r="2021" spans="1:25" x14ac:dyDescent="0.25">
      <c r="A2021" s="881"/>
      <c r="B2021" s="1131">
        <v>1771</v>
      </c>
      <c r="C2021" s="885">
        <v>0.98945467962288669</v>
      </c>
      <c r="D2021" s="885">
        <v>0.99628631880055363</v>
      </c>
      <c r="E2021" s="885">
        <v>1.0206001427284415</v>
      </c>
      <c r="F2021" s="885">
        <v>1.0125807369215933</v>
      </c>
      <c r="G2021" s="885">
        <v>1.0103829493007563</v>
      </c>
      <c r="H2021" s="885">
        <v>1.0012344165919587</v>
      </c>
      <c r="I2021" s="885">
        <v>1.0227799462593639</v>
      </c>
      <c r="K2021">
        <v>1.958136062128188</v>
      </c>
      <c r="L2021">
        <v>0</v>
      </c>
      <c r="M2021">
        <v>1.8959325394553126E-3</v>
      </c>
      <c r="N2021">
        <v>0.20365576895696275</v>
      </c>
      <c r="O2021">
        <v>2.5463767044110932E-2</v>
      </c>
      <c r="P2021">
        <v>2.1564395738842911E-2</v>
      </c>
      <c r="Q2021">
        <v>3.0528711982728482E-3</v>
      </c>
      <c r="R2021">
        <v>1.8846320222159867E-3</v>
      </c>
      <c r="S2021">
        <v>0.21326186615765269</v>
      </c>
      <c r="T2021">
        <v>1.0564883293468192</v>
      </c>
      <c r="U2021">
        <v>3.7718059623651344E-2</v>
      </c>
      <c r="V2021">
        <v>0.24977759798182836</v>
      </c>
      <c r="W2021">
        <v>0.12004245371114378</v>
      </c>
      <c r="X2021">
        <v>2.1992905790448301E-2</v>
      </c>
      <c r="Y2021">
        <v>5.1293470956927621E-3</v>
      </c>
    </row>
    <row r="2022" spans="1:25" x14ac:dyDescent="0.25">
      <c r="A2022" s="881"/>
      <c r="B2022" s="1131">
        <v>1772</v>
      </c>
      <c r="C2022" s="885">
        <v>0.98585793536464428</v>
      </c>
      <c r="D2022" s="885">
        <v>0.98723281351092607</v>
      </c>
      <c r="E2022" s="885">
        <v>0.99550504864822709</v>
      </c>
      <c r="F2022" s="885">
        <v>0.99210781881133059</v>
      </c>
      <c r="G2022" s="885">
        <v>0.97415017745004928</v>
      </c>
      <c r="H2022" s="885">
        <v>0.99875852350306404</v>
      </c>
      <c r="I2022" s="885">
        <v>0.98119478941245419</v>
      </c>
      <c r="K2022">
        <v>1.9494841873158026</v>
      </c>
      <c r="L2022">
        <v>0</v>
      </c>
      <c r="M2022">
        <v>2.010353261492234E-3</v>
      </c>
      <c r="N2022">
        <v>0.19973523048695449</v>
      </c>
      <c r="O2022">
        <v>2.5672544174527811E-2</v>
      </c>
      <c r="P2022">
        <v>2.1123626970201662E-2</v>
      </c>
      <c r="Q2022">
        <v>2.9996513742132432E-3</v>
      </c>
      <c r="R2022">
        <v>1.9983486705720949E-3</v>
      </c>
      <c r="S2022">
        <v>0.20594973462929586</v>
      </c>
      <c r="T2022">
        <v>1.0587856154105018</v>
      </c>
      <c r="U2022">
        <v>3.7855667903218787E-2</v>
      </c>
      <c r="V2022">
        <v>0.25145788002024239</v>
      </c>
      <c r="W2022">
        <v>0.11975909303427325</v>
      </c>
      <c r="X2022">
        <v>2.0718301577456456E-2</v>
      </c>
      <c r="Y2022">
        <v>5.4388463258350341E-3</v>
      </c>
    </row>
    <row r="2023" spans="1:25" x14ac:dyDescent="0.25">
      <c r="A2023" s="881"/>
      <c r="B2023" s="1131">
        <v>1773</v>
      </c>
      <c r="C2023" s="885">
        <v>1.0188529319463462</v>
      </c>
      <c r="D2023" s="885">
        <v>0.95844019448620943</v>
      </c>
      <c r="E2023" s="885">
        <v>1.005572573067542</v>
      </c>
      <c r="F2023" s="885">
        <v>1.0020089535159407</v>
      </c>
      <c r="G2023" s="885">
        <v>0.97312858290897597</v>
      </c>
      <c r="H2023" s="885">
        <v>0.97853089199778298</v>
      </c>
      <c r="I2023" s="885">
        <v>0.98731515742367326</v>
      </c>
      <c r="K2023">
        <v>1.9311588961824173</v>
      </c>
      <c r="L2023">
        <v>0</v>
      </c>
      <c r="M2023">
        <v>1.8934886535646176E-3</v>
      </c>
      <c r="N2023">
        <v>0.19408799312887301</v>
      </c>
      <c r="O2023">
        <v>2.5209199945446875E-2</v>
      </c>
      <c r="P2023">
        <v>2.1175719054896999E-2</v>
      </c>
      <c r="Q2023">
        <v>2.9692552053787115E-3</v>
      </c>
      <c r="R2023">
        <v>1.8819721132499688E-3</v>
      </c>
      <c r="S2023">
        <v>0.20125173318828121</v>
      </c>
      <c r="T2023">
        <v>1.0578610509019495</v>
      </c>
      <c r="U2023">
        <v>3.6629732742313174E-2</v>
      </c>
      <c r="V2023">
        <v>0.250488376061068</v>
      </c>
      <c r="W2023">
        <v>0.11557447331330248</v>
      </c>
      <c r="X2023">
        <v>2.0800771480895788E-2</v>
      </c>
      <c r="Y2023">
        <v>5.1221077003260149E-3</v>
      </c>
    </row>
    <row r="2024" spans="1:25" x14ac:dyDescent="0.25">
      <c r="A2024" s="881"/>
      <c r="B2024" s="1131">
        <v>1774</v>
      </c>
      <c r="C2024" s="885">
        <v>0.99381200669076675</v>
      </c>
      <c r="D2024" s="885">
        <v>0.97022416385658028</v>
      </c>
      <c r="E2024" s="885">
        <v>1.0059758845900302</v>
      </c>
      <c r="F2024" s="885">
        <v>0.98220521973164565</v>
      </c>
      <c r="G2024" s="885">
        <v>1.0337430764002895</v>
      </c>
      <c r="H2024" s="885">
        <v>0.97550215283061548</v>
      </c>
      <c r="I2024" s="885">
        <v>1.0264150564666965</v>
      </c>
      <c r="K2024">
        <v>1.9519255044993074</v>
      </c>
      <c r="L2024">
        <v>0</v>
      </c>
      <c r="M2024">
        <v>1.9218367303379085E-3</v>
      </c>
      <c r="N2024">
        <v>0.19723618896050257</v>
      </c>
      <c r="O2024">
        <v>2.5687752645971382E-2</v>
      </c>
      <c r="P2024">
        <v>2.1382649389188189E-2</v>
      </c>
      <c r="Q2024">
        <v>3.0294651865385288E-3</v>
      </c>
      <c r="R2024">
        <v>1.9101013876764591E-3</v>
      </c>
      <c r="S2024">
        <v>0.21296682386007978</v>
      </c>
      <c r="T2024">
        <v>1.0578240945422821</v>
      </c>
      <c r="U2024">
        <v>3.7552686372936343E-2</v>
      </c>
      <c r="V2024">
        <v>0.25251954070916605</v>
      </c>
      <c r="W2024">
        <v>0.1174168672359521</v>
      </c>
      <c r="X2024">
        <v>2.1122504626850506E-2</v>
      </c>
      <c r="Y2024">
        <v>5.1986663125021008E-3</v>
      </c>
    </row>
    <row r="2025" spans="1:25" x14ac:dyDescent="0.25">
      <c r="A2025" s="881"/>
      <c r="B2025" s="1131">
        <v>1775</v>
      </c>
      <c r="C2025" s="885">
        <v>0.99287548913520163</v>
      </c>
      <c r="D2025" s="885">
        <v>1.0036206161312111</v>
      </c>
      <c r="E2025" s="885">
        <v>0.98616400339169463</v>
      </c>
      <c r="F2025" s="885">
        <v>0.99584586131018171</v>
      </c>
      <c r="G2025" s="885">
        <v>1.0002859919352918</v>
      </c>
      <c r="H2025" s="885">
        <v>1.007598887250881</v>
      </c>
      <c r="I2025" s="885">
        <v>1.0164256122384323</v>
      </c>
      <c r="K2025">
        <v>1.9468280098043771</v>
      </c>
      <c r="L2025">
        <v>0</v>
      </c>
      <c r="M2025">
        <v>2.0370970099878099E-3</v>
      </c>
      <c r="N2025">
        <v>0.1966003647136626</v>
      </c>
      <c r="O2025">
        <v>2.5284071362581057E-2</v>
      </c>
      <c r="P2025">
        <v>2.1012229574261465E-2</v>
      </c>
      <c r="Q2025">
        <v>2.9298796323264618E-3</v>
      </c>
      <c r="R2025">
        <v>2.0250256561355601E-3</v>
      </c>
      <c r="S2025">
        <v>0.21115488838860047</v>
      </c>
      <c r="T2025">
        <v>1.0596469907854849</v>
      </c>
      <c r="U2025">
        <v>3.7588107481052797E-2</v>
      </c>
      <c r="V2025">
        <v>0.24836591990803847</v>
      </c>
      <c r="W2025">
        <v>0.11864018030268046</v>
      </c>
      <c r="X2025">
        <v>2.010599672306853E-2</v>
      </c>
      <c r="Y2025">
        <v>5.5114522864728593E-3</v>
      </c>
    </row>
    <row r="2026" spans="1:25" x14ac:dyDescent="0.25">
      <c r="A2026" s="881"/>
      <c r="B2026" s="1131">
        <v>1776</v>
      </c>
      <c r="C2026" s="885">
        <v>0.9765825256226397</v>
      </c>
      <c r="D2026" s="885">
        <v>1.0335987461902529</v>
      </c>
      <c r="E2026" s="885">
        <v>1.0178173277842277</v>
      </c>
      <c r="F2026" s="885">
        <v>1.0058147888442717</v>
      </c>
      <c r="G2026" s="885">
        <v>1.0102272553046863</v>
      </c>
      <c r="H2026" s="885">
        <v>0.96170748677479367</v>
      </c>
      <c r="I2026" s="885">
        <v>1.0237012976356359</v>
      </c>
      <c r="K2026">
        <v>1.9352799851286342</v>
      </c>
      <c r="L2026">
        <v>0</v>
      </c>
      <c r="M2026">
        <v>1.8225872643788386E-3</v>
      </c>
      <c r="N2026">
        <v>0.1940410541438243</v>
      </c>
      <c r="O2026">
        <v>2.5335043202311502E-2</v>
      </c>
      <c r="P2026">
        <v>2.1427706179418828E-2</v>
      </c>
      <c r="Q2026">
        <v>3.0367668479462477E-3</v>
      </c>
      <c r="R2026">
        <v>1.8112487562458644E-3</v>
      </c>
      <c r="S2026">
        <v>0.20853002335693346</v>
      </c>
      <c r="T2026">
        <v>1.0567418653163103</v>
      </c>
      <c r="U2026">
        <v>3.8215214405073021E-2</v>
      </c>
      <c r="V2026">
        <v>0.24705472009318569</v>
      </c>
      <c r="W2026">
        <v>0.11459026704270141</v>
      </c>
      <c r="X2026">
        <v>2.1389041012551246E-2</v>
      </c>
      <c r="Y2026">
        <v>4.9296220365092147E-3</v>
      </c>
    </row>
    <row r="2027" spans="1:25" x14ac:dyDescent="0.25">
      <c r="A2027" s="881"/>
      <c r="B2027" s="1131">
        <v>1777</v>
      </c>
      <c r="C2027" s="885">
        <v>0.97636353122439945</v>
      </c>
      <c r="D2027" s="885">
        <v>1.0205942545833804</v>
      </c>
      <c r="E2027" s="885">
        <v>1.0190335038038472</v>
      </c>
      <c r="F2027" s="885">
        <v>0.97116167376461526</v>
      </c>
      <c r="G2027" s="885">
        <v>1.0086134665334607</v>
      </c>
      <c r="H2027" s="885">
        <v>1.0019361356032819</v>
      </c>
      <c r="I2027" s="885">
        <v>1.0272469250859104</v>
      </c>
      <c r="K2027">
        <v>1.9594605351727967</v>
      </c>
      <c r="L2027">
        <v>0</v>
      </c>
      <c r="M2027">
        <v>1.906237193740963E-3</v>
      </c>
      <c r="N2027">
        <v>0.20376736128531486</v>
      </c>
      <c r="O2027">
        <v>2.5499456334589513E-2</v>
      </c>
      <c r="P2027">
        <v>2.1553681620491896E-2</v>
      </c>
      <c r="Q2027">
        <v>3.0575066945483539E-3</v>
      </c>
      <c r="R2027">
        <v>1.8948643021209288E-3</v>
      </c>
      <c r="S2027">
        <v>0.21475310500674491</v>
      </c>
      <c r="T2027">
        <v>1.056631025033731</v>
      </c>
      <c r="U2027">
        <v>3.8223785923380063E-2</v>
      </c>
      <c r="V2027">
        <v>0.24865254128332967</v>
      </c>
      <c r="W2027">
        <v>0.12023528424640234</v>
      </c>
      <c r="X2027">
        <v>2.1940964647359392E-2</v>
      </c>
      <c r="Y2027">
        <v>5.1571959885238503E-3</v>
      </c>
    </row>
    <row r="2028" spans="1:25" x14ac:dyDescent="0.25">
      <c r="A2028" s="881"/>
      <c r="B2028" s="1131">
        <v>1778</v>
      </c>
      <c r="C2028" s="885">
        <v>0.9989383758882795</v>
      </c>
      <c r="D2028" s="885">
        <v>0.99846000824164716</v>
      </c>
      <c r="E2028" s="885">
        <v>1.0292370474479091</v>
      </c>
      <c r="F2028" s="885">
        <v>1.0158755471112779</v>
      </c>
      <c r="G2028" s="885">
        <v>1.0010072249179185</v>
      </c>
      <c r="H2028" s="885">
        <v>1.0079626666081845</v>
      </c>
      <c r="I2028" s="885">
        <v>1.02787024277966</v>
      </c>
      <c r="K2028">
        <v>1.9557655971068542</v>
      </c>
      <c r="L2028">
        <v>0</v>
      </c>
      <c r="M2028">
        <v>1.8543480319660273E-3</v>
      </c>
      <c r="N2028">
        <v>0.20461158934829779</v>
      </c>
      <c r="O2028">
        <v>2.5194815218115309E-2</v>
      </c>
      <c r="P2028">
        <v>2.1655368270616281E-2</v>
      </c>
      <c r="Q2028">
        <v>3.0470668986442126E-3</v>
      </c>
      <c r="R2028">
        <v>1.8433674925226985E-3</v>
      </c>
      <c r="S2028">
        <v>0.21277728577200991</v>
      </c>
      <c r="T2028">
        <v>1.0557033692486191</v>
      </c>
      <c r="U2028">
        <v>3.7359972848906499E-2</v>
      </c>
      <c r="V2028">
        <v>0.24814875568204611</v>
      </c>
      <c r="W2028">
        <v>0.11990738400576974</v>
      </c>
      <c r="X2028">
        <v>2.235393170455616E-2</v>
      </c>
      <c r="Y2028">
        <v>5.017038648716189E-3</v>
      </c>
    </row>
    <row r="2029" spans="1:25" x14ac:dyDescent="0.25">
      <c r="A2029" s="881"/>
      <c r="B2029" s="1131">
        <v>1779</v>
      </c>
      <c r="C2029" s="885">
        <v>0.99115439461193411</v>
      </c>
      <c r="D2029" s="885">
        <v>1.0011427930520884</v>
      </c>
      <c r="E2029" s="885">
        <v>0.98363619732982399</v>
      </c>
      <c r="F2029" s="885">
        <v>0.98955387782631055</v>
      </c>
      <c r="G2029" s="885">
        <v>0.99442513129124688</v>
      </c>
      <c r="H2029" s="885">
        <v>0.97881018186684621</v>
      </c>
      <c r="I2029" s="885">
        <v>1.0379474481275635</v>
      </c>
      <c r="K2029">
        <v>1.9406543370894014</v>
      </c>
      <c r="L2029">
        <v>0</v>
      </c>
      <c r="M2029">
        <v>1.9953230898768146E-3</v>
      </c>
      <c r="N2029">
        <v>0.19102530491319208</v>
      </c>
      <c r="O2029">
        <v>2.5358975796864896E-2</v>
      </c>
      <c r="P2029">
        <v>2.1011136470270534E-2</v>
      </c>
      <c r="Q2029">
        <v>2.9305352028934839E-3</v>
      </c>
      <c r="R2029">
        <v>1.9831535996843791E-3</v>
      </c>
      <c r="S2029">
        <v>0.21319632976166383</v>
      </c>
      <c r="T2029">
        <v>1.059880672879677</v>
      </c>
      <c r="U2029">
        <v>3.7653377519986618E-2</v>
      </c>
      <c r="V2029">
        <v>0.24892233725857363</v>
      </c>
      <c r="W2029">
        <v>0.11547754098260583</v>
      </c>
      <c r="X2029">
        <v>1.9812805441931234E-2</v>
      </c>
      <c r="Y2029">
        <v>5.3974903519324428E-3</v>
      </c>
    </row>
    <row r="2030" spans="1:25" x14ac:dyDescent="0.25">
      <c r="A2030" s="881"/>
      <c r="B2030" s="1131">
        <v>1780</v>
      </c>
      <c r="C2030" s="885">
        <v>0.98956100136275837</v>
      </c>
      <c r="D2030" s="885">
        <v>0.99839430082095326</v>
      </c>
      <c r="E2030" s="885">
        <v>0.987489062044</v>
      </c>
      <c r="F2030" s="885">
        <v>1.0135819711355496</v>
      </c>
      <c r="G2030" s="885">
        <v>1.0238381856561436</v>
      </c>
      <c r="H2030" s="885">
        <v>1.0393531266842857</v>
      </c>
      <c r="I2030" s="885">
        <v>1.0183422803881477</v>
      </c>
      <c r="K2030">
        <v>1.9660237904815816</v>
      </c>
      <c r="L2030">
        <v>0</v>
      </c>
      <c r="M2030">
        <v>2.1079061111061448E-3</v>
      </c>
      <c r="N2030">
        <v>0.20431297710279256</v>
      </c>
      <c r="O2030">
        <v>2.5434397499203704E-2</v>
      </c>
      <c r="P2030">
        <v>2.1115225664840722E-2</v>
      </c>
      <c r="Q2030">
        <v>2.9501827128399264E-3</v>
      </c>
      <c r="R2030">
        <v>2.0958011602796563E-3</v>
      </c>
      <c r="S2030">
        <v>0.21608069995669285</v>
      </c>
      <c r="T2030">
        <v>1.0595245953622927</v>
      </c>
      <c r="U2030">
        <v>3.7714007069318413E-2</v>
      </c>
      <c r="V2030">
        <v>0.24949833311189201</v>
      </c>
      <c r="W2030">
        <v>0.12318165321396238</v>
      </c>
      <c r="X2030">
        <v>2.0519743860957857E-2</v>
      </c>
      <c r="Y2030">
        <v>5.704079877614416E-3</v>
      </c>
    </row>
    <row r="2031" spans="1:25" x14ac:dyDescent="0.25">
      <c r="A2031" s="881"/>
      <c r="B2031" s="1131">
        <v>1781</v>
      </c>
      <c r="C2031" s="885">
        <v>1.0128092649159672</v>
      </c>
      <c r="D2031" s="885">
        <v>0.98809692866819021</v>
      </c>
      <c r="E2031" s="885">
        <v>1.0007575471004375</v>
      </c>
      <c r="F2031" s="885">
        <v>1.0046151836089579</v>
      </c>
      <c r="G2031" s="885">
        <v>1.0313757422392189</v>
      </c>
      <c r="H2031" s="885">
        <v>0.99506329391365522</v>
      </c>
      <c r="I2031" s="885">
        <v>1.0042919776293229</v>
      </c>
      <c r="K2031">
        <v>1.933106895260156</v>
      </c>
      <c r="L2031">
        <v>0</v>
      </c>
      <c r="M2031">
        <v>1.9273407216563081E-3</v>
      </c>
      <c r="N2031">
        <v>0.19463851409468802</v>
      </c>
      <c r="O2031">
        <v>2.4978547285372507E-2</v>
      </c>
      <c r="P2031">
        <v>2.1115722763956769E-2</v>
      </c>
      <c r="Q2031">
        <v>2.9342087145907353E-3</v>
      </c>
      <c r="R2031">
        <v>1.9157883873046268E-3</v>
      </c>
      <c r="S2031">
        <v>0.2047327772298729</v>
      </c>
      <c r="T2031">
        <v>1.058302752563085</v>
      </c>
      <c r="U2031">
        <v>3.6848310825842751E-2</v>
      </c>
      <c r="V2031">
        <v>0.24750029996574338</v>
      </c>
      <c r="W2031">
        <v>0.11628393526810581</v>
      </c>
      <c r="X2031">
        <v>2.0569234432478978E-2</v>
      </c>
      <c r="Y2031">
        <v>5.2141444507710485E-3</v>
      </c>
    </row>
    <row r="2032" spans="1:25" x14ac:dyDescent="0.25">
      <c r="A2032" s="881"/>
      <c r="B2032" s="1131">
        <v>1782</v>
      </c>
      <c r="C2032" s="885">
        <v>0.99636588493765055</v>
      </c>
      <c r="D2032" s="885">
        <v>1.0005856729650744</v>
      </c>
      <c r="E2032" s="885">
        <v>1.0141235283436647</v>
      </c>
      <c r="F2032" s="885">
        <v>1.0154029752686695</v>
      </c>
      <c r="G2032" s="885">
        <v>1.0120170552390779</v>
      </c>
      <c r="H2032" s="885">
        <v>1.001608064044452</v>
      </c>
      <c r="I2032" s="885">
        <v>0.99986370784109646</v>
      </c>
      <c r="K2032">
        <v>1.9450137057830443</v>
      </c>
      <c r="L2032">
        <v>0</v>
      </c>
      <c r="M2032">
        <v>1.9053557599395987E-3</v>
      </c>
      <c r="N2032">
        <v>0.20059058498695548</v>
      </c>
      <c r="O2032">
        <v>2.5233286495273868E-2</v>
      </c>
      <c r="P2032">
        <v>2.1354507622651561E-2</v>
      </c>
      <c r="Q2032">
        <v>3.0066976021451012E-3</v>
      </c>
      <c r="R2032">
        <v>1.8939999228213609E-3</v>
      </c>
      <c r="S2032">
        <v>0.20666638027022202</v>
      </c>
      <c r="T2032">
        <v>1.0570788664709683</v>
      </c>
      <c r="U2032">
        <v>3.7456431583114985E-2</v>
      </c>
      <c r="V2032">
        <v>0.24824939223674244</v>
      </c>
      <c r="W2032">
        <v>0.11875452397121393</v>
      </c>
      <c r="X2032">
        <v>2.1479546947860025E-2</v>
      </c>
      <c r="Y2032">
        <v>5.1548434330129841E-3</v>
      </c>
    </row>
    <row r="2033" spans="1:25" x14ac:dyDescent="0.25">
      <c r="A2033" s="881"/>
      <c r="B2033" s="1131">
        <v>1783</v>
      </c>
      <c r="C2033" s="885">
        <v>1.0100397423235694</v>
      </c>
      <c r="D2033" s="885">
        <v>0.98940390143713774</v>
      </c>
      <c r="E2033" s="885">
        <v>1.0214769774339323</v>
      </c>
      <c r="F2033" s="885">
        <v>0.99574398667765729</v>
      </c>
      <c r="G2033" s="885">
        <v>1.008229452949204</v>
      </c>
      <c r="H2033" s="885">
        <v>1.0045873482567258</v>
      </c>
      <c r="I2033" s="885">
        <v>0.99712930762915586</v>
      </c>
      <c r="K2033">
        <v>1.9414746169647936</v>
      </c>
      <c r="L2033">
        <v>0</v>
      </c>
      <c r="M2033">
        <v>1.866457727822439E-3</v>
      </c>
      <c r="N2033">
        <v>0.20104108441127361</v>
      </c>
      <c r="O2033">
        <v>2.5030629699284747E-2</v>
      </c>
      <c r="P2033">
        <v>2.1418780744797968E-2</v>
      </c>
      <c r="Q2033">
        <v>3.00210191678533E-3</v>
      </c>
      <c r="R2033">
        <v>1.8553753643266143E-3</v>
      </c>
      <c r="S2033">
        <v>0.20466269063381454</v>
      </c>
      <c r="T2033">
        <v>1.0564085056472932</v>
      </c>
      <c r="U2033">
        <v>3.6949348661333412E-2</v>
      </c>
      <c r="V2033">
        <v>0.24772454449724693</v>
      </c>
      <c r="W2033">
        <v>0.11843121695429934</v>
      </c>
      <c r="X2033">
        <v>2.1767076044786227E-2</v>
      </c>
      <c r="Y2033">
        <v>5.0497201173725732E-3</v>
      </c>
    </row>
    <row r="2034" spans="1:25" x14ac:dyDescent="0.25">
      <c r="A2034" s="881"/>
      <c r="B2034" s="1131">
        <v>1784</v>
      </c>
      <c r="C2034" s="885">
        <v>1.0134047838103037</v>
      </c>
      <c r="D2034" s="885">
        <v>0.98648721983194043</v>
      </c>
      <c r="E2034" s="885">
        <v>1.0135305251299109</v>
      </c>
      <c r="F2034" s="885">
        <v>0.96541398420604374</v>
      </c>
      <c r="G2034" s="885">
        <v>0.96491512208133468</v>
      </c>
      <c r="H2034" s="885">
        <v>1.0181304856750943</v>
      </c>
      <c r="I2034" s="885">
        <v>1.0003415048367104</v>
      </c>
      <c r="K2034">
        <v>1.9450646880180751</v>
      </c>
      <c r="L2034">
        <v>0</v>
      </c>
      <c r="M2034">
        <v>1.9200468882283655E-3</v>
      </c>
      <c r="N2034">
        <v>0.20178583285075388</v>
      </c>
      <c r="O2034">
        <v>2.4984059747392137E-2</v>
      </c>
      <c r="P2034">
        <v>2.1323288805698351E-2</v>
      </c>
      <c r="Q2034">
        <v>2.9722901040709466E-3</v>
      </c>
      <c r="R2034">
        <v>1.9088002944596808E-3</v>
      </c>
      <c r="S2034">
        <v>0.20628033874098883</v>
      </c>
      <c r="T2034">
        <v>1.0571330183475371</v>
      </c>
      <c r="U2034">
        <v>3.682665722239449E-2</v>
      </c>
      <c r="V2034">
        <v>0.24762342651763053</v>
      </c>
      <c r="W2034">
        <v>0.11951015729941322</v>
      </c>
      <c r="X2034">
        <v>2.1441739810293996E-2</v>
      </c>
      <c r="Y2034">
        <v>5.1951251656712936E-3</v>
      </c>
    </row>
    <row r="2035" spans="1:25" x14ac:dyDescent="0.25">
      <c r="A2035" s="881"/>
      <c r="B2035" s="1131">
        <v>1785</v>
      </c>
      <c r="C2035" s="885">
        <v>0.97851550839408397</v>
      </c>
      <c r="D2035" s="885">
        <v>1.0124364665673744</v>
      </c>
      <c r="E2035" s="885">
        <v>1.0111338574614712</v>
      </c>
      <c r="F2035" s="885">
        <v>1.0137579951514233</v>
      </c>
      <c r="G2035" s="885">
        <v>1.0149540893356497</v>
      </c>
      <c r="H2035" s="885">
        <v>0.97602295139807715</v>
      </c>
      <c r="I2035" s="885">
        <v>1.0157506738964028</v>
      </c>
      <c r="K2035">
        <v>1.9454336274658108</v>
      </c>
      <c r="L2035">
        <v>0</v>
      </c>
      <c r="M2035">
        <v>1.8914824311640987E-3</v>
      </c>
      <c r="N2035">
        <v>0.19725619768588631</v>
      </c>
      <c r="O2035">
        <v>2.5544421766198089E-2</v>
      </c>
      <c r="P2035">
        <v>2.138099408522744E-2</v>
      </c>
      <c r="Q2035">
        <v>3.0371861802051549E-3</v>
      </c>
      <c r="R2035">
        <v>1.8799043523285892E-3</v>
      </c>
      <c r="S2035">
        <v>0.20995734512259306</v>
      </c>
      <c r="T2035">
        <v>1.0573520171799993</v>
      </c>
      <c r="U2035">
        <v>3.8139723163065777E-2</v>
      </c>
      <c r="V2035">
        <v>0.24934656517375198</v>
      </c>
      <c r="W2035">
        <v>0.11701752455980946</v>
      </c>
      <c r="X2035">
        <v>2.1296750691171543E-2</v>
      </c>
      <c r="Y2035">
        <v>5.1164799367352251E-3</v>
      </c>
    </row>
    <row r="2036" spans="1:25" x14ac:dyDescent="0.25">
      <c r="A2036" s="881"/>
      <c r="B2036" s="1131">
        <v>1786</v>
      </c>
      <c r="C2036" s="885">
        <v>0.97477915322131536</v>
      </c>
      <c r="D2036" s="885">
        <v>1.021316345361543</v>
      </c>
      <c r="E2036" s="885">
        <v>1.0304200723941925</v>
      </c>
      <c r="F2036" s="885">
        <v>1.0014460590011842</v>
      </c>
      <c r="G2036" s="885">
        <v>0.98786605620721046</v>
      </c>
      <c r="H2036" s="885">
        <v>0.99330524071043536</v>
      </c>
      <c r="I2036" s="885">
        <v>1.0144160760255929</v>
      </c>
      <c r="K2036">
        <v>1.9562337542422272</v>
      </c>
      <c r="L2036">
        <v>0</v>
      </c>
      <c r="M2036">
        <v>1.8472265793105223E-3</v>
      </c>
      <c r="N2036">
        <v>0.2045557902329993</v>
      </c>
      <c r="O2036">
        <v>2.5531987851992597E-2</v>
      </c>
      <c r="P2036">
        <v>2.16759176588034E-2</v>
      </c>
      <c r="Q2036">
        <v>3.0963194022417145E-3</v>
      </c>
      <c r="R2036">
        <v>1.8361094531359791E-3</v>
      </c>
      <c r="S2036">
        <v>0.21144712718460171</v>
      </c>
      <c r="T2036">
        <v>1.0555960780281677</v>
      </c>
      <c r="U2036">
        <v>3.8285913765785676E-2</v>
      </c>
      <c r="V2036">
        <v>0.24879794469327138</v>
      </c>
      <c r="W2036">
        <v>0.1197796784692728</v>
      </c>
      <c r="X2036">
        <v>2.2480829423148239E-2</v>
      </c>
      <c r="Y2036">
        <v>4.9972846581175789E-3</v>
      </c>
    </row>
    <row r="2037" spans="1:25" x14ac:dyDescent="0.25">
      <c r="A2037" s="881"/>
      <c r="B2037" s="1131">
        <v>1787</v>
      </c>
      <c r="C2037" s="885">
        <v>1.0182109223664324</v>
      </c>
      <c r="D2037" s="885">
        <v>1.0140548811426957</v>
      </c>
      <c r="E2037" s="885">
        <v>1.0092580384386751</v>
      </c>
      <c r="F2037" s="885">
        <v>0.98136762981051806</v>
      </c>
      <c r="G2037" s="885">
        <v>1.0296814034823383</v>
      </c>
      <c r="H2037" s="885">
        <v>0.99899998188393258</v>
      </c>
      <c r="I2037" s="885">
        <v>0.98777080392086258</v>
      </c>
      <c r="K2037">
        <v>1.9188972613472128</v>
      </c>
      <c r="L2037">
        <v>0</v>
      </c>
      <c r="M2037">
        <v>1.8664380124976667E-3</v>
      </c>
      <c r="N2037">
        <v>0.19353992385979216</v>
      </c>
      <c r="O2037">
        <v>2.4529194974939588E-2</v>
      </c>
      <c r="P2037">
        <v>2.1094110900409312E-2</v>
      </c>
      <c r="Q2037">
        <v>2.9113367097896698E-3</v>
      </c>
      <c r="R2037">
        <v>1.8552747766006083E-3</v>
      </c>
      <c r="S2037">
        <v>0.19831088444554679</v>
      </c>
      <c r="T2037">
        <v>1.0575235791775972</v>
      </c>
      <c r="U2037">
        <v>3.6652828781467479E-2</v>
      </c>
      <c r="V2037">
        <v>0.24358884853188645</v>
      </c>
      <c r="W2037">
        <v>0.11495934709485146</v>
      </c>
      <c r="X2037">
        <v>2.0748923756085457E-2</v>
      </c>
      <c r="Y2037">
        <v>5.0494463507411184E-3</v>
      </c>
    </row>
    <row r="2038" spans="1:25" x14ac:dyDescent="0.25">
      <c r="A2038" s="881"/>
      <c r="B2038" s="1131">
        <v>1788</v>
      </c>
      <c r="C2038" s="885">
        <v>0.99217288235781864</v>
      </c>
      <c r="D2038" s="885">
        <v>0.99912009521421363</v>
      </c>
      <c r="E2038" s="885">
        <v>0.98544057256129669</v>
      </c>
      <c r="F2038" s="885">
        <v>1.0252093692044588</v>
      </c>
      <c r="G2038" s="885">
        <v>0.9622018984899352</v>
      </c>
      <c r="H2038" s="885">
        <v>1.0103873894944126</v>
      </c>
      <c r="I2038" s="885">
        <v>1.0109030248976669</v>
      </c>
      <c r="K2038">
        <v>1.9490826995283206</v>
      </c>
      <c r="L2038">
        <v>0</v>
      </c>
      <c r="M2038">
        <v>2.05184587294627E-3</v>
      </c>
      <c r="N2038">
        <v>0.19758174053259467</v>
      </c>
      <c r="O2038">
        <v>2.5358316976010872E-2</v>
      </c>
      <c r="P2038">
        <v>2.1007281798221894E-2</v>
      </c>
      <c r="Q2038">
        <v>2.9354109267347036E-3</v>
      </c>
      <c r="R2038">
        <v>2.0397244503432984E-3</v>
      </c>
      <c r="S2038">
        <v>0.21087806503739151</v>
      </c>
      <c r="T2038">
        <v>1.05971384273767</v>
      </c>
      <c r="U2038">
        <v>3.7614725482345526E-2</v>
      </c>
      <c r="V2038">
        <v>0.24903372697435783</v>
      </c>
      <c r="W2038">
        <v>0.11929202421332212</v>
      </c>
      <c r="X2038">
        <v>2.0128228713424044E-2</v>
      </c>
      <c r="Y2038">
        <v>5.5514575588501138E-3</v>
      </c>
    </row>
    <row r="2039" spans="1:25" x14ac:dyDescent="0.25">
      <c r="A2039" s="881"/>
      <c r="B2039" s="1131">
        <v>1789</v>
      </c>
      <c r="C2039" s="885">
        <v>0.9910217432047036</v>
      </c>
      <c r="D2039" s="885">
        <v>1.0099689851673501</v>
      </c>
      <c r="E2039" s="885">
        <v>0.99940213773525177</v>
      </c>
      <c r="F2039" s="885">
        <v>0.96489460316790598</v>
      </c>
      <c r="G2039" s="885">
        <v>1.0023462488866004</v>
      </c>
      <c r="H2039" s="885">
        <v>0.98285844662267186</v>
      </c>
      <c r="I2039" s="885">
        <v>1.0332940576429672</v>
      </c>
      <c r="K2039">
        <v>1.9411351255329821</v>
      </c>
      <c r="L2039">
        <v>0</v>
      </c>
      <c r="M2039">
        <v>1.9300989558438536E-3</v>
      </c>
      <c r="N2039">
        <v>0.19408053258350369</v>
      </c>
      <c r="O2039">
        <v>2.5252499050811797E-2</v>
      </c>
      <c r="P2039">
        <v>2.1208802594468071E-2</v>
      </c>
      <c r="Q2039">
        <v>2.9668778412812163E-3</v>
      </c>
      <c r="R2039">
        <v>1.9183686388865408E-3</v>
      </c>
      <c r="S2039">
        <v>0.21184176028528889</v>
      </c>
      <c r="T2039">
        <v>1.0584272526651541</v>
      </c>
      <c r="U2039">
        <v>3.7658417544132565E-2</v>
      </c>
      <c r="V2039">
        <v>0.24784469632962935</v>
      </c>
      <c r="W2039">
        <v>0.11605815690470248</v>
      </c>
      <c r="X2039">
        <v>2.0586693005970793E-2</v>
      </c>
      <c r="Y2039">
        <v>5.2211670449973154E-3</v>
      </c>
    </row>
    <row r="2040" spans="1:25" x14ac:dyDescent="0.25">
      <c r="A2040" s="881"/>
      <c r="B2040" s="1131">
        <v>1790</v>
      </c>
      <c r="C2040" s="885">
        <v>0.99279536516051814</v>
      </c>
      <c r="D2040" s="885">
        <v>1.0209377994366613</v>
      </c>
      <c r="E2040" s="885">
        <v>1.0238032877433501</v>
      </c>
      <c r="F2040" s="885">
        <v>0.97531478635498037</v>
      </c>
      <c r="G2040" s="885">
        <v>0.97371907073736719</v>
      </c>
      <c r="H2040" s="885">
        <v>1.0008803607067593</v>
      </c>
      <c r="I2040" s="885">
        <v>0.98049685472366443</v>
      </c>
      <c r="K2040">
        <v>1.9372408475861798</v>
      </c>
      <c r="L2040">
        <v>0</v>
      </c>
      <c r="M2040">
        <v>1.853626009366851E-3</v>
      </c>
      <c r="N2040">
        <v>0.20109969733341787</v>
      </c>
      <c r="O2040">
        <v>2.5073247309134704E-2</v>
      </c>
      <c r="P2040">
        <v>2.13963183163168E-2</v>
      </c>
      <c r="Q2040">
        <v>3.0207510249264866E-3</v>
      </c>
      <c r="R2040">
        <v>1.842555082403839E-3</v>
      </c>
      <c r="S2040">
        <v>0.20145154524778128</v>
      </c>
      <c r="T2040">
        <v>1.056196872899275</v>
      </c>
      <c r="U2040">
        <v>3.7591141045348088E-2</v>
      </c>
      <c r="V2040">
        <v>0.24626218623031379</v>
      </c>
      <c r="W2040">
        <v>0.11828027017663906</v>
      </c>
      <c r="X2040">
        <v>2.186506139380498E-2</v>
      </c>
      <c r="Y2040">
        <v>5.0148275361835788E-3</v>
      </c>
    </row>
    <row r="2041" spans="1:25" x14ac:dyDescent="0.25">
      <c r="A2041" s="881"/>
      <c r="B2041" s="1131">
        <v>1791</v>
      </c>
      <c r="C2041" s="885">
        <v>1.014099499943141</v>
      </c>
      <c r="D2041" s="885">
        <v>0.98626560266467556</v>
      </c>
      <c r="E2041" s="885">
        <v>0.97917295963112649</v>
      </c>
      <c r="F2041" s="885">
        <v>1.0089709901923001</v>
      </c>
      <c r="G2041" s="885">
        <v>1.0129698027744658</v>
      </c>
      <c r="H2041" s="885">
        <v>1.0073402586925975</v>
      </c>
      <c r="I2041" s="885">
        <v>1.0051858848582489</v>
      </c>
      <c r="K2041">
        <v>1.9340448476466034</v>
      </c>
      <c r="L2041">
        <v>0</v>
      </c>
      <c r="M2041">
        <v>2.0409880677792797E-3</v>
      </c>
      <c r="N2041">
        <v>0.19273364457301764</v>
      </c>
      <c r="O2041">
        <v>2.4969726336425812E-2</v>
      </c>
      <c r="P2041">
        <v>2.0820026908324806E-2</v>
      </c>
      <c r="Q2041">
        <v>2.8694976657853938E-3</v>
      </c>
      <c r="R2041">
        <v>2.0289051981937133E-3</v>
      </c>
      <c r="S2041">
        <v>0.20606891932203231</v>
      </c>
      <c r="T2041">
        <v>1.0602938807245634</v>
      </c>
      <c r="U2041">
        <v>3.6801428856842296E-2</v>
      </c>
      <c r="V2041">
        <v>0.24755292564110348</v>
      </c>
      <c r="W2041">
        <v>0.11687129161989691</v>
      </c>
      <c r="X2041">
        <v>1.9553577747133989E-2</v>
      </c>
      <c r="Y2041">
        <v>5.522011121064453E-3</v>
      </c>
    </row>
    <row r="2042" spans="1:25" x14ac:dyDescent="0.25">
      <c r="A2042" s="881"/>
      <c r="B2042" s="1131">
        <v>1792</v>
      </c>
      <c r="C2042" s="885">
        <v>1.0433299687667463</v>
      </c>
      <c r="D2042" s="885">
        <v>0.99777892219314002</v>
      </c>
      <c r="E2042" s="885">
        <v>1.0214705300566012</v>
      </c>
      <c r="F2042" s="885">
        <v>0.98334436185690965</v>
      </c>
      <c r="G2042" s="885">
        <v>0.96778803015962667</v>
      </c>
      <c r="H2042" s="885">
        <v>1.0121344714545388</v>
      </c>
      <c r="I2042" s="885">
        <v>0.99499196228637787</v>
      </c>
      <c r="K2042">
        <v>1.916774784397802</v>
      </c>
      <c r="L2042">
        <v>0</v>
      </c>
      <c r="M2042">
        <v>1.81292258536979E-3</v>
      </c>
      <c r="N2042">
        <v>0.19527878129549314</v>
      </c>
      <c r="O2042">
        <v>2.4130977874711756E-2</v>
      </c>
      <c r="P2042">
        <v>2.1228891387908212E-2</v>
      </c>
      <c r="Q2042">
        <v>2.895887655867826E-3</v>
      </c>
      <c r="R2042">
        <v>1.802232101414755E-3</v>
      </c>
      <c r="S2042">
        <v>0.1976724497091232</v>
      </c>
      <c r="T2042">
        <v>1.0564090924823082</v>
      </c>
      <c r="U2042">
        <v>3.5770381104868326E-2</v>
      </c>
      <c r="V2042">
        <v>0.24220573667635886</v>
      </c>
      <c r="W2042">
        <v>0.11503720393690867</v>
      </c>
      <c r="X2042">
        <v>2.1250991083809154E-2</v>
      </c>
      <c r="Y2042">
        <v>4.9050816743984012E-3</v>
      </c>
    </row>
    <row r="2043" spans="1:25" x14ac:dyDescent="0.25">
      <c r="A2043" s="881"/>
      <c r="B2043" s="1131">
        <v>1793</v>
      </c>
      <c r="C2043" s="885">
        <v>0.97429960609284039</v>
      </c>
      <c r="D2043" s="885">
        <v>0.98876177931623144</v>
      </c>
      <c r="E2043" s="885">
        <v>1.0296037584452442</v>
      </c>
      <c r="F2043" s="885">
        <v>0.99407603011828471</v>
      </c>
      <c r="G2043" s="885">
        <v>1.0403994469662026</v>
      </c>
      <c r="H2043" s="885">
        <v>0.97926640081707905</v>
      </c>
      <c r="I2043" s="885">
        <v>1.00932857678245</v>
      </c>
      <c r="K2043">
        <v>1.9623650834277533</v>
      </c>
      <c r="L2043">
        <v>0</v>
      </c>
      <c r="M2043">
        <v>1.8546215606308543E-3</v>
      </c>
      <c r="N2043">
        <v>0.20483995677376499</v>
      </c>
      <c r="O2043">
        <v>2.595717857675647E-2</v>
      </c>
      <c r="P2043">
        <v>2.1732548279010912E-2</v>
      </c>
      <c r="Q2043">
        <v>3.1382639506688246E-3</v>
      </c>
      <c r="R2043">
        <v>1.843325246645989E-3</v>
      </c>
      <c r="S2043">
        <v>0.21216072876019026</v>
      </c>
      <c r="T2043">
        <v>1.0556701055349771</v>
      </c>
      <c r="U2043">
        <v>3.8304757969244929E-2</v>
      </c>
      <c r="V2043">
        <v>0.2529730979810646</v>
      </c>
      <c r="W2043">
        <v>0.12001170589463042</v>
      </c>
      <c r="X2043">
        <v>2.2571112352061259E-2</v>
      </c>
      <c r="Y2043">
        <v>5.0169236693661358E-3</v>
      </c>
    </row>
    <row r="2044" spans="1:25" x14ac:dyDescent="0.25">
      <c r="A2044" s="881"/>
      <c r="B2044" s="1131">
        <v>1794</v>
      </c>
      <c r="C2044" s="885">
        <v>0.98191107644366737</v>
      </c>
      <c r="D2044" s="885">
        <v>1.0102827820301241</v>
      </c>
      <c r="E2044" s="885">
        <v>0.98581233953778591</v>
      </c>
      <c r="F2044" s="885">
        <v>1.037164717886734</v>
      </c>
      <c r="G2044" s="885">
        <v>0.99353247340514528</v>
      </c>
      <c r="H2044" s="885">
        <v>1.0313207628615355</v>
      </c>
      <c r="I2044" s="885">
        <v>1.0218491783825474</v>
      </c>
      <c r="K2044">
        <v>1.9640589252288549</v>
      </c>
      <c r="L2044">
        <v>0</v>
      </c>
      <c r="M2044">
        <v>2.1030112867919388E-3</v>
      </c>
      <c r="N2044">
        <v>0.20276685195046509</v>
      </c>
      <c r="O2044">
        <v>2.5482891137125988E-2</v>
      </c>
      <c r="P2044">
        <v>2.1094942365038758E-2</v>
      </c>
      <c r="Q2044">
        <v>2.9532244351952999E-3</v>
      </c>
      <c r="R2044">
        <v>2.0908304171510005E-3</v>
      </c>
      <c r="S2044">
        <v>0.21648719958614379</v>
      </c>
      <c r="T2044">
        <v>1.0596794853622027</v>
      </c>
      <c r="U2044">
        <v>3.8007831356873384E-2</v>
      </c>
      <c r="V2044">
        <v>0.24912021353138467</v>
      </c>
      <c r="W2044">
        <v>0.12239113663969851</v>
      </c>
      <c r="X2044">
        <v>2.039677858094209E-2</v>
      </c>
      <c r="Y2044">
        <v>5.6905511534232484E-3</v>
      </c>
    </row>
    <row r="2045" spans="1:25" x14ac:dyDescent="0.25">
      <c r="A2045" s="881"/>
      <c r="B2045" s="1131">
        <v>1795</v>
      </c>
      <c r="C2045" s="885">
        <v>1.0275948421479066</v>
      </c>
      <c r="D2045" s="885">
        <v>1.0296241899452092</v>
      </c>
      <c r="E2045" s="885">
        <v>1.0207117371331076</v>
      </c>
      <c r="F2045" s="885">
        <v>1.024115491788171</v>
      </c>
      <c r="G2045" s="885">
        <v>0.97229551782540546</v>
      </c>
      <c r="H2045" s="885">
        <v>0.98754627233805514</v>
      </c>
      <c r="I2045" s="885">
        <v>0.99435005645467378</v>
      </c>
      <c r="K2045">
        <v>1.9050658200102963</v>
      </c>
      <c r="L2045">
        <v>0</v>
      </c>
      <c r="M2045">
        <v>1.7711641762998827E-3</v>
      </c>
      <c r="N2045">
        <v>0.19030101891533041</v>
      </c>
      <c r="O2045">
        <v>2.4123114186527284E-2</v>
      </c>
      <c r="P2045">
        <v>2.1169845306261353E-2</v>
      </c>
      <c r="Q2045">
        <v>2.8990672507898966E-3</v>
      </c>
      <c r="R2045">
        <v>1.7604366995645801E-3</v>
      </c>
      <c r="S2045">
        <v>0.19532877377346861</v>
      </c>
      <c r="T2045">
        <v>1.0564781685467641</v>
      </c>
      <c r="U2045">
        <v>3.6318117871153355E-2</v>
      </c>
      <c r="V2045">
        <v>0.24052299089249277</v>
      </c>
      <c r="W2045">
        <v>0.11216221380509689</v>
      </c>
      <c r="X2045">
        <v>2.0981908570733239E-2</v>
      </c>
      <c r="Y2045">
        <v>4.791328368412744E-3</v>
      </c>
    </row>
    <row r="2046" spans="1:25" x14ac:dyDescent="0.25">
      <c r="A2046" s="881"/>
      <c r="B2046" s="1131">
        <v>1796</v>
      </c>
      <c r="C2046" s="885">
        <v>0.9751062297630716</v>
      </c>
      <c r="D2046" s="885">
        <v>0.9849128634578963</v>
      </c>
      <c r="E2046" s="885">
        <v>1.0259514071853428</v>
      </c>
      <c r="F2046" s="885">
        <v>0.99639698052392445</v>
      </c>
      <c r="G2046" s="885">
        <v>0.98043475938527502</v>
      </c>
      <c r="H2046" s="885">
        <v>1.0394432523448691</v>
      </c>
      <c r="I2046" s="885">
        <v>1.0383347871719866</v>
      </c>
      <c r="K2046">
        <v>1.9963860419977104</v>
      </c>
      <c r="L2046">
        <v>0</v>
      </c>
      <c r="M2046">
        <v>1.9860474874635026E-3</v>
      </c>
      <c r="N2046">
        <v>0.21695968179561556</v>
      </c>
      <c r="O2046">
        <v>2.598591817176223E-2</v>
      </c>
      <c r="P2046">
        <v>2.1863031059757402E-2</v>
      </c>
      <c r="Q2046">
        <v>3.1295442913533513E-3</v>
      </c>
      <c r="R2046">
        <v>1.9746540941901996E-3</v>
      </c>
      <c r="S2046">
        <v>0.22500229862124663</v>
      </c>
      <c r="T2046">
        <v>1.0560016388010742</v>
      </c>
      <c r="U2046">
        <v>3.8273071652905853E-2</v>
      </c>
      <c r="V2046">
        <v>0.25336025269711898</v>
      </c>
      <c r="W2046">
        <v>0.12742438355587335</v>
      </c>
      <c r="X2046">
        <v>2.3023257244435932E-2</v>
      </c>
      <c r="Y2046">
        <v>5.3743574998385193E-3</v>
      </c>
    </row>
    <row r="2047" spans="1:25" x14ac:dyDescent="0.25">
      <c r="A2047" s="881"/>
      <c r="B2047" s="1131">
        <v>1797</v>
      </c>
      <c r="C2047" s="885">
        <v>1.0175733045676629</v>
      </c>
      <c r="D2047" s="885">
        <v>1.0119567404881249</v>
      </c>
      <c r="E2047" s="885">
        <v>0.98259105327401841</v>
      </c>
      <c r="F2047" s="885">
        <v>1.0041170863419879</v>
      </c>
      <c r="G2047" s="885">
        <v>1.0040691706474338</v>
      </c>
      <c r="H2047" s="885">
        <v>1.0022595115328543</v>
      </c>
      <c r="I2047" s="885">
        <v>0.99865029661976756</v>
      </c>
      <c r="K2047">
        <v>1.918563082423987</v>
      </c>
      <c r="L2047">
        <v>0</v>
      </c>
      <c r="M2047">
        <v>1.9838933464535733E-3</v>
      </c>
      <c r="N2047">
        <v>0.18934005826492376</v>
      </c>
      <c r="O2047">
        <v>2.4569696909688726E-2</v>
      </c>
      <c r="P2047">
        <v>2.0752819815501602E-2</v>
      </c>
      <c r="Q2047">
        <v>2.8384341485244782E-3</v>
      </c>
      <c r="R2047">
        <v>1.9720678830545115E-3</v>
      </c>
      <c r="S2047">
        <v>0.20113306069602449</v>
      </c>
      <c r="T2047">
        <v>1.0599773633173792</v>
      </c>
      <c r="U2047">
        <v>3.6675795673288838E-2</v>
      </c>
      <c r="V2047">
        <v>0.24392507438998101</v>
      </c>
      <c r="W2047">
        <v>0.11454164122586988</v>
      </c>
      <c r="X2047">
        <v>1.9453644760530159E-2</v>
      </c>
      <c r="Y2047">
        <v>5.3673186856714487E-3</v>
      </c>
    </row>
    <row r="2048" spans="1:25" x14ac:dyDescent="0.25">
      <c r="A2048" s="881"/>
      <c r="B2048" s="1131">
        <v>1798</v>
      </c>
      <c r="C2048" s="885">
        <v>0.97775390821081132</v>
      </c>
      <c r="D2048" s="885">
        <v>1.0061592769414724</v>
      </c>
      <c r="E2048" s="885">
        <v>0.98750150929518632</v>
      </c>
      <c r="F2048" s="885">
        <v>1.024761946494001</v>
      </c>
      <c r="G2048" s="885">
        <v>1.0325631999690941</v>
      </c>
      <c r="H2048" s="885">
        <v>0.96635220644083319</v>
      </c>
      <c r="I2048" s="885">
        <v>1.0068577779584686</v>
      </c>
      <c r="K2048">
        <v>1.9376785673770216</v>
      </c>
      <c r="L2048">
        <v>0</v>
      </c>
      <c r="M2048">
        <v>1.9758850594216409E-3</v>
      </c>
      <c r="N2048">
        <v>0.19143979433942848</v>
      </c>
      <c r="O2048">
        <v>2.5643040369839085E-2</v>
      </c>
      <c r="P2048">
        <v>2.1020623631230913E-2</v>
      </c>
      <c r="Q2048">
        <v>2.9760263063381177E-3</v>
      </c>
      <c r="R2048">
        <v>1.9636745425520704E-3</v>
      </c>
      <c r="S2048">
        <v>0.20787069150587775</v>
      </c>
      <c r="T2048">
        <v>1.059523445935366</v>
      </c>
      <c r="U2048">
        <v>3.8169431272547114E-2</v>
      </c>
      <c r="V2048">
        <v>0.25024256292353503</v>
      </c>
      <c r="W2048">
        <v>0.11541933402196666</v>
      </c>
      <c r="X2048">
        <v>2.0041352808072739E-2</v>
      </c>
      <c r="Y2048">
        <v>5.3444747796877563E-3</v>
      </c>
    </row>
    <row r="2049" spans="1:25" x14ac:dyDescent="0.25">
      <c r="A2049" s="881"/>
      <c r="B2049" s="1131">
        <v>1799</v>
      </c>
      <c r="C2049" s="885">
        <v>1.0382393524189799</v>
      </c>
      <c r="D2049" s="885">
        <v>0.95430063020436018</v>
      </c>
      <c r="E2049" s="885">
        <v>1.0222680124477517</v>
      </c>
      <c r="F2049" s="885">
        <v>1.0017135841448399</v>
      </c>
      <c r="G2049" s="885">
        <v>0.98926096106233041</v>
      </c>
      <c r="H2049" s="885">
        <v>0.98356179512243047</v>
      </c>
      <c r="I2049" s="885">
        <v>1.0279314759522435</v>
      </c>
      <c r="K2049">
        <v>1.9326988787610762</v>
      </c>
      <c r="L2049">
        <v>0</v>
      </c>
      <c r="M2049">
        <v>1.8069127335336413E-3</v>
      </c>
      <c r="N2049">
        <v>0.19508422766200409</v>
      </c>
      <c r="O2049">
        <v>2.4791872910877075E-2</v>
      </c>
      <c r="P2049">
        <v>2.1451031460173863E-2</v>
      </c>
      <c r="Q2049">
        <v>2.9682240161803251E-3</v>
      </c>
      <c r="R2049">
        <v>1.7959823207147909E-3</v>
      </c>
      <c r="S2049">
        <v>0.20654565222007482</v>
      </c>
      <c r="T2049">
        <v>1.0563365186212523</v>
      </c>
      <c r="U2049">
        <v>3.5945767721060472E-2</v>
      </c>
      <c r="V2049">
        <v>0.24834761256968316</v>
      </c>
      <c r="W2049">
        <v>0.1148608481271006</v>
      </c>
      <c r="X2049">
        <v>2.1489982033913928E-2</v>
      </c>
      <c r="Y2049">
        <v>4.8880718315727524E-3</v>
      </c>
    </row>
    <row r="2050" spans="1:25" x14ac:dyDescent="0.25">
      <c r="A2050" s="881"/>
      <c r="B2050" s="1131">
        <v>1800</v>
      </c>
      <c r="C2050" s="885">
        <v>0.98022050379997006</v>
      </c>
      <c r="D2050" s="885">
        <v>0.99520444981260114</v>
      </c>
      <c r="E2050" s="885">
        <v>0.99998842662055509</v>
      </c>
      <c r="F2050" s="885">
        <v>0.98240033005754945</v>
      </c>
      <c r="G2050" s="885">
        <v>1.0015858854107869</v>
      </c>
      <c r="H2050" s="885">
        <v>1.0245420936869118</v>
      </c>
      <c r="I2050" s="885">
        <v>1.0154808474466714</v>
      </c>
      <c r="K2050">
        <v>1.970307851808015</v>
      </c>
      <c r="L2050">
        <v>0</v>
      </c>
      <c r="M2050">
        <v>2.0464619488138589E-3</v>
      </c>
      <c r="N2050">
        <v>0.2062095969839004</v>
      </c>
      <c r="O2050">
        <v>2.5717484096473092E-2</v>
      </c>
      <c r="P2050">
        <v>2.133041276478442E-2</v>
      </c>
      <c r="Q2050">
        <v>3.0201910335406683E-3</v>
      </c>
      <c r="R2050">
        <v>2.0345426057278904E-3</v>
      </c>
      <c r="S2050">
        <v>0.21629071226952631</v>
      </c>
      <c r="T2050">
        <v>1.0583733907600732</v>
      </c>
      <c r="U2050">
        <v>3.8073382933981846E-2</v>
      </c>
      <c r="V2050">
        <v>0.25126495420105949</v>
      </c>
      <c r="W2050">
        <v>0.12326174384637258</v>
      </c>
      <c r="X2050">
        <v>2.1240547975386433E-2</v>
      </c>
      <c r="Y2050">
        <v>5.5373542860015917E-3</v>
      </c>
    </row>
    <row r="2051" spans="1:25" x14ac:dyDescent="0.25">
      <c r="A2051" s="881"/>
      <c r="B2051" s="1131">
        <v>1801</v>
      </c>
      <c r="C2051" s="885">
        <v>1.0219207093494076</v>
      </c>
      <c r="D2051" s="885">
        <v>1.017846976745701</v>
      </c>
      <c r="E2051" s="885">
        <v>0.98533248903993642</v>
      </c>
      <c r="F2051" s="885">
        <v>0.99023543940569092</v>
      </c>
      <c r="G2051" s="885">
        <v>0.9700312728781616</v>
      </c>
      <c r="H2051" s="885">
        <v>0.99877708585877023</v>
      </c>
      <c r="I2051" s="885">
        <v>1.0134750822884151</v>
      </c>
      <c r="K2051">
        <v>1.9152942509761008</v>
      </c>
      <c r="L2051">
        <v>0</v>
      </c>
      <c r="M2051">
        <v>1.9516868451889377E-3</v>
      </c>
      <c r="N2051">
        <v>0.18785928306107519</v>
      </c>
      <c r="O2051">
        <v>2.4395133585485299E-2</v>
      </c>
      <c r="P2051">
        <v>2.0789660760980634E-2</v>
      </c>
      <c r="Q2051">
        <v>2.8272502099254081E-3</v>
      </c>
      <c r="R2051">
        <v>1.9400081284409165E-3</v>
      </c>
      <c r="S2051">
        <v>0.2023643407498753</v>
      </c>
      <c r="T2051">
        <v>1.059723832437506</v>
      </c>
      <c r="U2051">
        <v>3.6519771308555229E-2</v>
      </c>
      <c r="V2051">
        <v>0.2426378551906947</v>
      </c>
      <c r="W2051">
        <v>0.11343046438468113</v>
      </c>
      <c r="X2051">
        <v>1.9478275401959767E-2</v>
      </c>
      <c r="Y2051">
        <v>5.28006260210851E-3</v>
      </c>
    </row>
    <row r="2052" spans="1:25" x14ac:dyDescent="0.25">
      <c r="A2052" s="881"/>
      <c r="B2052" s="1131">
        <v>1802</v>
      </c>
      <c r="C2052" s="885">
        <v>1.0230895175544921</v>
      </c>
      <c r="D2052" s="885">
        <v>1.0081499552170188</v>
      </c>
      <c r="E2052" s="885">
        <v>1.0010020001142224</v>
      </c>
      <c r="F2052" s="885">
        <v>0.96342215988099611</v>
      </c>
      <c r="G2052" s="885">
        <v>1.0115451006761222</v>
      </c>
      <c r="H2052" s="885">
        <v>0.98802883380983064</v>
      </c>
      <c r="I2052" s="885">
        <v>1.0060832265050408</v>
      </c>
      <c r="K2052">
        <v>1.9151590393110245</v>
      </c>
      <c r="L2052">
        <v>0</v>
      </c>
      <c r="M2052">
        <v>1.8747839213437735E-3</v>
      </c>
      <c r="N2052">
        <v>0.18946519802907041</v>
      </c>
      <c r="O2052">
        <v>2.4482792921888905E-2</v>
      </c>
      <c r="P2052">
        <v>2.1003254036210631E-2</v>
      </c>
      <c r="Q2052">
        <v>2.8807145879537173E-3</v>
      </c>
      <c r="R2052">
        <v>1.8634508216049848E-3</v>
      </c>
      <c r="S2052">
        <v>0.20047555452239185</v>
      </c>
      <c r="T2052">
        <v>1.0582803061344206</v>
      </c>
      <c r="U2052">
        <v>3.6478050024521994E-2</v>
      </c>
      <c r="V2052">
        <v>0.24363378817460715</v>
      </c>
      <c r="W2052">
        <v>0.11317429317298278</v>
      </c>
      <c r="X2052">
        <v>2.0224721956705837E-2</v>
      </c>
      <c r="Y2052">
        <v>5.0716988500105207E-3</v>
      </c>
    </row>
    <row r="2053" spans="1:25" x14ac:dyDescent="0.25">
      <c r="A2053" s="881"/>
      <c r="B2053" s="1131">
        <v>1803</v>
      </c>
      <c r="C2053" s="885">
        <v>1.032069376066703</v>
      </c>
      <c r="D2053" s="885">
        <v>1.0387306741270619</v>
      </c>
      <c r="E2053" s="885">
        <v>1.0233050068525824</v>
      </c>
      <c r="F2053" s="885">
        <v>1.0008939150672245</v>
      </c>
      <c r="G2053" s="885">
        <v>0.99839363400137571</v>
      </c>
      <c r="H2053" s="885">
        <v>0.96951516041570085</v>
      </c>
      <c r="I2053" s="885">
        <v>1.0016259502817579</v>
      </c>
      <c r="K2053">
        <v>1.8930072247151088</v>
      </c>
      <c r="L2053">
        <v>0</v>
      </c>
      <c r="M2053">
        <v>1.7143780909035676E-3</v>
      </c>
      <c r="N2053">
        <v>0.18566764235589109</v>
      </c>
      <c r="O2053">
        <v>2.3914548799782141E-2</v>
      </c>
      <c r="P2053">
        <v>2.1155214257385414E-2</v>
      </c>
      <c r="Q2053">
        <v>2.8831563257157564E-3</v>
      </c>
      <c r="R2053">
        <v>1.7037950781717355E-3</v>
      </c>
      <c r="S2053">
        <v>0.19338089018457336</v>
      </c>
      <c r="T2053">
        <v>1.0562421854764152</v>
      </c>
      <c r="U2053">
        <v>3.6160660771805436E-2</v>
      </c>
      <c r="V2053">
        <v>0.23891407455663605</v>
      </c>
      <c r="W2053">
        <v>0.10924027287278115</v>
      </c>
      <c r="X2053">
        <v>2.0821993579966325E-2</v>
      </c>
      <c r="Y2053">
        <v>4.6371685468868931E-3</v>
      </c>
    </row>
    <row r="2054" spans="1:25" x14ac:dyDescent="0.25">
      <c r="A2054" s="881"/>
      <c r="B2054" s="1131">
        <v>1804</v>
      </c>
      <c r="C2054" s="885">
        <v>1.0130990031312934</v>
      </c>
      <c r="D2054" s="885">
        <v>1.0009120229811594</v>
      </c>
      <c r="E2054" s="885">
        <v>1.0000117189277204</v>
      </c>
      <c r="F2054" s="885">
        <v>1.0357008315269463</v>
      </c>
      <c r="G2054" s="885">
        <v>0.97305400240474427</v>
      </c>
      <c r="H2054" s="885">
        <v>1.0156801900241694</v>
      </c>
      <c r="I2054" s="885">
        <v>1.003327292771101</v>
      </c>
      <c r="K2054">
        <v>1.9362365877536234</v>
      </c>
      <c r="L2054">
        <v>0</v>
      </c>
      <c r="M2054">
        <v>1.9572792150975766E-3</v>
      </c>
      <c r="N2054">
        <v>0.19722694007850541</v>
      </c>
      <c r="O2054">
        <v>2.4812509094088553E-2</v>
      </c>
      <c r="P2054">
        <v>2.109074683778845E-2</v>
      </c>
      <c r="Q2054">
        <v>2.9151443662191632E-3</v>
      </c>
      <c r="R2054">
        <v>1.9457752778829318E-3</v>
      </c>
      <c r="S2054">
        <v>0.20533619177840529</v>
      </c>
      <c r="T2054">
        <v>1.0583712511904237</v>
      </c>
      <c r="U2054">
        <v>3.6837772503543115E-2</v>
      </c>
      <c r="V2054">
        <v>0.24586957593269379</v>
      </c>
      <c r="W2054">
        <v>0.11789048364303817</v>
      </c>
      <c r="X2054">
        <v>2.060171738438156E-2</v>
      </c>
      <c r="Y2054">
        <v>5.2957588817493734E-3</v>
      </c>
    </row>
    <row r="2055" spans="1:25" x14ac:dyDescent="0.25">
      <c r="A2055" s="881"/>
      <c r="B2055" s="1131">
        <v>1805</v>
      </c>
      <c r="C2055" s="885">
        <v>0.9977729091551687</v>
      </c>
      <c r="D2055" s="885">
        <v>1.0177664544920055</v>
      </c>
      <c r="E2055" s="885">
        <v>1.011306450015063</v>
      </c>
      <c r="F2055" s="885">
        <v>1.0080412537817516</v>
      </c>
      <c r="G2055" s="885">
        <v>1.01595678679679</v>
      </c>
      <c r="H2055" s="885">
        <v>1.0076506747202627</v>
      </c>
      <c r="I2055" s="885">
        <v>0.98909925206956018</v>
      </c>
      <c r="K2055">
        <v>1.9368885052015523</v>
      </c>
      <c r="L2055">
        <v>0</v>
      </c>
      <c r="M2055">
        <v>1.9094341392284992E-3</v>
      </c>
      <c r="N2055">
        <v>0.19927326717994209</v>
      </c>
      <c r="O2055">
        <v>2.4986513364204432E-2</v>
      </c>
      <c r="P2055">
        <v>2.123308130036845E-2</v>
      </c>
      <c r="Q2055">
        <v>2.9724447895280613E-3</v>
      </c>
      <c r="R2055">
        <v>1.8981089392031561E-3</v>
      </c>
      <c r="S2055">
        <v>0.2031667082058439</v>
      </c>
      <c r="T2055">
        <v>1.0573362388026133</v>
      </c>
      <c r="U2055">
        <v>3.7403611842414718E-2</v>
      </c>
      <c r="V2055">
        <v>0.24594366531814557</v>
      </c>
      <c r="W2055">
        <v>0.11820025193277109</v>
      </c>
      <c r="X2055">
        <v>2.1218020844679667E-2</v>
      </c>
      <c r="Y2055">
        <v>5.1660268210673484E-3</v>
      </c>
    </row>
    <row r="2056" spans="1:25" x14ac:dyDescent="0.25">
      <c r="A2056" s="881"/>
      <c r="B2056" s="1131">
        <v>1806</v>
      </c>
      <c r="C2056" s="885">
        <v>0.96878665819237586</v>
      </c>
      <c r="D2056" s="885">
        <v>1.0036403526969617</v>
      </c>
      <c r="E2056" s="885">
        <v>0.99841248454361875</v>
      </c>
      <c r="F2056" s="885">
        <v>1.0244665801403479</v>
      </c>
      <c r="G2056" s="885">
        <v>1.0417654011804638</v>
      </c>
      <c r="H2056" s="885">
        <v>0.99454635751145315</v>
      </c>
      <c r="I2056" s="885">
        <v>1.0238380682534967</v>
      </c>
      <c r="K2056">
        <v>1.9640483842684664</v>
      </c>
      <c r="L2056">
        <v>0</v>
      </c>
      <c r="M2056">
        <v>2.0082720160394811E-3</v>
      </c>
      <c r="N2056">
        <v>0.20133534182462151</v>
      </c>
      <c r="O2056">
        <v>2.5912506400149742E-2</v>
      </c>
      <c r="P2056">
        <v>2.1325933012297928E-2</v>
      </c>
      <c r="Q2056">
        <v>3.0400637882296308E-3</v>
      </c>
      <c r="R2056">
        <v>1.9962152718899719E-3</v>
      </c>
      <c r="S2056">
        <v>0.2165879828936062</v>
      </c>
      <c r="T2056">
        <v>1.058518201709322</v>
      </c>
      <c r="U2056">
        <v>3.8522733860261386E-2</v>
      </c>
      <c r="V2056">
        <v>0.25188549934389431</v>
      </c>
      <c r="W2056">
        <v>0.12047807571671695</v>
      </c>
      <c r="X2056">
        <v>2.1021062545617832E-2</v>
      </c>
      <c r="Y2056">
        <v>5.4330399178969813E-3</v>
      </c>
    </row>
    <row r="2057" spans="1:25" x14ac:dyDescent="0.25">
      <c r="A2057" s="881"/>
      <c r="B2057" s="1131">
        <v>1807</v>
      </c>
      <c r="C2057" s="885">
        <v>0.97293434299912696</v>
      </c>
      <c r="D2057" s="885">
        <v>0.99412196170689637</v>
      </c>
      <c r="E2057" s="885">
        <v>1.0246604436334721</v>
      </c>
      <c r="F2057" s="885">
        <v>1.0278501757074647</v>
      </c>
      <c r="G2057" s="885">
        <v>1.0441221566611858</v>
      </c>
      <c r="H2057" s="885">
        <v>0.97977593382458306</v>
      </c>
      <c r="I2057" s="885">
        <v>1.0090667403396227</v>
      </c>
      <c r="K2057">
        <v>1.9603510980757215</v>
      </c>
      <c r="L2057">
        <v>0</v>
      </c>
      <c r="M2057">
        <v>1.8726962700686351E-3</v>
      </c>
      <c r="N2057">
        <v>0.20368610077116253</v>
      </c>
      <c r="O2057">
        <v>2.5924050313419003E-2</v>
      </c>
      <c r="P2057">
        <v>2.1651469391312052E-2</v>
      </c>
      <c r="Q2057">
        <v>3.120133735185689E-3</v>
      </c>
      <c r="R2057">
        <v>1.8612915087120967E-3</v>
      </c>
      <c r="S2057">
        <v>0.21193019482604905</v>
      </c>
      <c r="T2057">
        <v>1.0561189477369992</v>
      </c>
      <c r="U2057">
        <v>3.8358508844363377E-2</v>
      </c>
      <c r="V2057">
        <v>0.25248852395588467</v>
      </c>
      <c r="W2057">
        <v>0.1197324392578421</v>
      </c>
      <c r="X2057">
        <v>2.2286312092725191E-2</v>
      </c>
      <c r="Y2057">
        <v>5.0658219121333817E-3</v>
      </c>
    </row>
    <row r="2058" spans="1:25" x14ac:dyDescent="0.25">
      <c r="A2058" s="881"/>
      <c r="B2058" s="1131">
        <v>1808</v>
      </c>
      <c r="C2058" s="885">
        <v>0.97644307554468179</v>
      </c>
      <c r="D2058" s="885">
        <v>0.99639100605135933</v>
      </c>
      <c r="E2058" s="885">
        <v>0.99803430346797928</v>
      </c>
      <c r="F2058" s="885">
        <v>1.031462428133445</v>
      </c>
      <c r="G2058" s="885">
        <v>0.99903532648733995</v>
      </c>
      <c r="H2058" s="885">
        <v>0.95898933863988389</v>
      </c>
      <c r="I2058" s="885">
        <v>0.98370614658296207</v>
      </c>
      <c r="K2058">
        <v>1.9365519593129521</v>
      </c>
      <c r="L2058">
        <v>0</v>
      </c>
      <c r="M2058">
        <v>1.9297247617082076E-3</v>
      </c>
      <c r="N2058">
        <v>0.19319056214179836</v>
      </c>
      <c r="O2058">
        <v>2.5801742123480399E-2</v>
      </c>
      <c r="P2058">
        <v>2.1135312194449186E-2</v>
      </c>
      <c r="Q2058">
        <v>3.0243885021961269E-3</v>
      </c>
      <c r="R2058">
        <v>1.917716062431403E-3</v>
      </c>
      <c r="S2058">
        <v>0.2035230409582508</v>
      </c>
      <c r="T2058">
        <v>1.0585529665906463</v>
      </c>
      <c r="U2058">
        <v>3.8220672085875353E-2</v>
      </c>
      <c r="V2058">
        <v>0.25167252343895202</v>
      </c>
      <c r="W2058">
        <v>0.11563423531076307</v>
      </c>
      <c r="X2058">
        <v>2.0589133718808376E-2</v>
      </c>
      <c r="Y2058">
        <v>5.2193909470082001E-3</v>
      </c>
    </row>
    <row r="2059" spans="1:25" x14ac:dyDescent="0.25">
      <c r="A2059" s="881"/>
      <c r="B2059" s="1131">
        <v>1809</v>
      </c>
      <c r="C2059" s="885">
        <v>0.99712813699176717</v>
      </c>
      <c r="D2059" s="885">
        <v>0.98158603771195074</v>
      </c>
      <c r="E2059" s="885">
        <v>0.96139244457541029</v>
      </c>
      <c r="F2059" s="885">
        <v>1.0131063437418231</v>
      </c>
      <c r="G2059" s="885">
        <v>0.99875472512423513</v>
      </c>
      <c r="H2059" s="885">
        <v>1.0034751019500534</v>
      </c>
      <c r="I2059" s="885">
        <v>0.99137342796836203</v>
      </c>
      <c r="K2059">
        <v>1.9405000634621525</v>
      </c>
      <c r="L2059">
        <v>0</v>
      </c>
      <c r="M2059">
        <v>2.1513446886518716E-3</v>
      </c>
      <c r="N2059">
        <v>0.19219453135740081</v>
      </c>
      <c r="O2059">
        <v>2.545470615226653E-2</v>
      </c>
      <c r="P2059">
        <v>2.061716785772414E-2</v>
      </c>
      <c r="Q2059">
        <v>2.8715997532420454E-3</v>
      </c>
      <c r="R2059">
        <v>2.1385636820368411E-3</v>
      </c>
      <c r="S2059">
        <v>0.20675693146869936</v>
      </c>
      <c r="T2059">
        <v>1.0619476650232764</v>
      </c>
      <c r="U2059">
        <v>3.7427798109787982E-2</v>
      </c>
      <c r="V2059">
        <v>0.25054923944768837</v>
      </c>
      <c r="W2059">
        <v>0.11800117229621492</v>
      </c>
      <c r="X2059">
        <v>1.887156763729066E-2</v>
      </c>
      <c r="Y2059">
        <v>5.8204653651759627E-3</v>
      </c>
    </row>
    <row r="2060" spans="1:25" x14ac:dyDescent="0.25">
      <c r="A2060" s="881"/>
      <c r="B2060" s="1131">
        <v>1810</v>
      </c>
      <c r="C2060" s="885">
        <v>1.0134953887612266</v>
      </c>
      <c r="D2060" s="885">
        <v>0.97030676386244952</v>
      </c>
      <c r="E2060" s="885">
        <v>0.99583024554865407</v>
      </c>
      <c r="F2060" s="885">
        <v>0.9890108324493202</v>
      </c>
      <c r="G2060" s="885">
        <v>1.020700899641775</v>
      </c>
      <c r="H2060" s="885">
        <v>0.97055928801290625</v>
      </c>
      <c r="I2060" s="885">
        <v>1.0092141450571286</v>
      </c>
      <c r="K2060">
        <v>1.9293266502488386</v>
      </c>
      <c r="L2060">
        <v>0</v>
      </c>
      <c r="M2060">
        <v>1.9153796205106121E-3</v>
      </c>
      <c r="N2060">
        <v>0.19046015092309454</v>
      </c>
      <c r="O2060">
        <v>2.5187797634061971E-2</v>
      </c>
      <c r="P2060">
        <v>2.1074780078402005E-2</v>
      </c>
      <c r="Q2060">
        <v>2.9403961882295496E-3</v>
      </c>
      <c r="R2060">
        <v>1.9036240717780308E-3</v>
      </c>
      <c r="S2060">
        <v>0.20481744632454374</v>
      </c>
      <c r="T2060">
        <v>1.0587556888255714</v>
      </c>
      <c r="U2060">
        <v>3.6823364975081652E-2</v>
      </c>
      <c r="V2060">
        <v>0.24968383888186302</v>
      </c>
      <c r="W2060">
        <v>0.1141723705221155</v>
      </c>
      <c r="X2060">
        <v>2.0241534250733571E-2</v>
      </c>
      <c r="Y2060">
        <v>5.1810371938731895E-3</v>
      </c>
    </row>
    <row r="2061" spans="1:25" x14ac:dyDescent="0.25">
      <c r="A2061" s="881"/>
      <c r="B2061" s="1131">
        <v>1811</v>
      </c>
      <c r="C2061" s="885">
        <v>0.98688221721782288</v>
      </c>
      <c r="D2061" s="885">
        <v>1.005507155042582</v>
      </c>
      <c r="E2061" s="885">
        <v>0.99947036233800035</v>
      </c>
      <c r="F2061" s="885">
        <v>0.99248292850672526</v>
      </c>
      <c r="G2061" s="885">
        <v>1.0027537735404835</v>
      </c>
      <c r="H2061" s="885">
        <v>1.0036255227708342</v>
      </c>
      <c r="I2061" s="885">
        <v>1.0080724375480328</v>
      </c>
      <c r="K2061">
        <v>1.9499035868613916</v>
      </c>
      <c r="L2061">
        <v>0</v>
      </c>
      <c r="M2061">
        <v>1.9831965634774839E-3</v>
      </c>
      <c r="N2061">
        <v>0.19948768324969562</v>
      </c>
      <c r="O2061">
        <v>2.5413999458751953E-2</v>
      </c>
      <c r="P2061">
        <v>2.1203894013387084E-2</v>
      </c>
      <c r="Q2061">
        <v>2.9851387251660123E-3</v>
      </c>
      <c r="R2061">
        <v>1.9713965523784575E-3</v>
      </c>
      <c r="S2061">
        <v>0.21010025205255489</v>
      </c>
      <c r="T2061">
        <v>1.0584209842354551</v>
      </c>
      <c r="U2061">
        <v>3.7816377628253094E-2</v>
      </c>
      <c r="V2061">
        <v>0.24899551490400745</v>
      </c>
      <c r="W2061">
        <v>0.11928600639837066</v>
      </c>
      <c r="X2061">
        <v>2.0840044661971927E-2</v>
      </c>
      <c r="Y2061">
        <v>5.3654915448753246E-3</v>
      </c>
    </row>
    <row r="2062" spans="1:25" x14ac:dyDescent="0.25">
      <c r="A2062" s="881"/>
      <c r="B2062" s="1131">
        <v>1812</v>
      </c>
      <c r="C2062" s="885">
        <v>0.99055583686877891</v>
      </c>
      <c r="D2062" s="885">
        <v>1.0035981586968723</v>
      </c>
      <c r="E2062" s="885">
        <v>0.99864007747392081</v>
      </c>
      <c r="F2062" s="885">
        <v>1.02248434825845</v>
      </c>
      <c r="G2062" s="885">
        <v>0.97329122263105827</v>
      </c>
      <c r="H2062" s="885">
        <v>0.98164557396739893</v>
      </c>
      <c r="I2062" s="885">
        <v>0.99107518968518915</v>
      </c>
      <c r="K2062">
        <v>1.9345154920984591</v>
      </c>
      <c r="L2062">
        <v>0</v>
      </c>
      <c r="M2062">
        <v>1.9377704288643452E-3</v>
      </c>
      <c r="N2062">
        <v>0.19438953511070362</v>
      </c>
      <c r="O2062">
        <v>2.5343561370402147E-2</v>
      </c>
      <c r="P2062">
        <v>2.1099284867054768E-2</v>
      </c>
      <c r="Q2062">
        <v>2.973987110979316E-3</v>
      </c>
      <c r="R2062">
        <v>1.9259840909645854E-3</v>
      </c>
      <c r="S2062">
        <v>0.20374960981254339</v>
      </c>
      <c r="T2062">
        <v>1.0584972825610321</v>
      </c>
      <c r="U2062">
        <v>3.7676130119922539E-2</v>
      </c>
      <c r="V2062">
        <v>0.2487016925525217</v>
      </c>
      <c r="W2062">
        <v>0.11630360739129512</v>
      </c>
      <c r="X2062">
        <v>2.05506937447839E-2</v>
      </c>
      <c r="Y2062">
        <v>5.2418937951206473E-3</v>
      </c>
    </row>
    <row r="2063" spans="1:25" x14ac:dyDescent="0.25">
      <c r="A2063" s="881"/>
      <c r="B2063" s="1131">
        <v>1813</v>
      </c>
      <c r="C2063" s="885">
        <v>0.99377835425733407</v>
      </c>
      <c r="D2063" s="885">
        <v>0.97099867509105264</v>
      </c>
      <c r="E2063" s="885">
        <v>1.0394863221517263</v>
      </c>
      <c r="F2063" s="885">
        <v>0.97218177069248934</v>
      </c>
      <c r="G2063" s="885">
        <v>1.0045797003814356</v>
      </c>
      <c r="H2063" s="885">
        <v>1.021401241787752</v>
      </c>
      <c r="I2063" s="885">
        <v>1.0089382666773512</v>
      </c>
      <c r="K2063">
        <v>1.9756658731308878</v>
      </c>
      <c r="L2063">
        <v>0</v>
      </c>
      <c r="M2063">
        <v>1.8740140587521137E-3</v>
      </c>
      <c r="N2063">
        <v>0.21348327393102687</v>
      </c>
      <c r="O2063">
        <v>2.5678435921702963E-2</v>
      </c>
      <c r="P2063">
        <v>2.1884358231823227E-2</v>
      </c>
      <c r="Q2063">
        <v>3.1309753960557991E-3</v>
      </c>
      <c r="R2063">
        <v>1.8630843570005288E-3</v>
      </c>
      <c r="S2063">
        <v>0.21405589537262354</v>
      </c>
      <c r="T2063">
        <v>1.0547756590798965</v>
      </c>
      <c r="U2063">
        <v>3.755395802397702E-2</v>
      </c>
      <c r="V2063">
        <v>0.25242414757264631</v>
      </c>
      <c r="W2063">
        <v>0.12425266512019485</v>
      </c>
      <c r="X2063">
        <v>2.336673272853048E-2</v>
      </c>
      <c r="Y2063">
        <v>5.070701454162216E-3</v>
      </c>
    </row>
    <row r="2064" spans="1:25" x14ac:dyDescent="0.25">
      <c r="A2064" s="881"/>
      <c r="B2064" s="1131">
        <v>1814</v>
      </c>
      <c r="C2064" s="885">
        <v>1.0178973291814684</v>
      </c>
      <c r="D2064" s="885">
        <v>1.0192537279942537</v>
      </c>
      <c r="E2064" s="885">
        <v>1.0194685309023139</v>
      </c>
      <c r="F2064" s="885">
        <v>1.0113850336437316</v>
      </c>
      <c r="G2064" s="885">
        <v>0.98990244761078938</v>
      </c>
      <c r="H2064" s="885">
        <v>1.0167961034167066</v>
      </c>
      <c r="I2064" s="885">
        <v>1.0227687190700545</v>
      </c>
      <c r="K2064">
        <v>1.933910588640265</v>
      </c>
      <c r="L2064">
        <v>0</v>
      </c>
      <c r="M2064">
        <v>1.8550723199881993E-3</v>
      </c>
      <c r="N2064">
        <v>0.19858379097258913</v>
      </c>
      <c r="O2064">
        <v>2.4474863240661063E-2</v>
      </c>
      <c r="P2064">
        <v>2.1348986122927412E-2</v>
      </c>
      <c r="Q2064">
        <v>2.9356563984137209E-3</v>
      </c>
      <c r="R2064">
        <v>1.8441674181243605E-3</v>
      </c>
      <c r="S2064">
        <v>0.20671271163180524</v>
      </c>
      <c r="T2064">
        <v>1.0565913914178151</v>
      </c>
      <c r="U2064">
        <v>3.6664120762481656E-2</v>
      </c>
      <c r="V2064">
        <v>0.24301117088074448</v>
      </c>
      <c r="W2064">
        <v>0.11714224906023836</v>
      </c>
      <c r="X2064">
        <v>2.1437337271942469E-2</v>
      </c>
      <c r="Y2064">
        <v>5.019215782508509E-3</v>
      </c>
    </row>
    <row r="2065" spans="1:25" x14ac:dyDescent="0.25">
      <c r="A2065" s="881"/>
      <c r="B2065" s="1131">
        <v>1815</v>
      </c>
      <c r="C2065" s="885">
        <v>0.96918981535170634</v>
      </c>
      <c r="D2065" s="885">
        <v>1.0269953743688938</v>
      </c>
      <c r="E2065" s="885">
        <v>1.0134726211195897</v>
      </c>
      <c r="F2065" s="885">
        <v>1.0021075351815996</v>
      </c>
      <c r="G2065" s="885">
        <v>1.0008197579457858</v>
      </c>
      <c r="H2065" s="885">
        <v>1.017592064391234</v>
      </c>
      <c r="I2065" s="885">
        <v>1.0080985818221373</v>
      </c>
      <c r="K2065">
        <v>1.9643166151357432</v>
      </c>
      <c r="L2065">
        <v>0</v>
      </c>
      <c r="M2065">
        <v>1.9673123407868351E-3</v>
      </c>
      <c r="N2065">
        <v>0.20671191599347996</v>
      </c>
      <c r="O2065">
        <v>2.560907536687549E-2</v>
      </c>
      <c r="P2065">
        <v>2.1460727265771355E-2</v>
      </c>
      <c r="Q2065">
        <v>3.0550045128632853E-3</v>
      </c>
      <c r="R2065">
        <v>1.9557506905415181E-3</v>
      </c>
      <c r="S2065">
        <v>0.21332991337821997</v>
      </c>
      <c r="T2065">
        <v>1.0571383067628204</v>
      </c>
      <c r="U2065">
        <v>3.8506709428610585E-2</v>
      </c>
      <c r="V2065">
        <v>0.2489248705835585</v>
      </c>
      <c r="W2065">
        <v>0.12243249630411565</v>
      </c>
      <c r="X2065">
        <v>2.1836248523060715E-2</v>
      </c>
      <c r="Y2065">
        <v>5.3229086666121452E-3</v>
      </c>
    </row>
    <row r="2066" spans="1:25" x14ac:dyDescent="0.25">
      <c r="A2066" s="881"/>
      <c r="B2066" s="1131">
        <v>1816</v>
      </c>
      <c r="C2066" s="885">
        <v>0.98077925515916475</v>
      </c>
      <c r="D2066" s="885">
        <v>0.97048984558935603</v>
      </c>
      <c r="E2066" s="885">
        <v>0.99773407151761639</v>
      </c>
      <c r="F2066" s="885">
        <v>0.99235485798605516</v>
      </c>
      <c r="G2066" s="885">
        <v>1.0256921747107257</v>
      </c>
      <c r="H2066" s="885">
        <v>1.0142880156290894</v>
      </c>
      <c r="I2066" s="885">
        <v>0.99486484245801277</v>
      </c>
      <c r="K2066">
        <v>1.9708575350231143</v>
      </c>
      <c r="L2066">
        <v>0</v>
      </c>
      <c r="M2066">
        <v>2.0599825393276946E-3</v>
      </c>
      <c r="N2066">
        <v>0.20611107211983937</v>
      </c>
      <c r="O2066">
        <v>2.6025553456574653E-2</v>
      </c>
      <c r="P2066">
        <v>2.1297587549733973E-2</v>
      </c>
      <c r="Q2066">
        <v>3.0440655679909562E-3</v>
      </c>
      <c r="R2066">
        <v>2.0478844130796172E-3</v>
      </c>
      <c r="S2066">
        <v>0.21317819536860788</v>
      </c>
      <c r="T2066">
        <v>1.0585805698434823</v>
      </c>
      <c r="U2066">
        <v>3.8051692472696561E-2</v>
      </c>
      <c r="V2066">
        <v>0.25441718554696252</v>
      </c>
      <c r="W2066">
        <v>0.12339319184926832</v>
      </c>
      <c r="X2066">
        <v>2.1196853086714814E-2</v>
      </c>
      <c r="Y2066">
        <v>5.5736662874873808E-3</v>
      </c>
    </row>
    <row r="2067" spans="1:25" x14ac:dyDescent="0.25">
      <c r="A2067" s="881"/>
      <c r="B2067" s="1131">
        <v>1817</v>
      </c>
      <c r="C2067" s="885">
        <v>1.0252668592865672</v>
      </c>
      <c r="D2067" s="885">
        <v>0.99471129726424601</v>
      </c>
      <c r="E2067" s="885">
        <v>0.95394062736220553</v>
      </c>
      <c r="F2067" s="885">
        <v>1.014307739679891</v>
      </c>
      <c r="G2067" s="885">
        <v>1.0325321009394008</v>
      </c>
      <c r="H2067" s="885">
        <v>1.0323309854337481</v>
      </c>
      <c r="I2067" s="885">
        <v>0.97721279326641075</v>
      </c>
      <c r="K2067">
        <v>1.9221993723731448</v>
      </c>
      <c r="L2067">
        <v>0</v>
      </c>
      <c r="M2067">
        <v>2.1719416498513487E-3</v>
      </c>
      <c r="N2067">
        <v>0.18960478014771839</v>
      </c>
      <c r="O2067">
        <v>2.4593592283599065E-2</v>
      </c>
      <c r="P2067">
        <v>2.0328719679367561E-2</v>
      </c>
      <c r="Q2067">
        <v>2.7558237163320533E-3</v>
      </c>
      <c r="R2067">
        <v>2.1593873443078813E-3</v>
      </c>
      <c r="S2067">
        <v>0.19979361114476446</v>
      </c>
      <c r="T2067">
        <v>1.0626443978821312</v>
      </c>
      <c r="U2067">
        <v>3.6400582212211846E-2</v>
      </c>
      <c r="V2067">
        <v>0.24497165074861743</v>
      </c>
      <c r="W2067">
        <v>0.1170242335427952</v>
      </c>
      <c r="X2067">
        <v>1.8217394811788901E-2</v>
      </c>
      <c r="Y2067">
        <v>5.8771405093593129E-3</v>
      </c>
    </row>
    <row r="2068" spans="1:25" x14ac:dyDescent="0.25">
      <c r="A2068" s="881"/>
      <c r="B2068" s="1131">
        <v>1818</v>
      </c>
      <c r="C2068" s="885">
        <v>0.98604329904221055</v>
      </c>
      <c r="D2068" s="885">
        <v>0.99235406654671754</v>
      </c>
      <c r="E2068" s="885">
        <v>0.95475475328825599</v>
      </c>
      <c r="F2068" s="885">
        <v>0.9901973169778282</v>
      </c>
      <c r="G2068" s="885">
        <v>0.99113895940985308</v>
      </c>
      <c r="H2068" s="885">
        <v>0.9806820462701582</v>
      </c>
      <c r="I2068" s="885">
        <v>1.0109700536058814</v>
      </c>
      <c r="K2068">
        <v>1.9375955051070928</v>
      </c>
      <c r="L2068">
        <v>0</v>
      </c>
      <c r="M2068">
        <v>2.1442194807240115E-3</v>
      </c>
      <c r="N2068">
        <v>0.18760375863702652</v>
      </c>
      <c r="O2068">
        <v>2.5601970815401841E-2</v>
      </c>
      <c r="P2068">
        <v>2.0567788395923901E-2</v>
      </c>
      <c r="Q2068">
        <v>2.870750041312326E-3</v>
      </c>
      <c r="R2068">
        <v>2.1311748162964419E-3</v>
      </c>
      <c r="S2068">
        <v>0.20977279233195961</v>
      </c>
      <c r="T2068">
        <v>1.0625681742946078</v>
      </c>
      <c r="U2068">
        <v>3.7848551516112723E-2</v>
      </c>
      <c r="V2068">
        <v>0.25077398416481694</v>
      </c>
      <c r="W2068">
        <v>0.11572261660188156</v>
      </c>
      <c r="X2068">
        <v>1.847780766410774E-2</v>
      </c>
      <c r="Y2068">
        <v>5.8003553083695357E-3</v>
      </c>
    </row>
    <row r="2069" spans="1:25" x14ac:dyDescent="0.25">
      <c r="A2069" s="881"/>
      <c r="B2069" s="1131">
        <v>1819</v>
      </c>
      <c r="C2069" s="885">
        <v>0.99348622599208014</v>
      </c>
      <c r="D2069" s="885">
        <v>0.99016484600101318</v>
      </c>
      <c r="E2069" s="885">
        <v>1.0345904389089873</v>
      </c>
      <c r="F2069" s="885">
        <v>1.008313097429032</v>
      </c>
      <c r="G2069" s="885">
        <v>1.0130939362189499</v>
      </c>
      <c r="H2069" s="885">
        <v>1.0227047521445358</v>
      </c>
      <c r="I2069" s="885">
        <v>1.0087591348202498</v>
      </c>
      <c r="K2069">
        <v>1.9671444110675971</v>
      </c>
      <c r="L2069">
        <v>0</v>
      </c>
      <c r="M2069">
        <v>1.8782240922825136E-3</v>
      </c>
      <c r="N2069">
        <v>0.21073723074581049</v>
      </c>
      <c r="O2069">
        <v>2.5437995275091427E-2</v>
      </c>
      <c r="P2069">
        <v>2.1754579669052344E-2</v>
      </c>
      <c r="Q2069">
        <v>3.0909838636187558E-3</v>
      </c>
      <c r="R2069">
        <v>1.8672688418245077E-3</v>
      </c>
      <c r="S2069">
        <v>0.212295992067317</v>
      </c>
      <c r="T2069">
        <v>1.0552182951550364</v>
      </c>
      <c r="U2069">
        <v>3.7565000524943777E-2</v>
      </c>
      <c r="V2069">
        <v>0.24997760925893797</v>
      </c>
      <c r="W2069">
        <v>0.12305550444701405</v>
      </c>
      <c r="X2069">
        <v>2.2940085068793123E-2</v>
      </c>
      <c r="Y2069">
        <v>5.0820902424380324E-3</v>
      </c>
    </row>
    <row r="2070" spans="1:25" x14ac:dyDescent="0.25">
      <c r="A2070" s="881"/>
      <c r="B2070" s="1131">
        <v>1820</v>
      </c>
      <c r="C2070" s="885">
        <v>0.96721501760205664</v>
      </c>
      <c r="D2070" s="885">
        <v>1.018607332108695</v>
      </c>
      <c r="E2070" s="885">
        <v>1.0020879501082562</v>
      </c>
      <c r="F2070" s="885">
        <v>0.99451254703794201</v>
      </c>
      <c r="G2070" s="885">
        <v>0.98584109686777199</v>
      </c>
      <c r="H2070" s="885">
        <v>1.0022003326656663</v>
      </c>
      <c r="I2070" s="885">
        <v>1.0346600554673322</v>
      </c>
      <c r="K2070">
        <v>1.965716464643898</v>
      </c>
      <c r="L2070">
        <v>0</v>
      </c>
      <c r="M2070">
        <v>1.9967368806588304E-3</v>
      </c>
      <c r="N2070">
        <v>0.20248910640967882</v>
      </c>
      <c r="O2070">
        <v>2.5765420839614812E-2</v>
      </c>
      <c r="P2070">
        <v>2.1385386619935956E-2</v>
      </c>
      <c r="Q2070">
        <v>3.0371117649947857E-3</v>
      </c>
      <c r="R2070">
        <v>1.9848287894536588E-3</v>
      </c>
      <c r="S2070">
        <v>0.2185720206350997</v>
      </c>
      <c r="T2070">
        <v>1.058180619008305</v>
      </c>
      <c r="U2070">
        <v>3.8585329964625985E-2</v>
      </c>
      <c r="V2070">
        <v>0.25024149118533484</v>
      </c>
      <c r="W2070">
        <v>0.1208641914906544</v>
      </c>
      <c r="X2070">
        <v>2.1205645150600156E-2</v>
      </c>
      <c r="Y2070">
        <v>5.4020496662582629E-3</v>
      </c>
    </row>
    <row r="2071" spans="1:25" x14ac:dyDescent="0.25">
      <c r="A2071" s="881"/>
      <c r="B2071" s="1131">
        <v>1821</v>
      </c>
      <c r="C2071" s="885">
        <v>0.98192096288807795</v>
      </c>
      <c r="D2071" s="885">
        <v>0.99520135591315761</v>
      </c>
      <c r="E2071" s="885">
        <v>0.98825554236690971</v>
      </c>
      <c r="F2071" s="885">
        <v>1.0226310202441948</v>
      </c>
      <c r="G2071" s="885">
        <v>0.99834787973933814</v>
      </c>
      <c r="H2071" s="885">
        <v>0.95810641093849924</v>
      </c>
      <c r="I2071" s="885">
        <v>1.0266614630570365</v>
      </c>
      <c r="K2071">
        <v>1.939550276869241</v>
      </c>
      <c r="L2071">
        <v>0</v>
      </c>
      <c r="M2071">
        <v>1.9581977853167397E-3</v>
      </c>
      <c r="N2071">
        <v>0.19016283293631162</v>
      </c>
      <c r="O2071">
        <v>2.567298691886271E-2</v>
      </c>
      <c r="P2071">
        <v>2.1085612029489161E-2</v>
      </c>
      <c r="Q2071">
        <v>2.9795014738495536E-3</v>
      </c>
      <c r="R2071">
        <v>1.9460016799391258E-3</v>
      </c>
      <c r="S2071">
        <v>0.21124737944287014</v>
      </c>
      <c r="T2071">
        <v>1.0594538268562903</v>
      </c>
      <c r="U2071">
        <v>3.8007448676060818E-2</v>
      </c>
      <c r="V2071">
        <v>0.2510170712178616</v>
      </c>
      <c r="W2071">
        <v>0.11458981172469529</v>
      </c>
      <c r="X2071">
        <v>2.0049626624815343E-2</v>
      </c>
      <c r="Y2071">
        <v>5.2963750735129144E-3</v>
      </c>
    </row>
    <row r="2072" spans="1:25" x14ac:dyDescent="0.25">
      <c r="A2072" s="881"/>
      <c r="B2072" s="1131">
        <v>1822</v>
      </c>
      <c r="C2072" s="885">
        <v>0.96756507801165004</v>
      </c>
      <c r="D2072" s="885">
        <v>1.0063117292176427</v>
      </c>
      <c r="E2072" s="885">
        <v>0.9869263715102532</v>
      </c>
      <c r="F2072" s="885">
        <v>0.96598298256247539</v>
      </c>
      <c r="G2072" s="885">
        <v>0.97838032825325949</v>
      </c>
      <c r="H2072" s="885">
        <v>1.0351139709850379</v>
      </c>
      <c r="I2072" s="885">
        <v>1.0065914987075251</v>
      </c>
      <c r="K2072">
        <v>1.9757972419577097</v>
      </c>
      <c r="L2072">
        <v>0</v>
      </c>
      <c r="M2072">
        <v>2.141195067770748E-3</v>
      </c>
      <c r="N2072">
        <v>0.2071706740545845</v>
      </c>
      <c r="O2072">
        <v>2.5911129779345479E-2</v>
      </c>
      <c r="P2072">
        <v>2.1163958190330668E-2</v>
      </c>
      <c r="Q2072">
        <v>3.0054209863605709E-3</v>
      </c>
      <c r="R2072">
        <v>2.128841840705391E-3</v>
      </c>
      <c r="S2072">
        <v>0.21720637672226922</v>
      </c>
      <c r="T2072">
        <v>1.0595765626512008</v>
      </c>
      <c r="U2072">
        <v>3.857136997710818E-2</v>
      </c>
      <c r="V2072">
        <v>0.25173275627207142</v>
      </c>
      <c r="W2072">
        <v>0.12495310964141899</v>
      </c>
      <c r="X2072">
        <v>2.0724231192209754E-2</v>
      </c>
      <c r="Y2072">
        <v>5.7940057178758903E-3</v>
      </c>
    </row>
    <row r="2073" spans="1:25" x14ac:dyDescent="0.25">
      <c r="A2073" s="881"/>
      <c r="B2073" s="1131">
        <v>1823</v>
      </c>
      <c r="C2073" s="885">
        <v>0.99949726887328927</v>
      </c>
      <c r="D2073" s="885">
        <v>1.021809394084005</v>
      </c>
      <c r="E2073" s="885">
        <v>1.0250218162891611</v>
      </c>
      <c r="F2073" s="885">
        <v>0.99807941527300492</v>
      </c>
      <c r="G2073" s="885">
        <v>1.035668129463803</v>
      </c>
      <c r="H2073" s="885">
        <v>0.95325969460719473</v>
      </c>
      <c r="I2073" s="885">
        <v>0.99408139515173211</v>
      </c>
      <c r="K2073">
        <v>1.9142354763630576</v>
      </c>
      <c r="L2073">
        <v>0</v>
      </c>
      <c r="M2073">
        <v>1.7483482536871623E-3</v>
      </c>
      <c r="N2073">
        <v>0.19034003233265454</v>
      </c>
      <c r="O2073">
        <v>2.4894637152360781E-2</v>
      </c>
      <c r="P2073">
        <v>2.1348583588350525E-2</v>
      </c>
      <c r="Q2073">
        <v>3.0030362148524264E-3</v>
      </c>
      <c r="R2073">
        <v>1.7373838202626079E-3</v>
      </c>
      <c r="S2073">
        <v>0.19805160562174157</v>
      </c>
      <c r="T2073">
        <v>1.0560861034900881</v>
      </c>
      <c r="U2073">
        <v>3.7339082119741344E-2</v>
      </c>
      <c r="V2073">
        <v>0.24522104949045145</v>
      </c>
      <c r="W2073">
        <v>0.11186005502478781</v>
      </c>
      <c r="X2073">
        <v>2.1373669731118015E-2</v>
      </c>
      <c r="Y2073">
        <v>4.7285860303323945E-3</v>
      </c>
    </row>
    <row r="2074" spans="1:25" x14ac:dyDescent="0.25">
      <c r="A2074" s="881"/>
      <c r="B2074" s="1131">
        <v>1824</v>
      </c>
      <c r="C2074" s="885">
        <v>0.95632253965069824</v>
      </c>
      <c r="D2074" s="885">
        <v>0.97238608140256411</v>
      </c>
      <c r="E2074" s="885">
        <v>0.97907473105828313</v>
      </c>
      <c r="F2074" s="885">
        <v>0.98773587454323664</v>
      </c>
      <c r="G2074" s="885">
        <v>1.0205431079273495</v>
      </c>
      <c r="H2074" s="885">
        <v>1.0062012688539625</v>
      </c>
      <c r="I2074" s="885">
        <v>0.9683877192932967</v>
      </c>
      <c r="K2074">
        <v>1.9763956209523799</v>
      </c>
      <c r="L2074">
        <v>0</v>
      </c>
      <c r="M2074">
        <v>2.1775486150319261E-3</v>
      </c>
      <c r="N2074">
        <v>0.2055661676120516</v>
      </c>
      <c r="O2074">
        <v>2.6665242825606138E-2</v>
      </c>
      <c r="P2074">
        <v>2.1064596904926309E-2</v>
      </c>
      <c r="Q2074">
        <v>3.0609851493655109E-3</v>
      </c>
      <c r="R2074">
        <v>2.1646554850578161E-3</v>
      </c>
      <c r="S2074">
        <v>0.21177957102575962</v>
      </c>
      <c r="T2074">
        <v>1.0603029834442685</v>
      </c>
      <c r="U2074">
        <v>3.9024815429476688E-2</v>
      </c>
      <c r="V2074">
        <v>0.25792978556491913</v>
      </c>
      <c r="W2074">
        <v>0.12466127626398624</v>
      </c>
      <c r="X2074">
        <v>2.0461611210155207E-2</v>
      </c>
      <c r="Y2074">
        <v>5.8914786518385045E-3</v>
      </c>
    </row>
    <row r="2075" spans="1:25" x14ac:dyDescent="0.25">
      <c r="A2075" s="881"/>
      <c r="B2075" s="1131">
        <v>1825</v>
      </c>
      <c r="C2075" s="885">
        <v>1.0197435034523779</v>
      </c>
      <c r="D2075" s="885">
        <v>1.0199346831165257</v>
      </c>
      <c r="E2075" s="885">
        <v>0.97339950217680371</v>
      </c>
      <c r="F2075" s="885">
        <v>1.0397202920518822</v>
      </c>
      <c r="G2075" s="885">
        <v>0.99755757100741771</v>
      </c>
      <c r="H2075" s="885">
        <v>0.99455099652667189</v>
      </c>
      <c r="I2075" s="885">
        <v>0.99081915363800666</v>
      </c>
      <c r="K2075">
        <v>1.9074383727033766</v>
      </c>
      <c r="L2075">
        <v>0</v>
      </c>
      <c r="M2075">
        <v>1.9949610248792644E-3</v>
      </c>
      <c r="N2075">
        <v>0.18501104796636675</v>
      </c>
      <c r="O2075">
        <v>2.4422499662183798E-2</v>
      </c>
      <c r="P2075">
        <v>2.055548782028066E-2</v>
      </c>
      <c r="Q2075">
        <v>2.796683995000525E-3</v>
      </c>
      <c r="R2075">
        <v>1.9829709450101549E-3</v>
      </c>
      <c r="S2075">
        <v>0.19766554417549595</v>
      </c>
      <c r="T2075">
        <v>1.0608295347751147</v>
      </c>
      <c r="U2075">
        <v>3.6597742936893086E-2</v>
      </c>
      <c r="V2075">
        <v>0.24268536279188976</v>
      </c>
      <c r="W2075">
        <v>0.11263992859954343</v>
      </c>
      <c r="X2075">
        <v>1.8849536834354922E-2</v>
      </c>
      <c r="Y2075">
        <v>5.3969932261213006E-3</v>
      </c>
    </row>
    <row r="2076" spans="1:25" x14ac:dyDescent="0.25">
      <c r="A2076" s="881"/>
      <c r="B2076" s="1131">
        <v>1826</v>
      </c>
      <c r="C2076" s="885">
        <v>0.99447819133907311</v>
      </c>
      <c r="D2076" s="885">
        <v>1.0345833759787177</v>
      </c>
      <c r="E2076" s="885">
        <v>1.0085550728134292</v>
      </c>
      <c r="F2076" s="885">
        <v>1.0134889570891281</v>
      </c>
      <c r="G2076" s="885">
        <v>0.995602411633708</v>
      </c>
      <c r="H2076" s="885">
        <v>1.0186892791263742</v>
      </c>
      <c r="I2076" s="885">
        <v>0.99197830144627397</v>
      </c>
      <c r="K2076">
        <v>1.9376353966661544</v>
      </c>
      <c r="L2076">
        <v>0</v>
      </c>
      <c r="M2076">
        <v>1.932348788379463E-3</v>
      </c>
      <c r="N2076">
        <v>0.19995870588143802</v>
      </c>
      <c r="O2076">
        <v>2.4867469216060922E-2</v>
      </c>
      <c r="P2076">
        <v>2.1185470761125456E-2</v>
      </c>
      <c r="Q2076">
        <v>2.9534917100202292E-3</v>
      </c>
      <c r="R2076">
        <v>1.9209991349696176E-3</v>
      </c>
      <c r="S2076">
        <v>0.20400194906162022</v>
      </c>
      <c r="T2076">
        <v>1.057587907633319</v>
      </c>
      <c r="U2076">
        <v>3.752753044354324E-2</v>
      </c>
      <c r="V2076">
        <v>0.24440958532537835</v>
      </c>
      <c r="W2076">
        <v>0.11882878082558904</v>
      </c>
      <c r="X2076">
        <v>2.1097529073276888E-2</v>
      </c>
      <c r="Y2076">
        <v>5.2283263881926466E-3</v>
      </c>
    </row>
    <row r="2077" spans="1:25" x14ac:dyDescent="0.25">
      <c r="A2077" s="881"/>
      <c r="B2077" s="1131">
        <v>1827</v>
      </c>
      <c r="C2077" s="885">
        <v>0.98303893980414903</v>
      </c>
      <c r="D2077" s="885">
        <v>1.0276949327312523</v>
      </c>
      <c r="E2077" s="885">
        <v>1.0212602023893707</v>
      </c>
      <c r="F2077" s="885">
        <v>1.0051039967933113</v>
      </c>
      <c r="G2077" s="885">
        <v>1.0056944489554527</v>
      </c>
      <c r="H2077" s="885">
        <v>0.95958103173491349</v>
      </c>
      <c r="I2077" s="885">
        <v>1.0071014820381246</v>
      </c>
      <c r="K2077">
        <v>1.9289228777715426</v>
      </c>
      <c r="L2077">
        <v>0</v>
      </c>
      <c r="M2077">
        <v>1.798590361967293E-3</v>
      </c>
      <c r="N2077">
        <v>0.19354309218539367</v>
      </c>
      <c r="O2077">
        <v>2.5239815729198384E-2</v>
      </c>
      <c r="P2077">
        <v>2.1409765376062484E-2</v>
      </c>
      <c r="Q2077">
        <v>3.0345317844332996E-3</v>
      </c>
      <c r="R2077">
        <v>1.787380737079506E-3</v>
      </c>
      <c r="S2077">
        <v>0.20411718970328191</v>
      </c>
      <c r="T2077">
        <v>1.0564282372261635</v>
      </c>
      <c r="U2077">
        <v>3.7964224091013375E-2</v>
      </c>
      <c r="V2077">
        <v>0.24683036969335806</v>
      </c>
      <c r="W2077">
        <v>0.11403089034672563</v>
      </c>
      <c r="X2077">
        <v>2.1471310104370023E-2</v>
      </c>
      <c r="Y2077">
        <v>4.8646611564287902E-3</v>
      </c>
    </row>
    <row r="2078" spans="1:25" x14ac:dyDescent="0.25">
      <c r="A2078" s="881"/>
      <c r="B2078" s="1131">
        <v>1828</v>
      </c>
      <c r="C2078" s="885">
        <v>1.0233876245982354</v>
      </c>
      <c r="D2078" s="885">
        <v>1.0303587421726585</v>
      </c>
      <c r="E2078" s="885">
        <v>0.987853215007098</v>
      </c>
      <c r="F2078" s="885">
        <v>0.9890981467765928</v>
      </c>
      <c r="G2078" s="885">
        <v>1.0164647641667812</v>
      </c>
      <c r="H2078" s="885">
        <v>1.013019558486721</v>
      </c>
      <c r="I2078" s="885">
        <v>0.98457937431106834</v>
      </c>
      <c r="K2078">
        <v>1.9100591776246572</v>
      </c>
      <c r="L2078">
        <v>0</v>
      </c>
      <c r="M2078">
        <v>1.9544303882318486E-3</v>
      </c>
      <c r="N2078">
        <v>0.18962105703766383</v>
      </c>
      <c r="O2078">
        <v>2.421377156115527E-2</v>
      </c>
      <c r="P2078">
        <v>2.072495722937371E-2</v>
      </c>
      <c r="Q2078">
        <v>2.8157761843278376E-3</v>
      </c>
      <c r="R2078">
        <v>1.9428900170845905E-3</v>
      </c>
      <c r="S2078">
        <v>0.19658507713178716</v>
      </c>
      <c r="T2078">
        <v>1.0594909705685898</v>
      </c>
      <c r="U2078">
        <v>3.6467424174264566E-2</v>
      </c>
      <c r="V2078">
        <v>0.24098817459262789</v>
      </c>
      <c r="W2078">
        <v>0.11429506788903129</v>
      </c>
      <c r="X2078">
        <v>1.9580535474000387E-2</v>
      </c>
      <c r="Y2078">
        <v>5.2879061529822547E-3</v>
      </c>
    </row>
    <row r="2079" spans="1:25" x14ac:dyDescent="0.25">
      <c r="A2079" s="881"/>
      <c r="B2079" s="1131">
        <v>1829</v>
      </c>
      <c r="C2079" s="885">
        <v>1.0322068397056086</v>
      </c>
      <c r="D2079" s="885">
        <v>0.9736241624228068</v>
      </c>
      <c r="E2079" s="885">
        <v>0.97693320009602802</v>
      </c>
      <c r="F2079" s="885">
        <v>1.0049908080815171</v>
      </c>
      <c r="G2079" s="885">
        <v>0.97582394050442367</v>
      </c>
      <c r="H2079" s="885">
        <v>0.98719169112412553</v>
      </c>
      <c r="I2079" s="885">
        <v>0.96690773731071455</v>
      </c>
      <c r="K2079">
        <v>1.9093396685893205</v>
      </c>
      <c r="L2079">
        <v>0</v>
      </c>
      <c r="M2079">
        <v>1.9870082782935125E-3</v>
      </c>
      <c r="N2079">
        <v>0.18630957715430427</v>
      </c>
      <c r="O2079">
        <v>2.4689291466038165E-2</v>
      </c>
      <c r="P2079">
        <v>2.0604510063014093E-2</v>
      </c>
      <c r="Q2079">
        <v>2.8282444064504295E-3</v>
      </c>
      <c r="R2079">
        <v>1.9750157071936475E-3</v>
      </c>
      <c r="S2079">
        <v>0.19396941809903215</v>
      </c>
      <c r="T2079">
        <v>1.0605015294289699</v>
      </c>
      <c r="U2079">
        <v>3.6155845093567528E-2</v>
      </c>
      <c r="V2079">
        <v>0.24666699936484829</v>
      </c>
      <c r="W2079">
        <v>0.11315177502847504</v>
      </c>
      <c r="X2079">
        <v>1.9099129364490937E-2</v>
      </c>
      <c r="Y2079">
        <v>5.3753416912282088E-3</v>
      </c>
    </row>
    <row r="2080" spans="1:25" x14ac:dyDescent="0.25">
      <c r="A2080" s="881"/>
      <c r="B2080" s="1131">
        <v>1830</v>
      </c>
      <c r="C2080" s="885">
        <v>1.0042579585200804</v>
      </c>
      <c r="D2080" s="885">
        <v>1.0012684162104581</v>
      </c>
      <c r="E2080" s="885">
        <v>1.0027682230498252</v>
      </c>
      <c r="F2080" s="885">
        <v>0.97317655419032367</v>
      </c>
      <c r="G2080" s="885">
        <v>1.0334251297222348</v>
      </c>
      <c r="H2080" s="885">
        <v>0.97554492069732335</v>
      </c>
      <c r="I2080" s="885">
        <v>1.0109219283943802</v>
      </c>
      <c r="K2080">
        <v>1.9275028589282237</v>
      </c>
      <c r="L2080">
        <v>0</v>
      </c>
      <c r="M2080">
        <v>1.8851746858816736E-3</v>
      </c>
      <c r="N2080">
        <v>0.19155053579336681</v>
      </c>
      <c r="O2080">
        <v>2.5026537600865394E-2</v>
      </c>
      <c r="P2080">
        <v>2.1141112851835609E-2</v>
      </c>
      <c r="Q2080">
        <v>2.9485149623996857E-3</v>
      </c>
      <c r="R2080">
        <v>1.8736384072593254E-3</v>
      </c>
      <c r="S2080">
        <v>0.20459166184778335</v>
      </c>
      <c r="T2080">
        <v>1.0581181952951739</v>
      </c>
      <c r="U2080">
        <v>3.7162076022692156E-2</v>
      </c>
      <c r="V2080">
        <v>0.24705374869812791</v>
      </c>
      <c r="W2080">
        <v>0.11428192561572713</v>
      </c>
      <c r="X2080">
        <v>2.0540660419049454E-2</v>
      </c>
      <c r="Y2080">
        <v>5.0994260998249259E-3</v>
      </c>
    </row>
    <row r="2081" spans="1:25" x14ac:dyDescent="0.25">
      <c r="A2081" s="881"/>
      <c r="B2081" s="1131">
        <v>1831</v>
      </c>
      <c r="C2081" s="885">
        <v>1.0442938725886504</v>
      </c>
      <c r="D2081" s="885">
        <v>0.99210067044792438</v>
      </c>
      <c r="E2081" s="885">
        <v>0.98762333002526337</v>
      </c>
      <c r="F2081" s="885">
        <v>1.0040204474623273</v>
      </c>
      <c r="G2081" s="885">
        <v>1.002711258605034</v>
      </c>
      <c r="H2081" s="885">
        <v>1.0003543281058163</v>
      </c>
      <c r="I2081" s="885">
        <v>1.0022662234888324</v>
      </c>
      <c r="K2081">
        <v>1.9083190089222188</v>
      </c>
      <c r="L2081">
        <v>0</v>
      </c>
      <c r="M2081">
        <v>1.9279618836866622E-3</v>
      </c>
      <c r="N2081">
        <v>0.1869080721700721</v>
      </c>
      <c r="O2081">
        <v>2.4176955635444763E-2</v>
      </c>
      <c r="P2081">
        <v>2.0759060745486557E-2</v>
      </c>
      <c r="Q2081">
        <v>2.8034721172340436E-3</v>
      </c>
      <c r="R2081">
        <v>1.9164637123793098E-3</v>
      </c>
      <c r="S2081">
        <v>0.19830766981640166</v>
      </c>
      <c r="T2081">
        <v>1.0595121968595256</v>
      </c>
      <c r="U2081">
        <v>3.5737364338263668E-2</v>
      </c>
      <c r="V2081">
        <v>0.24276236858280092</v>
      </c>
      <c r="W2081">
        <v>0.1126776773697807</v>
      </c>
      <c r="X2081">
        <v>1.946968699551194E-2</v>
      </c>
      <c r="Y2081">
        <v>5.2159824630034872E-3</v>
      </c>
    </row>
    <row r="2082" spans="1:25" x14ac:dyDescent="0.25">
      <c r="A2082" s="881"/>
      <c r="B2082" s="1131">
        <v>1832</v>
      </c>
      <c r="C2082" s="885">
        <v>0.97348094566244947</v>
      </c>
      <c r="D2082" s="885">
        <v>0.98048679853800569</v>
      </c>
      <c r="E2082" s="885">
        <v>1.0171047301318099</v>
      </c>
      <c r="F2082" s="885">
        <v>0.98129740078414918</v>
      </c>
      <c r="G2082" s="885">
        <v>1.0090620844672722</v>
      </c>
      <c r="H2082" s="885">
        <v>1.0207489005485972</v>
      </c>
      <c r="I2082" s="885">
        <v>1.0149957351936303</v>
      </c>
      <c r="K2082">
        <v>1.983987582961017</v>
      </c>
      <c r="L2082">
        <v>0</v>
      </c>
      <c r="M2082">
        <v>1.9948933912903644E-3</v>
      </c>
      <c r="N2082">
        <v>0.21199711548003111</v>
      </c>
      <c r="O2082">
        <v>2.6087539325392956E-2</v>
      </c>
      <c r="P2082">
        <v>2.1659265638716809E-2</v>
      </c>
      <c r="Q2082">
        <v>3.1133101508615583E-3</v>
      </c>
      <c r="R2082">
        <v>1.9832433241491754E-3</v>
      </c>
      <c r="S2082">
        <v>0.2187780048285515</v>
      </c>
      <c r="T2082">
        <v>1.0568068371525769</v>
      </c>
      <c r="U2082">
        <v>3.8336970813045129E-2</v>
      </c>
      <c r="V2082">
        <v>0.25418497217936631</v>
      </c>
      <c r="W2082">
        <v>0.12525447618439967</v>
      </c>
      <c r="X2082">
        <v>2.2383006722867516E-2</v>
      </c>
      <c r="Y2082">
        <v>5.397734552347956E-3</v>
      </c>
    </row>
    <row r="2083" spans="1:25" x14ac:dyDescent="0.25">
      <c r="A2083" s="881"/>
      <c r="B2083" s="1131">
        <v>1833</v>
      </c>
      <c r="C2083" s="885">
        <v>0.96699253851706102</v>
      </c>
      <c r="D2083" s="885">
        <v>0.99872861342698283</v>
      </c>
      <c r="E2083" s="885">
        <v>1.0102926647752482</v>
      </c>
      <c r="F2083" s="885">
        <v>0.98197764006305932</v>
      </c>
      <c r="G2083" s="885">
        <v>0.96458228425817694</v>
      </c>
      <c r="H2083" s="885">
        <v>0.98730633548778413</v>
      </c>
      <c r="I2083" s="885">
        <v>0.98035308071591909</v>
      </c>
      <c r="K2083">
        <v>1.9573892568298283</v>
      </c>
      <c r="L2083">
        <v>0</v>
      </c>
      <c r="M2083">
        <v>1.952698552340796E-3</v>
      </c>
      <c r="N2083">
        <v>0.20312386007698352</v>
      </c>
      <c r="O2083">
        <v>2.6023692400124945E-2</v>
      </c>
      <c r="P2083">
        <v>2.1388523055113649E-2</v>
      </c>
      <c r="Q2083">
        <v>3.0886414962449232E-3</v>
      </c>
      <c r="R2083">
        <v>1.9408934907922796E-3</v>
      </c>
      <c r="S2083">
        <v>0.20749874027283563</v>
      </c>
      <c r="T2083">
        <v>1.0574289354946673</v>
      </c>
      <c r="U2083">
        <v>3.8594207415653628E-2</v>
      </c>
      <c r="V2083">
        <v>0.25278765230799827</v>
      </c>
      <c r="W2083">
        <v>0.12056723484670896</v>
      </c>
      <c r="X2083">
        <v>2.161710225847556E-2</v>
      </c>
      <c r="Y2083">
        <v>5.2824722665692986E-3</v>
      </c>
    </row>
    <row r="2084" spans="1:25" x14ac:dyDescent="0.25">
      <c r="A2084" s="881"/>
      <c r="B2084" s="1131">
        <v>1834</v>
      </c>
      <c r="C2084" s="885">
        <v>1.0122604707226881</v>
      </c>
      <c r="D2084" s="885">
        <v>0.99161846817267429</v>
      </c>
      <c r="E2084" s="885">
        <v>0.96793703570357581</v>
      </c>
      <c r="F2084" s="885">
        <v>1.0406194073723241</v>
      </c>
      <c r="G2084" s="885">
        <v>0.9621717316014301</v>
      </c>
      <c r="H2084" s="885">
        <v>1.0133787928247759</v>
      </c>
      <c r="I2084" s="885">
        <v>0.98307700267807407</v>
      </c>
      <c r="K2084">
        <v>1.9289498127517408</v>
      </c>
      <c r="L2084">
        <v>0</v>
      </c>
      <c r="M2084">
        <v>2.1003588649608261E-3</v>
      </c>
      <c r="N2084">
        <v>0.19151990993937917</v>
      </c>
      <c r="O2084">
        <v>2.4948055105072142E-2</v>
      </c>
      <c r="P2084">
        <v>2.0596962597203203E-2</v>
      </c>
      <c r="Q2084">
        <v>2.8354102044458197E-3</v>
      </c>
      <c r="R2084">
        <v>2.0879939482281455E-3</v>
      </c>
      <c r="S2084">
        <v>0.20199654046707655</v>
      </c>
      <c r="T2084">
        <v>1.0613375236805844</v>
      </c>
      <c r="U2084">
        <v>3.6868288034869766E-2</v>
      </c>
      <c r="V2084">
        <v>0.24713633528543127</v>
      </c>
      <c r="W2084">
        <v>0.117048431190441</v>
      </c>
      <c r="X2084">
        <v>1.8991889943911155E-2</v>
      </c>
      <c r="Y2084">
        <v>5.6828312200569641E-3</v>
      </c>
    </row>
    <row r="2085" spans="1:25" x14ac:dyDescent="0.25">
      <c r="A2085" s="881"/>
      <c r="B2085" s="1131">
        <v>1835</v>
      </c>
      <c r="C2085" s="885">
        <v>1.0346402739859051</v>
      </c>
      <c r="D2085" s="885">
        <v>1.0227270224003315</v>
      </c>
      <c r="E2085" s="885">
        <v>1.0325197637177568</v>
      </c>
      <c r="F2085" s="885">
        <v>1.0232683759828141</v>
      </c>
      <c r="G2085" s="885">
        <v>1.0032021741057886</v>
      </c>
      <c r="H2085" s="885">
        <v>1.0275734918819621</v>
      </c>
      <c r="I2085" s="885">
        <v>1.0114480274915199</v>
      </c>
      <c r="K2085">
        <v>1.9253324474979341</v>
      </c>
      <c r="L2085">
        <v>0</v>
      </c>
      <c r="M2085">
        <v>1.7911917335404308E-3</v>
      </c>
      <c r="N2085">
        <v>0.19968778615330057</v>
      </c>
      <c r="O2085">
        <v>2.4038405172764253E-2</v>
      </c>
      <c r="P2085">
        <v>2.1423923429948439E-2</v>
      </c>
      <c r="Q2085">
        <v>2.9215210075624561E-3</v>
      </c>
      <c r="R2085">
        <v>1.780770349068864E-3</v>
      </c>
      <c r="S2085">
        <v>0.20185796472625842</v>
      </c>
      <c r="T2085">
        <v>1.0554057871994269</v>
      </c>
      <c r="U2085">
        <v>3.607080793128422E-2</v>
      </c>
      <c r="V2085">
        <v>0.24039937653747948</v>
      </c>
      <c r="W2085">
        <v>0.11676492944793943</v>
      </c>
      <c r="X2085">
        <v>2.1925697417063999E-2</v>
      </c>
      <c r="Y2085">
        <v>4.8466698593776433E-3</v>
      </c>
    </row>
    <row r="2086" spans="1:25" x14ac:dyDescent="0.25">
      <c r="A2086" s="881"/>
      <c r="B2086" s="1131">
        <v>1836</v>
      </c>
      <c r="C2086" s="885">
        <v>1.0149802812422133</v>
      </c>
      <c r="D2086" s="885">
        <v>1.017723719554527</v>
      </c>
      <c r="E2086" s="885">
        <v>1.0096971925221687</v>
      </c>
      <c r="F2086" s="885">
        <v>1.0251386107294898</v>
      </c>
      <c r="G2086" s="885">
        <v>1.0210930620971588</v>
      </c>
      <c r="H2086" s="885">
        <v>0.99474241020309451</v>
      </c>
      <c r="I2086" s="885">
        <v>1.0039846735720359</v>
      </c>
      <c r="K2086">
        <v>1.9214143662885086</v>
      </c>
      <c r="L2086">
        <v>0</v>
      </c>
      <c r="M2086">
        <v>1.8593562645800672E-3</v>
      </c>
      <c r="N2086">
        <v>0.19306373823056042</v>
      </c>
      <c r="O2086">
        <v>2.4563416173473594E-2</v>
      </c>
      <c r="P2086">
        <v>2.1145179584510034E-2</v>
      </c>
      <c r="Q2086">
        <v>2.917408187313121E-3</v>
      </c>
      <c r="R2086">
        <v>1.8481850107105757E-3</v>
      </c>
      <c r="S2086">
        <v>0.20145096148386013</v>
      </c>
      <c r="T2086">
        <v>1.0574834019291344</v>
      </c>
      <c r="U2086">
        <v>3.6769493250884938E-2</v>
      </c>
      <c r="V2086">
        <v>0.24358855553335629</v>
      </c>
      <c r="W2086">
        <v>0.11464227439343024</v>
      </c>
      <c r="X2086">
        <v>2.0770958430725527E-2</v>
      </c>
      <c r="Y2086">
        <v>5.0301503451291472E-3</v>
      </c>
    </row>
    <row r="2087" spans="1:25" x14ac:dyDescent="0.25">
      <c r="A2087" s="881"/>
      <c r="B2087" s="1131">
        <v>1837</v>
      </c>
      <c r="C2087" s="885">
        <v>1.0039048431993067</v>
      </c>
      <c r="D2087" s="885">
        <v>1.0188979643558775</v>
      </c>
      <c r="E2087" s="885">
        <v>0.99074830610150344</v>
      </c>
      <c r="F2087" s="885">
        <v>0.97750751655429835</v>
      </c>
      <c r="G2087" s="885">
        <v>1.0180253386187486</v>
      </c>
      <c r="H2087" s="885">
        <v>1.0101447956028091</v>
      </c>
      <c r="I2087" s="885">
        <v>1.0016015234554627</v>
      </c>
      <c r="K2087">
        <v>1.9313873670762469</v>
      </c>
      <c r="L2087">
        <v>0</v>
      </c>
      <c r="M2087">
        <v>1.9855676753614067E-3</v>
      </c>
      <c r="N2087">
        <v>0.1943839771077287</v>
      </c>
      <c r="O2087">
        <v>2.482027284581835E-2</v>
      </c>
      <c r="P2087">
        <v>2.0938960067835365E-2</v>
      </c>
      <c r="Q2087">
        <v>2.8925345851835288E-3</v>
      </c>
      <c r="R2087">
        <v>1.9738190938603239E-3</v>
      </c>
      <c r="S2087">
        <v>0.20462357993757183</v>
      </c>
      <c r="T2087">
        <v>1.059223829874101</v>
      </c>
      <c r="U2087">
        <v>3.7175147479099849E-2</v>
      </c>
      <c r="V2087">
        <v>0.2449587110217144</v>
      </c>
      <c r="W2087">
        <v>0.11693233388098194</v>
      </c>
      <c r="X2087">
        <v>2.0077683953515963E-2</v>
      </c>
      <c r="Y2087">
        <v>5.3720849041983812E-3</v>
      </c>
    </row>
    <row r="2088" spans="1:25" x14ac:dyDescent="0.25">
      <c r="A2088" s="881"/>
      <c r="B2088" s="1131">
        <v>1838</v>
      </c>
      <c r="C2088" s="885">
        <v>1.0145074745310416</v>
      </c>
      <c r="D2088" s="885">
        <v>0.99075610798547409</v>
      </c>
      <c r="E2088" s="885">
        <v>1.0136931750371356</v>
      </c>
      <c r="F2088" s="885">
        <v>0.97044416372442244</v>
      </c>
      <c r="G2088" s="885">
        <v>1.0039276788816327</v>
      </c>
      <c r="H2088" s="885">
        <v>1.0107076748412718</v>
      </c>
      <c r="I2088" s="885">
        <v>1.0332139395547979</v>
      </c>
      <c r="K2088">
        <v>1.946170184417243</v>
      </c>
      <c r="L2088">
        <v>0</v>
      </c>
      <c r="M2088">
        <v>1.8992565948410655E-3</v>
      </c>
      <c r="N2088">
        <v>0.19969282143393433</v>
      </c>
      <c r="O2088">
        <v>2.4903534058224184E-2</v>
      </c>
      <c r="P2088">
        <v>2.1389374104499547E-2</v>
      </c>
      <c r="Q2088">
        <v>2.9640875436932482E-3</v>
      </c>
      <c r="R2088">
        <v>1.8880467062059295E-3</v>
      </c>
      <c r="S2088">
        <v>0.21163635889632471</v>
      </c>
      <c r="T2088">
        <v>1.0571181641139624</v>
      </c>
      <c r="U2088">
        <v>3.678662951021458E-2</v>
      </c>
      <c r="V2088">
        <v>0.24693010743734642</v>
      </c>
      <c r="W2088">
        <v>0.11825750784116924</v>
      </c>
      <c r="X2088">
        <v>2.1364168626645145E-2</v>
      </c>
      <c r="Y2088">
        <v>5.1386407398631116E-3</v>
      </c>
    </row>
    <row r="2089" spans="1:25" x14ac:dyDescent="0.25">
      <c r="A2089" s="881"/>
      <c r="B2089" s="1131">
        <v>1839</v>
      </c>
      <c r="C2089" s="885">
        <v>1.0213350339196896</v>
      </c>
      <c r="D2089" s="885">
        <v>0.98079605515706914</v>
      </c>
      <c r="E2089" s="885">
        <v>1.0014655885949881</v>
      </c>
      <c r="F2089" s="885">
        <v>0.96746126711487423</v>
      </c>
      <c r="G2089" s="885">
        <v>0.99926117926190394</v>
      </c>
      <c r="H2089" s="885">
        <v>0.9785800956794013</v>
      </c>
      <c r="I2089" s="885">
        <v>0.99760364602515839</v>
      </c>
      <c r="K2089">
        <v>1.9215213862096492</v>
      </c>
      <c r="L2089">
        <v>0</v>
      </c>
      <c r="M2089">
        <v>1.883702556322287E-3</v>
      </c>
      <c r="N2089">
        <v>0.19063228671233043</v>
      </c>
      <c r="O2089">
        <v>2.4861330389686118E-2</v>
      </c>
      <c r="P2089">
        <v>2.1063341563673725E-2</v>
      </c>
      <c r="Q2089">
        <v>2.9209963548093775E-3</v>
      </c>
      <c r="R2089">
        <v>1.8722275435124661E-3</v>
      </c>
      <c r="S2089">
        <v>0.20071583157883746</v>
      </c>
      <c r="T2089">
        <v>1.0582377444068467</v>
      </c>
      <c r="U2089">
        <v>3.6540713244397963E-2</v>
      </c>
      <c r="V2089">
        <v>0.24723992338264048</v>
      </c>
      <c r="W2089">
        <v>0.11383535279149157</v>
      </c>
      <c r="X2089">
        <v>2.0389754603949761E-2</v>
      </c>
      <c r="Y2089">
        <v>5.0955861937970852E-3</v>
      </c>
    </row>
    <row r="2090" spans="1:25" x14ac:dyDescent="0.25">
      <c r="A2090" s="881"/>
      <c r="B2090" s="1131">
        <v>1840</v>
      </c>
      <c r="C2090" s="885">
        <v>1.0140354385208608</v>
      </c>
      <c r="D2090" s="885">
        <v>0.99965901358528841</v>
      </c>
      <c r="E2090" s="885">
        <v>0.95941836344823328</v>
      </c>
      <c r="F2090" s="885">
        <v>1.0014423448608374</v>
      </c>
      <c r="G2090" s="885">
        <v>1.0351227603480737</v>
      </c>
      <c r="H2090" s="885">
        <v>1.0268100128665303</v>
      </c>
      <c r="I2090" s="885">
        <v>1.0168173536664595</v>
      </c>
      <c r="K2090">
        <v>1.9354452044906276</v>
      </c>
      <c r="L2090">
        <v>0</v>
      </c>
      <c r="M2090">
        <v>2.1540786707555395E-3</v>
      </c>
      <c r="N2090">
        <v>0.19128162153110689</v>
      </c>
      <c r="O2090">
        <v>2.4804970396163476E-2</v>
      </c>
      <c r="P2090">
        <v>2.0550030735043922E-2</v>
      </c>
      <c r="Q2090">
        <v>2.7961999141429389E-3</v>
      </c>
      <c r="R2090">
        <v>2.1415563601177249E-3</v>
      </c>
      <c r="S2090">
        <v>0.20915410271615525</v>
      </c>
      <c r="T2090">
        <v>1.0621320299514292</v>
      </c>
      <c r="U2090">
        <v>3.6803753777436797E-2</v>
      </c>
      <c r="V2090">
        <v>0.2458963732174578</v>
      </c>
      <c r="W2090">
        <v>0.11760389294612772</v>
      </c>
      <c r="X2090">
        <v>1.8606141167823369E-2</v>
      </c>
      <c r="Y2090">
        <v>5.8286104483760677E-3</v>
      </c>
    </row>
    <row r="2091" spans="1:25" x14ac:dyDescent="0.25">
      <c r="A2091" s="881"/>
      <c r="B2091" s="1131">
        <v>1841</v>
      </c>
      <c r="C2091" s="885">
        <v>0.99037022391135321</v>
      </c>
      <c r="D2091" s="885">
        <v>0.99474022603761869</v>
      </c>
      <c r="E2091" s="885">
        <v>0.97167729625307708</v>
      </c>
      <c r="F2091" s="885">
        <v>1.0077778893671498</v>
      </c>
      <c r="G2091" s="885">
        <v>1.024276763965736</v>
      </c>
      <c r="H2091" s="885">
        <v>1.0093956516075693</v>
      </c>
      <c r="I2091" s="885">
        <v>0.97735299412672083</v>
      </c>
      <c r="K2091">
        <v>1.9418653128532017</v>
      </c>
      <c r="L2091">
        <v>0</v>
      </c>
      <c r="M2091">
        <v>2.1183490943064349E-3</v>
      </c>
      <c r="N2091">
        <v>0.19542142713956034</v>
      </c>
      <c r="O2091">
        <v>2.5459804088183942E-2</v>
      </c>
      <c r="P2091">
        <v>2.0732791503752498E-2</v>
      </c>
      <c r="Q2091">
        <v>2.9052942329724873E-3</v>
      </c>
      <c r="R2091">
        <v>2.1058263220421606E-3</v>
      </c>
      <c r="S2091">
        <v>0.20456391289238771</v>
      </c>
      <c r="T2091">
        <v>1.0609895688470905</v>
      </c>
      <c r="U2091">
        <v>3.7683191295397253E-2</v>
      </c>
      <c r="V2091">
        <v>0.24983968865453141</v>
      </c>
      <c r="W2091">
        <v>0.1191210750579105</v>
      </c>
      <c r="X2091">
        <v>1.9429716850539257E-2</v>
      </c>
      <c r="Y2091">
        <v>5.7313650631382659E-3</v>
      </c>
    </row>
    <row r="2092" spans="1:25" x14ac:dyDescent="0.25">
      <c r="A2092" s="881"/>
      <c r="B2092" s="1131">
        <v>1842</v>
      </c>
      <c r="C2092" s="885">
        <v>0.97547786813381498</v>
      </c>
      <c r="D2092" s="885">
        <v>1.0265172016046609</v>
      </c>
      <c r="E2092" s="885">
        <v>0.99626435930580359</v>
      </c>
      <c r="F2092" s="885">
        <v>0.98571560483809784</v>
      </c>
      <c r="G2092" s="885">
        <v>0.99730754054729387</v>
      </c>
      <c r="H2092" s="885">
        <v>0.96627760862221324</v>
      </c>
      <c r="I2092" s="885">
        <v>1.0305218147345587</v>
      </c>
      <c r="K2092">
        <v>1.9380632768479835</v>
      </c>
      <c r="L2092">
        <v>0</v>
      </c>
      <c r="M2092">
        <v>1.9250542517844152E-3</v>
      </c>
      <c r="N2092">
        <v>0.19167105278571536</v>
      </c>
      <c r="O2092">
        <v>2.5449840832747733E-2</v>
      </c>
      <c r="P2092">
        <v>2.1166751369902599E-2</v>
      </c>
      <c r="Q2092">
        <v>2.983988130767203E-3</v>
      </c>
      <c r="R2092">
        <v>1.9131405307435843E-3</v>
      </c>
      <c r="S2092">
        <v>0.21129986757945426</v>
      </c>
      <c r="T2092">
        <v>1.0587157454678173</v>
      </c>
      <c r="U2092">
        <v>3.8258490346187245E-2</v>
      </c>
      <c r="V2092">
        <v>0.24806034908030591</v>
      </c>
      <c r="W2092">
        <v>0.11486403373574312</v>
      </c>
      <c r="X2092">
        <v>2.0398133382306421E-2</v>
      </c>
      <c r="Y2092">
        <v>5.2069378580775717E-3</v>
      </c>
    </row>
    <row r="2093" spans="1:25" x14ac:dyDescent="0.25">
      <c r="A2093" s="881"/>
      <c r="B2093" s="1131">
        <v>1843</v>
      </c>
      <c r="C2093" s="885">
        <v>0.96788642892785648</v>
      </c>
      <c r="D2093" s="885">
        <v>1.0004090040848104</v>
      </c>
      <c r="E2093" s="885">
        <v>1.0258708798135505</v>
      </c>
      <c r="F2093" s="885">
        <v>1.0066902523221961</v>
      </c>
      <c r="G2093" s="885">
        <v>1.0004016141416607</v>
      </c>
      <c r="H2093" s="885">
        <v>0.98065333903376106</v>
      </c>
      <c r="I2093" s="885">
        <v>1.0195314702737148</v>
      </c>
      <c r="K2093">
        <v>1.964679815042115</v>
      </c>
      <c r="L2093">
        <v>0</v>
      </c>
      <c r="M2093">
        <v>1.8734809562239872E-3</v>
      </c>
      <c r="N2093">
        <v>0.20453939229219101</v>
      </c>
      <c r="O2093">
        <v>2.597803063700263E-2</v>
      </c>
      <c r="P2093">
        <v>2.1709915440775721E-2</v>
      </c>
      <c r="Q2093">
        <v>3.1317621218999929E-3</v>
      </c>
      <c r="R2093">
        <v>1.8620766374453422E-3</v>
      </c>
      <c r="S2093">
        <v>0.21471652117435902</v>
      </c>
      <c r="T2093">
        <v>1.0560089543588795</v>
      </c>
      <c r="U2093">
        <v>3.855856377928267E-2</v>
      </c>
      <c r="V2093">
        <v>0.25243829757385428</v>
      </c>
      <c r="W2093">
        <v>0.12013622177611047</v>
      </c>
      <c r="X2093">
        <v>2.2405601432809896E-2</v>
      </c>
      <c r="Y2093">
        <v>5.0679587737276566E-3</v>
      </c>
    </row>
    <row r="2094" spans="1:25" x14ac:dyDescent="0.25">
      <c r="A2094" s="881"/>
      <c r="B2094" s="1131">
        <v>1844</v>
      </c>
      <c r="C2094" s="885">
        <v>0.99109833791369695</v>
      </c>
      <c r="D2094" s="885">
        <v>1.0300393971645263</v>
      </c>
      <c r="E2094" s="885">
        <v>0.96431116309201381</v>
      </c>
      <c r="F2094" s="885">
        <v>1.0015405656012371</v>
      </c>
      <c r="G2094" s="885">
        <v>0.98571237632363229</v>
      </c>
      <c r="H2094" s="885">
        <v>0.97156519209283876</v>
      </c>
      <c r="I2094" s="885">
        <v>0.99091806638583391</v>
      </c>
      <c r="K2094">
        <v>1.9129737431131557</v>
      </c>
      <c r="L2094">
        <v>0</v>
      </c>
      <c r="M2094">
        <v>2.0338290222283589E-3</v>
      </c>
      <c r="N2094">
        <v>0.18331826600889911</v>
      </c>
      <c r="O2094">
        <v>2.5006460172888698E-2</v>
      </c>
      <c r="P2094">
        <v>2.0507639824880863E-2</v>
      </c>
      <c r="Q2094">
        <v>2.8389909502286232E-3</v>
      </c>
      <c r="R2094">
        <v>2.0213076857518325E-3</v>
      </c>
      <c r="S2094">
        <v>0.2001919097932231</v>
      </c>
      <c r="T2094">
        <v>1.0616753533641403</v>
      </c>
      <c r="U2094">
        <v>3.76555072017149E-2</v>
      </c>
      <c r="V2094">
        <v>0.24541280526773543</v>
      </c>
      <c r="W2094">
        <v>0.11232095658009439</v>
      </c>
      <c r="X2094">
        <v>1.85570420891094E-2</v>
      </c>
      <c r="Y2094">
        <v>5.5013331967169593E-3</v>
      </c>
    </row>
    <row r="2095" spans="1:25" x14ac:dyDescent="0.25">
      <c r="A2095" s="881"/>
      <c r="B2095" s="1131">
        <v>1845</v>
      </c>
      <c r="C2095" s="885">
        <v>1.0059043554349343</v>
      </c>
      <c r="D2095" s="885">
        <v>1.0144272046771206</v>
      </c>
      <c r="E2095" s="885">
        <v>1.0101129102296393</v>
      </c>
      <c r="F2095" s="885">
        <v>1.0091583130954889</v>
      </c>
      <c r="G2095" s="885">
        <v>1.0237782701109812</v>
      </c>
      <c r="H2095" s="885">
        <v>0.98532433183417623</v>
      </c>
      <c r="I2095" s="885">
        <v>1.0287557055001051</v>
      </c>
      <c r="K2095">
        <v>1.9304560319183399</v>
      </c>
      <c r="L2095">
        <v>0</v>
      </c>
      <c r="M2095">
        <v>1.859716052696874E-3</v>
      </c>
      <c r="N2095">
        <v>0.19333991324829986</v>
      </c>
      <c r="O2095">
        <v>2.4824790762747573E-2</v>
      </c>
      <c r="P2095">
        <v>2.1263036145831485E-2</v>
      </c>
      <c r="Q2095">
        <v>2.9490149845704731E-3</v>
      </c>
      <c r="R2095">
        <v>1.8484383556764065E-3</v>
      </c>
      <c r="S2095">
        <v>0.20762554944056147</v>
      </c>
      <c r="T2095">
        <v>1.0574453757582936</v>
      </c>
      <c r="U2095">
        <v>3.7101251624246386E-2</v>
      </c>
      <c r="V2095">
        <v>0.24521823818158264</v>
      </c>
      <c r="W2095">
        <v>0.11477384117471102</v>
      </c>
      <c r="X2095">
        <v>2.0895458427905193E-2</v>
      </c>
      <c r="Y2095">
        <v>5.0308398666109927E-3</v>
      </c>
    </row>
    <row r="2096" spans="1:25" x14ac:dyDescent="0.25">
      <c r="A2096" s="881"/>
      <c r="B2096" s="1131">
        <v>1846</v>
      </c>
      <c r="C2096" s="885">
        <v>0.98138038536107597</v>
      </c>
      <c r="D2096" s="885">
        <v>1.0094612808691628</v>
      </c>
      <c r="E2096" s="885">
        <v>1.0051634459191614</v>
      </c>
      <c r="F2096" s="885">
        <v>1.0068779870494831</v>
      </c>
      <c r="G2096" s="885">
        <v>0.97932422689038146</v>
      </c>
      <c r="H2096" s="885">
        <v>1.0189808838772936</v>
      </c>
      <c r="I2096" s="885">
        <v>1.005157168136247</v>
      </c>
      <c r="K2096">
        <v>1.9599130323760425</v>
      </c>
      <c r="L2096">
        <v>0</v>
      </c>
      <c r="M2096">
        <v>1.9968120395945682E-3</v>
      </c>
      <c r="N2096">
        <v>0.20446398133069971</v>
      </c>
      <c r="O2096">
        <v>2.5506925922790562E-2</v>
      </c>
      <c r="P2096">
        <v>2.1318198888524261E-2</v>
      </c>
      <c r="Q2096">
        <v>3.014047930173801E-3</v>
      </c>
      <c r="R2096">
        <v>1.9851068830129951E-3</v>
      </c>
      <c r="S2096">
        <v>0.21187246878950539</v>
      </c>
      <c r="T2096">
        <v>1.0578985466418709</v>
      </c>
      <c r="U2096">
        <v>3.8028384464995929E-2</v>
      </c>
      <c r="V2096">
        <v>0.24930078789172319</v>
      </c>
      <c r="W2096">
        <v>0.12178707198081082</v>
      </c>
      <c r="X2096">
        <v>2.1331517146276343E-2</v>
      </c>
      <c r="Y2096">
        <v>5.4028065452532605E-3</v>
      </c>
    </row>
    <row r="2097" spans="1:25" x14ac:dyDescent="0.25">
      <c r="A2097" s="881"/>
      <c r="B2097" s="1131">
        <v>1847</v>
      </c>
      <c r="C2097" s="885">
        <v>1.0109390754433336</v>
      </c>
      <c r="D2097" s="885">
        <v>0.97697714701202454</v>
      </c>
      <c r="E2097" s="885">
        <v>0.9808022603572617</v>
      </c>
      <c r="F2097" s="885">
        <v>0.97138441708423395</v>
      </c>
      <c r="G2097" s="885">
        <v>0.9694477828282192</v>
      </c>
      <c r="H2097" s="885">
        <v>1.0015449894797246</v>
      </c>
      <c r="I2097" s="885">
        <v>1.0377933877151846</v>
      </c>
      <c r="K2097">
        <v>1.9448580950303096</v>
      </c>
      <c r="L2097">
        <v>0</v>
      </c>
      <c r="M2097">
        <v>2.0381799143382169E-3</v>
      </c>
      <c r="N2097">
        <v>0.19344210874343554</v>
      </c>
      <c r="O2097">
        <v>2.5165685166477058E-2</v>
      </c>
      <c r="P2097">
        <v>2.0970409855976927E-2</v>
      </c>
      <c r="Q2097">
        <v>2.8948844982139331E-3</v>
      </c>
      <c r="R2097">
        <v>2.0260518700580808E-3</v>
      </c>
      <c r="S2097">
        <v>0.21374161115447904</v>
      </c>
      <c r="T2097">
        <v>1.060142950027644</v>
      </c>
      <c r="U2097">
        <v>3.6916478457963059E-2</v>
      </c>
      <c r="V2097">
        <v>0.24917750236486935</v>
      </c>
      <c r="W2097">
        <v>0.11716835405750677</v>
      </c>
      <c r="X2097">
        <v>1.9735993445544074E-2</v>
      </c>
      <c r="Y2097">
        <v>5.514245302478629E-3</v>
      </c>
    </row>
    <row r="2098" spans="1:25" x14ac:dyDescent="0.25">
      <c r="A2098" s="881"/>
      <c r="B2098" s="1131">
        <v>1848</v>
      </c>
      <c r="C2098" s="885">
        <v>0.98685542361532796</v>
      </c>
      <c r="D2098" s="885">
        <v>1.0129055420791611</v>
      </c>
      <c r="E2098" s="885">
        <v>1.0096127369285925</v>
      </c>
      <c r="F2098" s="885">
        <v>1.0002362299895746</v>
      </c>
      <c r="G2098" s="885">
        <v>1.0103755817452782</v>
      </c>
      <c r="H2098" s="885">
        <v>0.98533640235037323</v>
      </c>
      <c r="I2098" s="885">
        <v>1.045787676859443</v>
      </c>
      <c r="K2098">
        <v>1.9489187273108945</v>
      </c>
      <c r="L2098">
        <v>0</v>
      </c>
      <c r="M2098">
        <v>1.8990443030774244E-3</v>
      </c>
      <c r="N2098">
        <v>0.19712194359067062</v>
      </c>
      <c r="O2098">
        <v>2.5322749198543514E-2</v>
      </c>
      <c r="P2098">
        <v>2.1410334493826556E-2</v>
      </c>
      <c r="Q2098">
        <v>3.006352486230266E-3</v>
      </c>
      <c r="R2098">
        <v>1.8875294433283415E-3</v>
      </c>
      <c r="S2098">
        <v>0.21528626997686909</v>
      </c>
      <c r="T2098">
        <v>1.057491128002503</v>
      </c>
      <c r="U2098">
        <v>3.7817404361212857E-2</v>
      </c>
      <c r="V2098">
        <v>0.24808392164973597</v>
      </c>
      <c r="W2098">
        <v>0.1170587773229514</v>
      </c>
      <c r="X2098">
        <v>2.119412816727512E-2</v>
      </c>
      <c r="Y2098">
        <v>5.1372329208259791E-3</v>
      </c>
    </row>
    <row r="2099" spans="1:25" x14ac:dyDescent="0.25">
      <c r="A2099" s="881"/>
      <c r="B2099" s="1131">
        <v>1849</v>
      </c>
      <c r="C2099" s="885">
        <v>1.0021955305853534</v>
      </c>
      <c r="D2099" s="885">
        <v>1.0220553872480749</v>
      </c>
      <c r="E2099" s="885">
        <v>1.0289015570905968</v>
      </c>
      <c r="F2099" s="885">
        <v>1.0221580249044779</v>
      </c>
      <c r="G2099" s="885">
        <v>0.99267671713176064</v>
      </c>
      <c r="H2099" s="885">
        <v>1.0355103356761555</v>
      </c>
      <c r="I2099" s="885">
        <v>1.0169105429033682</v>
      </c>
      <c r="K2099">
        <v>1.9534518325540398</v>
      </c>
      <c r="L2099">
        <v>0</v>
      </c>
      <c r="M2099">
        <v>1.8783902155433479E-3</v>
      </c>
      <c r="N2099">
        <v>0.20707956059104971</v>
      </c>
      <c r="O2099">
        <v>2.4824662840080471E-2</v>
      </c>
      <c r="P2099">
        <v>2.1569025563690992E-2</v>
      </c>
      <c r="Q2099">
        <v>3.0061734099470203E-3</v>
      </c>
      <c r="R2099">
        <v>1.8675457529256361E-3</v>
      </c>
      <c r="S2099">
        <v>0.21038763296119628</v>
      </c>
      <c r="T2099">
        <v>1.0557338056039591</v>
      </c>
      <c r="U2099">
        <v>3.7238552220562444E-2</v>
      </c>
      <c r="V2099">
        <v>0.24481499024841971</v>
      </c>
      <c r="W2099">
        <v>0.12138097844370922</v>
      </c>
      <c r="X2099">
        <v>2.2344451230867837E-2</v>
      </c>
      <c r="Y2099">
        <v>5.0828439031715845E-3</v>
      </c>
    </row>
    <row r="2100" spans="1:25" x14ac:dyDescent="0.25">
      <c r="A2100" s="881"/>
      <c r="B2100" s="1131">
        <v>1850</v>
      </c>
      <c r="C2100" s="885">
        <v>1.0409920023228181</v>
      </c>
      <c r="D2100" s="885">
        <v>0.9592365784270529</v>
      </c>
      <c r="E2100" s="885">
        <v>1.0321246239210935</v>
      </c>
      <c r="F2100" s="885">
        <v>1.0323277716617871</v>
      </c>
      <c r="G2100" s="885">
        <v>0.9944495660503696</v>
      </c>
      <c r="H2100" s="885">
        <v>1.0031652733589307</v>
      </c>
      <c r="I2100" s="885">
        <v>1.0125475386048843</v>
      </c>
      <c r="K2100">
        <v>1.9359783023828625</v>
      </c>
      <c r="L2100">
        <v>0</v>
      </c>
      <c r="M2100">
        <v>1.7955236849003964E-3</v>
      </c>
      <c r="N2100">
        <v>0.19990225519044375</v>
      </c>
      <c r="O2100">
        <v>2.4662867894438667E-2</v>
      </c>
      <c r="P2100">
        <v>2.154754088356264E-2</v>
      </c>
      <c r="Q2100">
        <v>2.9828331149933437E-3</v>
      </c>
      <c r="R2100">
        <v>1.7848705365657333E-3</v>
      </c>
      <c r="S2100">
        <v>0.20440359786313314</v>
      </c>
      <c r="T2100">
        <v>1.0554415847410328</v>
      </c>
      <c r="U2100">
        <v>3.5850717889899471E-2</v>
      </c>
      <c r="V2100">
        <v>0.24732371153671004</v>
      </c>
      <c r="W2100">
        <v>0.11692124322230817</v>
      </c>
      <c r="X2100">
        <v>2.2094773976555102E-2</v>
      </c>
      <c r="Y2100">
        <v>4.8578292181176768E-3</v>
      </c>
    </row>
    <row r="2101" spans="1:25" x14ac:dyDescent="0.25">
      <c r="A2101" s="881"/>
      <c r="B2101" s="1131">
        <v>1851</v>
      </c>
      <c r="C2101" s="885">
        <v>0.99898700580680477</v>
      </c>
      <c r="D2101" s="885">
        <v>1.0247938266901935</v>
      </c>
      <c r="E2101" s="885">
        <v>0.98695757633194992</v>
      </c>
      <c r="F2101" s="885">
        <v>1.0078155547121928</v>
      </c>
      <c r="G2101" s="885">
        <v>0.97180139331090931</v>
      </c>
      <c r="H2101" s="885">
        <v>0.99157393471733624</v>
      </c>
      <c r="I2101" s="885">
        <v>1.0155800509628279</v>
      </c>
      <c r="K2101">
        <v>1.9270102860833231</v>
      </c>
      <c r="L2101">
        <v>0</v>
      </c>
      <c r="M2101">
        <v>1.9687211509350068E-3</v>
      </c>
      <c r="N2101">
        <v>0.19045153784932475</v>
      </c>
      <c r="O2101">
        <v>2.4871535712075444E-2</v>
      </c>
      <c r="P2101">
        <v>2.0905576275854675E-2</v>
      </c>
      <c r="Q2101">
        <v>2.8885677809844853E-3</v>
      </c>
      <c r="R2101">
        <v>1.95684938105969E-3</v>
      </c>
      <c r="S2101">
        <v>0.2060631042497589</v>
      </c>
      <c r="T2101">
        <v>1.0595736804074913</v>
      </c>
      <c r="U2101">
        <v>3.7358154194184055E-2</v>
      </c>
      <c r="V2101">
        <v>0.24493728483927113</v>
      </c>
      <c r="W2101">
        <v>0.11486663943380505</v>
      </c>
      <c r="X2101">
        <v>1.9780178170429309E-2</v>
      </c>
      <c r="Y2101">
        <v>5.3258989400193782E-3</v>
      </c>
    </row>
    <row r="2102" spans="1:25" x14ac:dyDescent="0.25">
      <c r="A2102" s="881"/>
      <c r="B2102" s="1131">
        <v>1852</v>
      </c>
      <c r="C2102" s="885">
        <v>0.99389555579614586</v>
      </c>
      <c r="D2102" s="885">
        <v>1.0260523132767987</v>
      </c>
      <c r="E2102" s="885">
        <v>0.97458871629982646</v>
      </c>
      <c r="F2102" s="885">
        <v>1.0282191409415637</v>
      </c>
      <c r="G2102" s="885">
        <v>0.99942521792532713</v>
      </c>
      <c r="H2102" s="885">
        <v>1.041473777503225</v>
      </c>
      <c r="I2102" s="885">
        <v>1.0038575786363189</v>
      </c>
      <c r="K2102">
        <v>1.9466079090656481</v>
      </c>
      <c r="L2102">
        <v>0</v>
      </c>
      <c r="M2102">
        <v>2.1317792616706585E-3</v>
      </c>
      <c r="N2102">
        <v>0.1984872620563434</v>
      </c>
      <c r="O2102">
        <v>2.4983816002862182E-2</v>
      </c>
      <c r="P2102">
        <v>2.0783508577693222E-2</v>
      </c>
      <c r="Q2102">
        <v>2.8656160484119941E-3</v>
      </c>
      <c r="R2102">
        <v>2.1195391103843151E-3</v>
      </c>
      <c r="S2102">
        <v>0.20964926495270908</v>
      </c>
      <c r="T2102">
        <v>1.0607190953977952</v>
      </c>
      <c r="U2102">
        <v>3.754952960929786E-2</v>
      </c>
      <c r="V2102">
        <v>0.24549499725320431</v>
      </c>
      <c r="W2102">
        <v>0.1207445273777292</v>
      </c>
      <c r="X2102">
        <v>1.9573845188298938E-2</v>
      </c>
      <c r="Y2102">
        <v>5.7686867525861482E-3</v>
      </c>
    </row>
    <row r="2103" spans="1:25" x14ac:dyDescent="0.25">
      <c r="A2103" s="881"/>
      <c r="B2103" s="1131">
        <v>1853</v>
      </c>
      <c r="C2103" s="885">
        <v>1.0141134790306574</v>
      </c>
      <c r="D2103" s="885">
        <v>1.0116644100772549</v>
      </c>
      <c r="E2103" s="885">
        <v>1.0154113630465069</v>
      </c>
      <c r="F2103" s="885">
        <v>0.96539410715690666</v>
      </c>
      <c r="G2103" s="885">
        <v>1.0120125916811544</v>
      </c>
      <c r="H2103" s="885">
        <v>0.9913102476141199</v>
      </c>
      <c r="I2103" s="885">
        <v>0.95764379413299427</v>
      </c>
      <c r="K2103">
        <v>1.9145506262227983</v>
      </c>
      <c r="L2103">
        <v>0</v>
      </c>
      <c r="M2103">
        <v>1.837707858851704E-3</v>
      </c>
      <c r="N2103">
        <v>0.19423166296762853</v>
      </c>
      <c r="O2103">
        <v>2.4657041018809403E-2</v>
      </c>
      <c r="P2103">
        <v>2.1115964282352143E-2</v>
      </c>
      <c r="Q2103">
        <v>2.9440623197416432E-3</v>
      </c>
      <c r="R2103">
        <v>1.8266329984493036E-3</v>
      </c>
      <c r="S2103">
        <v>0.19251742249141202</v>
      </c>
      <c r="T2103">
        <v>1.0569613112657055</v>
      </c>
      <c r="U2103">
        <v>3.6800921566085082E-2</v>
      </c>
      <c r="V2103">
        <v>0.24442319866152809</v>
      </c>
      <c r="W2103">
        <v>0.11488964008147215</v>
      </c>
      <c r="X2103">
        <v>2.1048983556092454E-2</v>
      </c>
      <c r="Y2103">
        <v>4.9714928723728971E-3</v>
      </c>
    </row>
    <row r="2104" spans="1:25" x14ac:dyDescent="0.25">
      <c r="A2104" s="881"/>
      <c r="B2104" s="1131">
        <v>1854</v>
      </c>
      <c r="C2104" s="885">
        <v>0.97345720819087944</v>
      </c>
      <c r="D2104" s="885">
        <v>1.0166861700269001</v>
      </c>
      <c r="E2104" s="885">
        <v>0.9940702299099673</v>
      </c>
      <c r="F2104" s="885">
        <v>0.95655425348158751</v>
      </c>
      <c r="G2104" s="885">
        <v>0.987260804812085</v>
      </c>
      <c r="H2104" s="885">
        <v>0.99092484933041636</v>
      </c>
      <c r="I2104" s="885">
        <v>1.0103984837325712</v>
      </c>
      <c r="K2104">
        <v>1.9496728664613663</v>
      </c>
      <c r="L2104">
        <v>0</v>
      </c>
      <c r="M2104">
        <v>1.9968639486421303E-3</v>
      </c>
      <c r="N2104">
        <v>0.19749922779000964</v>
      </c>
      <c r="O2104">
        <v>2.5624078849490511E-2</v>
      </c>
      <c r="P2104">
        <v>2.1153244120531284E-2</v>
      </c>
      <c r="Q2104">
        <v>2.9957892987904568E-3</v>
      </c>
      <c r="R2104">
        <v>1.9848211552732321E-3</v>
      </c>
      <c r="S2104">
        <v>0.21108674663417298</v>
      </c>
      <c r="T2104">
        <v>1.0589177052429524</v>
      </c>
      <c r="U2104">
        <v>3.8337905648954798E-2</v>
      </c>
      <c r="V2104">
        <v>0.24955791863470214</v>
      </c>
      <c r="W2104">
        <v>0.11853515028212107</v>
      </c>
      <c r="X2104">
        <v>2.0575113864474314E-2</v>
      </c>
      <c r="Y2104">
        <v>5.4020288885357481E-3</v>
      </c>
    </row>
    <row r="2105" spans="1:25" x14ac:dyDescent="0.25">
      <c r="A2105" s="881"/>
      <c r="B2105" s="1131">
        <v>1855</v>
      </c>
      <c r="C2105" s="885">
        <v>0.97956437464103963</v>
      </c>
      <c r="D2105" s="885">
        <v>1.0099950373950422</v>
      </c>
      <c r="E2105" s="885">
        <v>1.0035576560104851</v>
      </c>
      <c r="F2105" s="885">
        <v>0.96909136792838935</v>
      </c>
      <c r="G2105" s="885">
        <v>0.98984974688757132</v>
      </c>
      <c r="H2105" s="885">
        <v>0.97240160745925419</v>
      </c>
      <c r="I2105" s="885">
        <v>1.0333536972479604</v>
      </c>
      <c r="K2105">
        <v>1.9461661527893168</v>
      </c>
      <c r="L2105">
        <v>0</v>
      </c>
      <c r="M2105">
        <v>1.9150382559236041E-3</v>
      </c>
      <c r="N2105">
        <v>0.19505871349479165</v>
      </c>
      <c r="O2105">
        <v>2.5547536419071846E-2</v>
      </c>
      <c r="P2105">
        <v>2.1316848408725553E-2</v>
      </c>
      <c r="Q2105">
        <v>3.0141002103841485E-3</v>
      </c>
      <c r="R2105">
        <v>1.9032742914444382E-3</v>
      </c>
      <c r="S2105">
        <v>0.2132185190541156</v>
      </c>
      <c r="T2105">
        <v>1.0580457773697884</v>
      </c>
      <c r="U2105">
        <v>3.8098885144320346E-2</v>
      </c>
      <c r="V2105">
        <v>0.24949692026905396</v>
      </c>
      <c r="W2105">
        <v>0.11631225124972272</v>
      </c>
      <c r="X2105">
        <v>2.0888279926708504E-2</v>
      </c>
      <c r="Y2105">
        <v>5.1800852071102075E-3</v>
      </c>
    </row>
    <row r="2106" spans="1:25" x14ac:dyDescent="0.25">
      <c r="A2106" s="881"/>
      <c r="B2106" s="1131">
        <v>1856</v>
      </c>
      <c r="C2106" s="885">
        <v>1.0080754596094579</v>
      </c>
      <c r="D2106" s="885">
        <v>1.0120186400360245</v>
      </c>
      <c r="E2106" s="885">
        <v>1.018554221200719</v>
      </c>
      <c r="F2106" s="885">
        <v>0.99475464918324741</v>
      </c>
      <c r="G2106" s="885">
        <v>0.98919036086684275</v>
      </c>
      <c r="H2106" s="885">
        <v>0.97912427235924382</v>
      </c>
      <c r="I2106" s="885">
        <v>0.98852708761713071</v>
      </c>
      <c r="K2106">
        <v>1.9205304709841644</v>
      </c>
      <c r="L2106">
        <v>0</v>
      </c>
      <c r="M2106">
        <v>1.8135988077935339E-3</v>
      </c>
      <c r="N2106">
        <v>0.19354994032896328</v>
      </c>
      <c r="O2106">
        <v>2.4800437040338033E-2</v>
      </c>
      <c r="P2106">
        <v>2.1260111353543276E-2</v>
      </c>
      <c r="Q2106">
        <v>2.970537977001194E-3</v>
      </c>
      <c r="R2106">
        <v>1.8025329452886429E-3</v>
      </c>
      <c r="S2106">
        <v>0.19868202027255688</v>
      </c>
      <c r="T2106">
        <v>1.0566746991600047</v>
      </c>
      <c r="U2106">
        <v>3.7021346214870979E-2</v>
      </c>
      <c r="V2106">
        <v>0.24521286226205385</v>
      </c>
      <c r="W2106">
        <v>0.11424334939374078</v>
      </c>
      <c r="X2106">
        <v>2.1220332371343281E-2</v>
      </c>
      <c r="Y2106">
        <v>4.9059004722499669E-3</v>
      </c>
    </row>
    <row r="2107" spans="1:25" x14ac:dyDescent="0.25">
      <c r="A2107" s="881"/>
      <c r="B2107" s="1131">
        <v>1857</v>
      </c>
      <c r="C2107" s="885">
        <v>1.0274045726552048</v>
      </c>
      <c r="D2107" s="885">
        <v>0.9842257580150986</v>
      </c>
      <c r="E2107" s="885">
        <v>0.975568487218886</v>
      </c>
      <c r="F2107" s="885">
        <v>0.97981546968455979</v>
      </c>
      <c r="G2107" s="885">
        <v>0.99921214044448214</v>
      </c>
      <c r="H2107" s="885">
        <v>0.98290984279927829</v>
      </c>
      <c r="I2107" s="885">
        <v>0.97053656853296522</v>
      </c>
      <c r="K2107">
        <v>1.9072119249031629</v>
      </c>
      <c r="L2107">
        <v>0</v>
      </c>
      <c r="M2107">
        <v>1.9826569001540851E-3</v>
      </c>
      <c r="N2107">
        <v>0.18510681519686403</v>
      </c>
      <c r="O2107">
        <v>2.4671687188422622E-2</v>
      </c>
      <c r="P2107">
        <v>2.0581217660097028E-2</v>
      </c>
      <c r="Q2107">
        <v>2.824453632654295E-3</v>
      </c>
      <c r="R2107">
        <v>1.9706293554401454E-3</v>
      </c>
      <c r="S2107">
        <v>0.19422221836535564</v>
      </c>
      <c r="T2107">
        <v>1.0606281476452608</v>
      </c>
      <c r="U2107">
        <v>3.6324843780349371E-2</v>
      </c>
      <c r="V2107">
        <v>0.24597968366322084</v>
      </c>
      <c r="W2107">
        <v>0.11252808918292917</v>
      </c>
      <c r="X2107">
        <v>1.8993392645005908E-2</v>
      </c>
      <c r="Y2107">
        <v>5.3634034877156449E-3</v>
      </c>
    </row>
    <row r="2108" spans="1:25" x14ac:dyDescent="0.25">
      <c r="A2108" s="881"/>
      <c r="B2108" s="1131">
        <v>1858</v>
      </c>
      <c r="C2108" s="885">
        <v>0.98601791857940679</v>
      </c>
      <c r="D2108" s="885">
        <v>1.0111945693311049</v>
      </c>
      <c r="E2108" s="885">
        <v>0.99493672184310467</v>
      </c>
      <c r="F2108" s="885">
        <v>0.99123423809642208</v>
      </c>
      <c r="G2108" s="885">
        <v>0.99941183795456934</v>
      </c>
      <c r="H2108" s="885">
        <v>1.0251217879374754</v>
      </c>
      <c r="I2108" s="885">
        <v>1.0111332111518585</v>
      </c>
      <c r="K2108">
        <v>1.9573781967647077</v>
      </c>
      <c r="L2108">
        <v>0</v>
      </c>
      <c r="M2108">
        <v>2.0411954101023314E-3</v>
      </c>
      <c r="N2108">
        <v>0.20247041806670107</v>
      </c>
      <c r="O2108">
        <v>2.5365440585739973E-2</v>
      </c>
      <c r="P2108">
        <v>2.1164265170722382E-2</v>
      </c>
      <c r="Q2108">
        <v>2.9670294054907858E-3</v>
      </c>
      <c r="R2108">
        <v>2.0293003513131799E-3</v>
      </c>
      <c r="S2108">
        <v>0.21259662875588614</v>
      </c>
      <c r="T2108">
        <v>1.0588379261608369</v>
      </c>
      <c r="U2108">
        <v>3.7849525751708087E-2</v>
      </c>
      <c r="V2108">
        <v>0.24841537555919452</v>
      </c>
      <c r="W2108">
        <v>0.12144645795754394</v>
      </c>
      <c r="X2108">
        <v>2.075393781208066E-2</v>
      </c>
      <c r="Y2108">
        <v>5.5230865975934513E-3</v>
      </c>
    </row>
    <row r="2109" spans="1:25" x14ac:dyDescent="0.25">
      <c r="A2109" s="881"/>
      <c r="B2109" s="1131">
        <v>1859</v>
      </c>
      <c r="C2109" s="885">
        <v>1.0168998553450328</v>
      </c>
      <c r="D2109" s="885">
        <v>0.997072821960168</v>
      </c>
      <c r="E2109" s="885">
        <v>0.96528232726236884</v>
      </c>
      <c r="F2109" s="885">
        <v>1.0129158383094081</v>
      </c>
      <c r="G2109" s="885">
        <v>1.0115773325794903</v>
      </c>
      <c r="H2109" s="885">
        <v>0.98216481648232101</v>
      </c>
      <c r="I2109" s="885">
        <v>1.0172109673493419</v>
      </c>
      <c r="K2109">
        <v>1.9169157452665513</v>
      </c>
      <c r="L2109">
        <v>0</v>
      </c>
      <c r="M2109">
        <v>2.032151968253155E-3</v>
      </c>
      <c r="N2109">
        <v>0.18373761722246254</v>
      </c>
      <c r="O2109">
        <v>2.4766843285492949E-2</v>
      </c>
      <c r="P2109">
        <v>2.0569981267003126E-2</v>
      </c>
      <c r="Q2109">
        <v>2.8082497817692093E-3</v>
      </c>
      <c r="R2109">
        <v>2.0198036787178481E-3</v>
      </c>
      <c r="S2109">
        <v>0.20436825210206336</v>
      </c>
      <c r="T2109">
        <v>1.0615848182780767</v>
      </c>
      <c r="U2109">
        <v>3.6700084482020306E-2</v>
      </c>
      <c r="V2109">
        <v>0.24581696888062177</v>
      </c>
      <c r="W2109">
        <v>0.11250124344133923</v>
      </c>
      <c r="X2109">
        <v>1.8576795029868514E-2</v>
      </c>
      <c r="Y2109">
        <v>5.4972397853662392E-3</v>
      </c>
    </row>
    <row r="2110" spans="1:25" x14ac:dyDescent="0.25">
      <c r="A2110" s="881"/>
      <c r="B2110" s="1131">
        <v>1860</v>
      </c>
      <c r="C2110" s="885">
        <v>0.95324704890073819</v>
      </c>
      <c r="D2110" s="885">
        <v>0.98739220946052819</v>
      </c>
      <c r="E2110" s="885">
        <v>1.032133636849089</v>
      </c>
      <c r="F2110" s="885">
        <v>1.0065979179100031</v>
      </c>
      <c r="G2110" s="885">
        <v>1.013775952536802</v>
      </c>
      <c r="H2110" s="885">
        <v>0.97778203080726722</v>
      </c>
      <c r="I2110" s="885">
        <v>1.0073631691802869</v>
      </c>
      <c r="K2110">
        <v>1.9795690986465153</v>
      </c>
      <c r="L2110">
        <v>0</v>
      </c>
      <c r="M2110">
        <v>1.8838968961173267E-3</v>
      </c>
      <c r="N2110">
        <v>0.20971192968316249</v>
      </c>
      <c r="O2110">
        <v>2.6548684686151531E-2</v>
      </c>
      <c r="P2110">
        <v>2.1888086739453517E-2</v>
      </c>
      <c r="Q2110">
        <v>3.2175001828990153E-3</v>
      </c>
      <c r="R2110">
        <v>1.8724059589550947E-3</v>
      </c>
      <c r="S2110">
        <v>0.21640221318108518</v>
      </c>
      <c r="T2110">
        <v>1.0554407681500528</v>
      </c>
      <c r="U2110">
        <v>3.9150722411313843E-2</v>
      </c>
      <c r="V2110">
        <v>0.25638601946670547</v>
      </c>
      <c r="W2110">
        <v>0.12265810428235557</v>
      </c>
      <c r="X2110">
        <v>2.3080489018676462E-2</v>
      </c>
      <c r="Y2110">
        <v>5.0960717818172843E-3</v>
      </c>
    </row>
    <row r="2111" spans="1:25" x14ac:dyDescent="0.25">
      <c r="A2111" s="881"/>
      <c r="B2111" s="1131">
        <v>1861</v>
      </c>
      <c r="C2111" s="885">
        <v>0.99669923103165381</v>
      </c>
      <c r="D2111" s="885">
        <v>0.95915812433079961</v>
      </c>
      <c r="E2111" s="885">
        <v>1.016268290021858</v>
      </c>
      <c r="F2111" s="885">
        <v>1.0050006046991478</v>
      </c>
      <c r="G2111" s="885">
        <v>0.9858634924875741</v>
      </c>
      <c r="H2111" s="885">
        <v>1.0344817244013982</v>
      </c>
      <c r="I2111" s="885">
        <v>1.0079390537515602</v>
      </c>
      <c r="K2111">
        <v>1.979075823706111</v>
      </c>
      <c r="L2111">
        <v>0</v>
      </c>
      <c r="M2111">
        <v>1.9998524089056171E-3</v>
      </c>
      <c r="N2111">
        <v>0.21199089333596011</v>
      </c>
      <c r="O2111">
        <v>2.5759921253197395E-2</v>
      </c>
      <c r="P2111">
        <v>2.1585098360317505E-2</v>
      </c>
      <c r="Q2111">
        <v>3.0668825885874331E-3</v>
      </c>
      <c r="R2111">
        <v>1.9883462082941838E-3</v>
      </c>
      <c r="S2111">
        <v>0.21579548114782712</v>
      </c>
      <c r="T2111">
        <v>1.0568831257695199</v>
      </c>
      <c r="U2111">
        <v>3.7443904278212183E-2</v>
      </c>
      <c r="V2111">
        <v>0.25357899567840908</v>
      </c>
      <c r="W2111">
        <v>0.12532167589852311</v>
      </c>
      <c r="X2111">
        <v>2.2249728675341102E-2</v>
      </c>
      <c r="Y2111">
        <v>5.4116229208253635E-3</v>
      </c>
    </row>
    <row r="2112" spans="1:25" x14ac:dyDescent="0.25">
      <c r="A2112" s="881"/>
      <c r="B2112" s="1131">
        <v>1862</v>
      </c>
      <c r="C2112" s="885">
        <v>0.9868419519169257</v>
      </c>
      <c r="D2112" s="885">
        <v>0.9789887737126205</v>
      </c>
      <c r="E2112" s="885">
        <v>0.99955160038146817</v>
      </c>
      <c r="F2112" s="885">
        <v>1.004607489153442</v>
      </c>
      <c r="G2112" s="885">
        <v>0.99516686202198623</v>
      </c>
      <c r="H2112" s="885">
        <v>1.0073995662201427</v>
      </c>
      <c r="I2112" s="885">
        <v>0.99988816484702503</v>
      </c>
      <c r="K2112">
        <v>1.9608319321210592</v>
      </c>
      <c r="L2112">
        <v>0</v>
      </c>
      <c r="M2112">
        <v>2.0169088126351206E-3</v>
      </c>
      <c r="N2112">
        <v>0.20293684479849589</v>
      </c>
      <c r="O2112">
        <v>2.5753875672693487E-2</v>
      </c>
      <c r="P2112">
        <v>2.1268720804022222E-2</v>
      </c>
      <c r="Q2112">
        <v>3.0196569155379644E-3</v>
      </c>
      <c r="R2112">
        <v>2.004975370486683E-3</v>
      </c>
      <c r="S2112">
        <v>0.21137022217754506</v>
      </c>
      <c r="T2112">
        <v>1.0584135203762191</v>
      </c>
      <c r="U2112">
        <v>3.7817920618821207E-2</v>
      </c>
      <c r="V2112">
        <v>0.25238872522342359</v>
      </c>
      <c r="W2112">
        <v>0.12134172567202661</v>
      </c>
      <c r="X2112">
        <v>2.1075771285911253E-2</v>
      </c>
      <c r="Y2112">
        <v>5.4568820185115028E-3</v>
      </c>
    </row>
    <row r="2113" spans="1:25" x14ac:dyDescent="0.25">
      <c r="A2113" s="881"/>
      <c r="B2113" s="1131">
        <v>1863</v>
      </c>
      <c r="C2113" s="885">
        <v>0.96166680766941759</v>
      </c>
      <c r="D2113" s="885">
        <v>1.0020822831171128</v>
      </c>
      <c r="E2113" s="885">
        <v>0.98809558393944108</v>
      </c>
      <c r="F2113" s="885">
        <v>1.0240142823299681</v>
      </c>
      <c r="G2113" s="885">
        <v>0.99283162936164426</v>
      </c>
      <c r="H2113" s="885">
        <v>0.98009872225089789</v>
      </c>
      <c r="I2113" s="885">
        <v>1.0264931692882364</v>
      </c>
      <c r="K2113">
        <v>1.9623769667687423</v>
      </c>
      <c r="L2113">
        <v>0</v>
      </c>
      <c r="M2113">
        <v>2.0390614075170422E-3</v>
      </c>
      <c r="N2113">
        <v>0.19794424174974784</v>
      </c>
      <c r="O2113">
        <v>2.6124428550674247E-2</v>
      </c>
      <c r="P2113">
        <v>2.1205745472229361E-2</v>
      </c>
      <c r="Q2113">
        <v>3.0328605774193112E-3</v>
      </c>
      <c r="R2113">
        <v>2.0266407002912617E-3</v>
      </c>
      <c r="S2113">
        <v>0.2173542887336555</v>
      </c>
      <c r="T2113">
        <v>1.0594685938032342</v>
      </c>
      <c r="U2113">
        <v>3.8807942941653552E-2</v>
      </c>
      <c r="V2113">
        <v>0.25316414935354148</v>
      </c>
      <c r="W2113">
        <v>0.11929195830980578</v>
      </c>
      <c r="X2113">
        <v>2.0479330079740961E-2</v>
      </c>
      <c r="Y2113">
        <v>5.515847904265514E-3</v>
      </c>
    </row>
    <row r="2114" spans="1:25" x14ac:dyDescent="0.25">
      <c r="A2114" s="881"/>
      <c r="B2114" s="1131">
        <v>1864</v>
      </c>
      <c r="C2114" s="885">
        <v>1.0009087780759951</v>
      </c>
      <c r="D2114" s="885">
        <v>1.0219245521698446</v>
      </c>
      <c r="E2114" s="885">
        <v>1.0075435079504518</v>
      </c>
      <c r="F2114" s="885">
        <v>0.98158781979820275</v>
      </c>
      <c r="G2114" s="885">
        <v>1.0152390999122556</v>
      </c>
      <c r="H2114" s="885">
        <v>0.96566506769608895</v>
      </c>
      <c r="I2114" s="885">
        <v>0.9730626377471957</v>
      </c>
      <c r="K2114">
        <v>1.9108889929524615</v>
      </c>
      <c r="L2114">
        <v>0</v>
      </c>
      <c r="M2114">
        <v>1.8349810880651479E-3</v>
      </c>
      <c r="N2114">
        <v>0.18922643468413133</v>
      </c>
      <c r="O2114">
        <v>2.4858147493411878E-2</v>
      </c>
      <c r="P2114">
        <v>2.1049399437735952E-2</v>
      </c>
      <c r="Q2114">
        <v>2.9468981024293314E-3</v>
      </c>
      <c r="R2114">
        <v>1.8236210990334625E-3</v>
      </c>
      <c r="S2114">
        <v>0.19478815460270973</v>
      </c>
      <c r="T2114">
        <v>1.0576805098720756</v>
      </c>
      <c r="U2114">
        <v>3.7286425514876764E-2</v>
      </c>
      <c r="V2114">
        <v>0.24501400865168971</v>
      </c>
      <c r="W2114">
        <v>0.11252837476767531</v>
      </c>
      <c r="X2114">
        <v>2.0558704339720315E-2</v>
      </c>
      <c r="Y2114">
        <v>4.9632954750353517E-3</v>
      </c>
    </row>
    <row r="2115" spans="1:25" x14ac:dyDescent="0.25">
      <c r="A2115" s="881"/>
      <c r="B2115" s="1131">
        <v>1865</v>
      </c>
      <c r="C2115" s="885">
        <v>1.0261429616102768</v>
      </c>
      <c r="D2115" s="885">
        <v>0.99581034192069862</v>
      </c>
      <c r="E2115" s="885">
        <v>1.011160838362031</v>
      </c>
      <c r="F2115" s="885">
        <v>0.98248971432563537</v>
      </c>
      <c r="G2115" s="885">
        <v>0.99498090174329068</v>
      </c>
      <c r="H2115" s="885">
        <v>1.0025771150556979</v>
      </c>
      <c r="I2115" s="885">
        <v>1.013379771992627</v>
      </c>
      <c r="K2115">
        <v>1.9274471674987377</v>
      </c>
      <c r="L2115">
        <v>0</v>
      </c>
      <c r="M2115">
        <v>1.8678833816395651E-3</v>
      </c>
      <c r="N2115">
        <v>0.1948445876808173</v>
      </c>
      <c r="O2115">
        <v>2.455915797536266E-2</v>
      </c>
      <c r="P2115">
        <v>2.1210379086241873E-2</v>
      </c>
      <c r="Q2115">
        <v>2.9167560955452526E-3</v>
      </c>
      <c r="R2115">
        <v>1.8567653277032719E-3</v>
      </c>
      <c r="S2115">
        <v>0.20392622072581043</v>
      </c>
      <c r="T2115">
        <v>1.0573495505146817</v>
      </c>
      <c r="U2115">
        <v>3.6369504052682855E-2</v>
      </c>
      <c r="V2115">
        <v>0.24472122800428336</v>
      </c>
      <c r="W2115">
        <v>0.11558477720415776</v>
      </c>
      <c r="X2115">
        <v>2.0922621073605843E-2</v>
      </c>
      <c r="Y2115">
        <v>5.0535031394825305E-3</v>
      </c>
    </row>
    <row r="2116" spans="1:25" x14ac:dyDescent="0.25">
      <c r="A2116" s="881"/>
      <c r="B2116" s="1131">
        <v>1866</v>
      </c>
      <c r="C2116" s="885">
        <v>1.0243798570169007</v>
      </c>
      <c r="D2116" s="885">
        <v>0.97317736731282301</v>
      </c>
      <c r="E2116" s="885">
        <v>0.9888230662504367</v>
      </c>
      <c r="F2116" s="885">
        <v>1.0247221407852274</v>
      </c>
      <c r="G2116" s="885">
        <v>0.97869482699695654</v>
      </c>
      <c r="H2116" s="885">
        <v>0.96320337402197576</v>
      </c>
      <c r="I2116" s="885">
        <v>1.0067693008773417</v>
      </c>
      <c r="K2116">
        <v>1.9153063939702755</v>
      </c>
      <c r="L2116">
        <v>0</v>
      </c>
      <c r="M2116">
        <v>1.9057923562892422E-3</v>
      </c>
      <c r="N2116">
        <v>0.1854089722932705</v>
      </c>
      <c r="O2116">
        <v>2.488360915411774E-2</v>
      </c>
      <c r="P2116">
        <v>2.0892088113471156E-2</v>
      </c>
      <c r="Q2116">
        <v>2.8850119475491405E-3</v>
      </c>
      <c r="R2116">
        <v>1.8940038786315087E-3</v>
      </c>
      <c r="S2116">
        <v>0.20113393020702608</v>
      </c>
      <c r="T2116">
        <v>1.059401442545725</v>
      </c>
      <c r="U2116">
        <v>3.6432101183244185E-2</v>
      </c>
      <c r="V2116">
        <v>0.24779246176397482</v>
      </c>
      <c r="W2116">
        <v>0.11168146703098666</v>
      </c>
      <c r="X2116">
        <v>1.9652244009141739E-2</v>
      </c>
      <c r="Y2116">
        <v>5.1548541994241763E-3</v>
      </c>
    </row>
    <row r="2117" spans="1:25" x14ac:dyDescent="0.25">
      <c r="A2117" s="881"/>
      <c r="B2117" s="1131">
        <v>1867</v>
      </c>
      <c r="C2117" s="885">
        <v>1.0084416901715498</v>
      </c>
      <c r="D2117" s="885">
        <v>1.0025551522960723</v>
      </c>
      <c r="E2117" s="885">
        <v>0.99124525514968065</v>
      </c>
      <c r="F2117" s="885">
        <v>1.0263144263756714</v>
      </c>
      <c r="G2117" s="885">
        <v>0.98415344089071999</v>
      </c>
      <c r="H2117" s="885">
        <v>0.97231610302641969</v>
      </c>
      <c r="I2117" s="885">
        <v>1.0175941279844707</v>
      </c>
      <c r="K2117">
        <v>1.9216852037377345</v>
      </c>
      <c r="L2117">
        <v>0</v>
      </c>
      <c r="M2117">
        <v>1.9158630335571164E-3</v>
      </c>
      <c r="N2117">
        <v>0.18780819254226006</v>
      </c>
      <c r="O2117">
        <v>2.490687539802602E-2</v>
      </c>
      <c r="P2117">
        <v>2.0962383201451936E-2</v>
      </c>
      <c r="Q2117">
        <v>2.9008283230337883E-3</v>
      </c>
      <c r="R2117">
        <v>1.904098979656635E-3</v>
      </c>
      <c r="S2117">
        <v>0.20463755988996715</v>
      </c>
      <c r="T2117">
        <v>1.0591780073220816</v>
      </c>
      <c r="U2117">
        <v>3.7007901363705194E-2</v>
      </c>
      <c r="V2117">
        <v>0.24630779107693707</v>
      </c>
      <c r="W2117">
        <v>0.11293799687471022</v>
      </c>
      <c r="X2117">
        <v>1.9867102062896137E-2</v>
      </c>
      <c r="Y2117">
        <v>5.1823297365654122E-3</v>
      </c>
    </row>
    <row r="2118" spans="1:25" x14ac:dyDescent="0.25">
      <c r="A2118" s="881"/>
      <c r="B2118" s="1131">
        <v>1868</v>
      </c>
      <c r="C2118" s="885">
        <v>1.0358276689540249</v>
      </c>
      <c r="D2118" s="885">
        <v>0.99220770540092795</v>
      </c>
      <c r="E2118" s="885">
        <v>0.98844430466857958</v>
      </c>
      <c r="F2118" s="885">
        <v>0.97132119598593436</v>
      </c>
      <c r="G2118" s="885">
        <v>0.99710309094652949</v>
      </c>
      <c r="H2118" s="885">
        <v>0.97867377278986278</v>
      </c>
      <c r="I2118" s="885">
        <v>0.979064245049313</v>
      </c>
      <c r="K2118">
        <v>1.9006358970171009</v>
      </c>
      <c r="L2118">
        <v>0</v>
      </c>
      <c r="M2118">
        <v>1.8982137069904889E-3</v>
      </c>
      <c r="N2118">
        <v>0.18447062015854762</v>
      </c>
      <c r="O2118">
        <v>2.4373259863835164E-2</v>
      </c>
      <c r="P2118">
        <v>2.0720763418067258E-2</v>
      </c>
      <c r="Q2118">
        <v>2.8286049724646736E-3</v>
      </c>
      <c r="R2118">
        <v>1.8866420753647028E-3</v>
      </c>
      <c r="S2118">
        <v>0.19320870833781636</v>
      </c>
      <c r="T2118">
        <v>1.0594364020893354</v>
      </c>
      <c r="U2118">
        <v>3.6029459068807147E-2</v>
      </c>
      <c r="V2118">
        <v>0.2438639820873223</v>
      </c>
      <c r="W2118">
        <v>0.11114527970545643</v>
      </c>
      <c r="X2118">
        <v>1.9435571149321578E-2</v>
      </c>
      <c r="Y2118">
        <v>5.1348177977497238E-3</v>
      </c>
    </row>
    <row r="2119" spans="1:25" x14ac:dyDescent="0.25">
      <c r="A2119" s="881"/>
      <c r="B2119" s="1131">
        <v>1869</v>
      </c>
      <c r="C2119" s="885">
        <v>0.97088765172072233</v>
      </c>
      <c r="D2119" s="885">
        <v>1.0080374482736392</v>
      </c>
      <c r="E2119" s="885">
        <v>0.98122878486004339</v>
      </c>
      <c r="F2119" s="885">
        <v>1.0155796035195759</v>
      </c>
      <c r="G2119" s="885">
        <v>0.98567086663335479</v>
      </c>
      <c r="H2119" s="885">
        <v>1.0062325054383128</v>
      </c>
      <c r="I2119" s="885">
        <v>0.9720135481388249</v>
      </c>
      <c r="K2119">
        <v>1.9510015659998814</v>
      </c>
      <c r="L2119">
        <v>0</v>
      </c>
      <c r="M2119">
        <v>2.0975289102421672E-3</v>
      </c>
      <c r="N2119">
        <v>0.19934256163477371</v>
      </c>
      <c r="O2119">
        <v>2.5800586691397617E-2</v>
      </c>
      <c r="P2119">
        <v>2.0917037277001064E-2</v>
      </c>
      <c r="Q2119">
        <v>2.9757123498256864E-3</v>
      </c>
      <c r="R2119">
        <v>2.0850787948841348E-3</v>
      </c>
      <c r="S2119">
        <v>0.20594819494622604</v>
      </c>
      <c r="T2119">
        <v>1.0601034558242848</v>
      </c>
      <c r="U2119">
        <v>3.8439370955819008E-2</v>
      </c>
      <c r="V2119">
        <v>0.25101656858914118</v>
      </c>
      <c r="W2119">
        <v>0.12070656839140669</v>
      </c>
      <c r="X2119">
        <v>2.0089062321729613E-2</v>
      </c>
      <c r="Y2119">
        <v>5.6748971336346102E-3</v>
      </c>
    </row>
    <row r="2120" spans="1:25" x14ac:dyDescent="0.25">
      <c r="A2120" s="881"/>
      <c r="B2120" s="1131">
        <v>1870</v>
      </c>
      <c r="C2120" s="885">
        <v>0.98319805702623664</v>
      </c>
      <c r="D2120" s="885">
        <v>1.0150066937538185</v>
      </c>
      <c r="E2120" s="885">
        <v>0.9980709210154326</v>
      </c>
      <c r="F2120" s="885">
        <v>1.0096028488332305</v>
      </c>
      <c r="G2120" s="885">
        <v>1.0318423755935375</v>
      </c>
      <c r="H2120" s="885">
        <v>1.0006217240434123</v>
      </c>
      <c r="I2120" s="885">
        <v>0.98189650358567726</v>
      </c>
      <c r="K2120">
        <v>1.9417946423939738</v>
      </c>
      <c r="L2120">
        <v>0</v>
      </c>
      <c r="M2120">
        <v>1.9813039240813052E-3</v>
      </c>
      <c r="N2120">
        <v>0.1984270695210969</v>
      </c>
      <c r="O2120">
        <v>2.539093851427237E-2</v>
      </c>
      <c r="P2120">
        <v>2.1096589397662822E-2</v>
      </c>
      <c r="Q2120">
        <v>2.980178866000896E-3</v>
      </c>
      <c r="R2120">
        <v>1.9694721126626295E-3</v>
      </c>
      <c r="S2120">
        <v>0.20422659687916239</v>
      </c>
      <c r="T2120">
        <v>1.0585496002223445</v>
      </c>
      <c r="U2120">
        <v>3.7958080098119032E-2</v>
      </c>
      <c r="V2120">
        <v>0.24835111525886386</v>
      </c>
      <c r="W2120">
        <v>0.1187655676768487</v>
      </c>
      <c r="X2120">
        <v>2.0700483916659115E-2</v>
      </c>
      <c r="Y2120">
        <v>5.3602538543602255E-3</v>
      </c>
    </row>
    <row r="2121" spans="1:25" x14ac:dyDescent="0.25">
      <c r="A2121" s="881"/>
      <c r="B2121" s="1131">
        <v>1871</v>
      </c>
      <c r="C2121" s="885">
        <v>0.9806576265298137</v>
      </c>
      <c r="D2121" s="885">
        <v>0.97922356899899221</v>
      </c>
      <c r="E2121" s="885">
        <v>1.0432288029364378</v>
      </c>
      <c r="F2121" s="885">
        <v>1.0251671725950198</v>
      </c>
      <c r="G2121" s="885">
        <v>1.0052912639296396</v>
      </c>
      <c r="H2121" s="885">
        <v>1.0056000052111158</v>
      </c>
      <c r="I2121" s="885">
        <v>1.0241607886256776</v>
      </c>
      <c r="K2121">
        <v>1.979536638122446</v>
      </c>
      <c r="L2121">
        <v>0</v>
      </c>
      <c r="M2121">
        <v>1.8471901948695338E-3</v>
      </c>
      <c r="N2121">
        <v>0.21286400284095744</v>
      </c>
      <c r="O2121">
        <v>2.5913202317413155E-2</v>
      </c>
      <c r="P2121">
        <v>2.2008317589152039E-2</v>
      </c>
      <c r="Q2121">
        <v>3.1731263762303581E-3</v>
      </c>
      <c r="R2121">
        <v>1.836241184687468E-3</v>
      </c>
      <c r="S2121">
        <v>0.21765038285378274</v>
      </c>
      <c r="T2121">
        <v>1.0544379355840405</v>
      </c>
      <c r="U2121">
        <v>3.8056411933469321E-2</v>
      </c>
      <c r="V2121">
        <v>0.25327595816068044</v>
      </c>
      <c r="W2121">
        <v>0.12358433792479653</v>
      </c>
      <c r="X2121">
        <v>2.3586268364129217E-2</v>
      </c>
      <c r="Y2121">
        <v>4.9976431879754386E-3</v>
      </c>
    </row>
    <row r="2122" spans="1:25" x14ac:dyDescent="0.25">
      <c r="A2122" s="881"/>
      <c r="B2122" s="1131">
        <v>1872</v>
      </c>
      <c r="C2122" s="885">
        <v>1.0146043270537459</v>
      </c>
      <c r="D2122" s="885">
        <v>1.0030973966799848</v>
      </c>
      <c r="E2122" s="885">
        <v>1.0077599010282854</v>
      </c>
      <c r="F2122" s="885">
        <v>1.0142484801651452</v>
      </c>
      <c r="G2122" s="885">
        <v>0.97038562536381656</v>
      </c>
      <c r="H2122" s="885">
        <v>0.9789966412081984</v>
      </c>
      <c r="I2122" s="885">
        <v>1.0218552780784638</v>
      </c>
      <c r="K2122">
        <v>1.9239007576938341</v>
      </c>
      <c r="L2122">
        <v>0</v>
      </c>
      <c r="M2122">
        <v>1.8512844712711292E-3</v>
      </c>
      <c r="N2122">
        <v>0.19105387040015531</v>
      </c>
      <c r="O2122">
        <v>2.4748970383243134E-2</v>
      </c>
      <c r="P2122">
        <v>2.1189312561253587E-2</v>
      </c>
      <c r="Q2122">
        <v>2.9308099239394466E-3</v>
      </c>
      <c r="R2122">
        <v>1.8399940996998117E-3</v>
      </c>
      <c r="S2122">
        <v>0.20487555581973244</v>
      </c>
      <c r="T2122">
        <v>1.0576606971249172</v>
      </c>
      <c r="U2122">
        <v>3.6783117916803373E-2</v>
      </c>
      <c r="V2122">
        <v>0.24539646513856503</v>
      </c>
      <c r="W2122">
        <v>0.11359837485516175</v>
      </c>
      <c r="X2122">
        <v>2.0667016556142705E-2</v>
      </c>
      <c r="Y2122">
        <v>5.007857385490937E-3</v>
      </c>
    </row>
    <row r="2123" spans="1:25" x14ac:dyDescent="0.25">
      <c r="A2123" s="881"/>
      <c r="B2123" s="1131">
        <v>1873</v>
      </c>
      <c r="C2123" s="885">
        <v>0.97886099814725813</v>
      </c>
      <c r="D2123" s="885">
        <v>1.0092497817214476</v>
      </c>
      <c r="E2123" s="885">
        <v>1.0315264469936638</v>
      </c>
      <c r="F2123" s="885">
        <v>1.0092770983533028</v>
      </c>
      <c r="G2123" s="885">
        <v>1.0084846309019393</v>
      </c>
      <c r="H2123" s="885">
        <v>0.99353124635939905</v>
      </c>
      <c r="I2123" s="885">
        <v>0.98800869593699414</v>
      </c>
      <c r="K2123">
        <v>1.952601392911461</v>
      </c>
      <c r="L2123">
        <v>0</v>
      </c>
      <c r="M2123">
        <v>1.8464392661793254E-3</v>
      </c>
      <c r="N2123">
        <v>0.20517329210436089</v>
      </c>
      <c r="O2123">
        <v>2.5575224627384312E-2</v>
      </c>
      <c r="P2123">
        <v>2.1629252776958863E-2</v>
      </c>
      <c r="Q2123">
        <v>3.1024011847371373E-3</v>
      </c>
      <c r="R2123">
        <v>1.835338491314434E-3</v>
      </c>
      <c r="S2123">
        <v>0.2062261482524731</v>
      </c>
      <c r="T2123">
        <v>1.0554957879905389</v>
      </c>
      <c r="U2123">
        <v>3.8126261718012089E-2</v>
      </c>
      <c r="V2123">
        <v>0.24969083706183723</v>
      </c>
      <c r="W2123">
        <v>0.12005228319054614</v>
      </c>
      <c r="X2123">
        <v>2.2545818425288969E-2</v>
      </c>
      <c r="Y2123">
        <v>4.9951863541868305E-3</v>
      </c>
    </row>
    <row r="2124" spans="1:25" x14ac:dyDescent="0.25">
      <c r="A2124" s="881"/>
      <c r="B2124" s="1131">
        <v>1874</v>
      </c>
      <c r="C2124" s="885">
        <v>0.98793481074372747</v>
      </c>
      <c r="D2124" s="885">
        <v>1.0129940824888359</v>
      </c>
      <c r="E2124" s="885">
        <v>0.99250508730817755</v>
      </c>
      <c r="F2124" s="885">
        <v>1.0294874985869016</v>
      </c>
      <c r="G2124" s="885">
        <v>0.98061034837033523</v>
      </c>
      <c r="H2124" s="885">
        <v>1.0037604296503804</v>
      </c>
      <c r="I2124" s="885">
        <v>0.98871338739600589</v>
      </c>
      <c r="K2124">
        <v>1.9406276552406576</v>
      </c>
      <c r="L2124">
        <v>0</v>
      </c>
      <c r="M2124">
        <v>2.0032549750783313E-3</v>
      </c>
      <c r="N2124">
        <v>0.19718402404220622</v>
      </c>
      <c r="O2124">
        <v>2.5293989880570897E-2</v>
      </c>
      <c r="P2124">
        <v>2.1019993793749962E-2</v>
      </c>
      <c r="Q2124">
        <v>2.9517876583816634E-3</v>
      </c>
      <c r="R2124">
        <v>1.9913311153466249E-3</v>
      </c>
      <c r="S2124">
        <v>0.2051605246848589</v>
      </c>
      <c r="T2124">
        <v>1.0590618840690467</v>
      </c>
      <c r="U2124">
        <v>3.7776086230650957E-2</v>
      </c>
      <c r="V2124">
        <v>0.24791406651914882</v>
      </c>
      <c r="W2124">
        <v>0.11847337650980259</v>
      </c>
      <c r="X2124">
        <v>2.038409885812455E-2</v>
      </c>
      <c r="Y2124">
        <v>5.4197468538477603E-3</v>
      </c>
    </row>
    <row r="2125" spans="1:25" x14ac:dyDescent="0.25">
      <c r="A2125" s="881"/>
      <c r="B2125" s="1131">
        <v>1875</v>
      </c>
      <c r="C2125" s="885">
        <v>0.97911817875705154</v>
      </c>
      <c r="D2125" s="885">
        <v>0.96230863362171382</v>
      </c>
      <c r="E2125" s="885">
        <v>1.0182262823661947</v>
      </c>
      <c r="F2125" s="885">
        <v>0.95539981646306593</v>
      </c>
      <c r="G2125" s="885">
        <v>0.96160871713827434</v>
      </c>
      <c r="H2125" s="885">
        <v>1.0050928560419718</v>
      </c>
      <c r="I2125" s="885">
        <v>1.0305534728906893</v>
      </c>
      <c r="K2125">
        <v>1.9838758200482578</v>
      </c>
      <c r="L2125">
        <v>0</v>
      </c>
      <c r="M2125">
        <v>1.966557038076514E-3</v>
      </c>
      <c r="N2125">
        <v>0.20969779308464076</v>
      </c>
      <c r="O2125">
        <v>2.6179699842628391E-2</v>
      </c>
      <c r="P2125">
        <v>2.1726359031709282E-2</v>
      </c>
      <c r="Q2125">
        <v>3.1236686940401838E-3</v>
      </c>
      <c r="R2125">
        <v>1.9549088703998902E-3</v>
      </c>
      <c r="S2125">
        <v>0.22106801246189561</v>
      </c>
      <c r="T2125">
        <v>1.0567045874169572</v>
      </c>
      <c r="U2125">
        <v>3.8116247262708763E-2</v>
      </c>
      <c r="V2125">
        <v>0.25577756645763844</v>
      </c>
      <c r="W2125">
        <v>0.12380208422783986</v>
      </c>
      <c r="X2125">
        <v>2.2370832226184467E-2</v>
      </c>
      <c r="Y2125">
        <v>5.3206175096925691E-3</v>
      </c>
    </row>
    <row r="2126" spans="1:25" x14ac:dyDescent="0.25">
      <c r="A2126" s="881"/>
      <c r="B2126" s="1131">
        <v>1876</v>
      </c>
      <c r="C2126" s="885">
        <v>0.98839086480981764</v>
      </c>
      <c r="D2126" s="885">
        <v>0.99556197228928789</v>
      </c>
      <c r="E2126" s="885">
        <v>0.99397452121002328</v>
      </c>
      <c r="F2126" s="885">
        <v>0.98782110943415624</v>
      </c>
      <c r="G2126" s="885">
        <v>0.9929685297869727</v>
      </c>
      <c r="H2126" s="885">
        <v>1.0108739288902038</v>
      </c>
      <c r="I2126" s="885">
        <v>1.0054828165598813</v>
      </c>
      <c r="K2126">
        <v>1.9542695218705501</v>
      </c>
      <c r="L2126">
        <v>0</v>
      </c>
      <c r="M2126">
        <v>2.0276193856370054E-3</v>
      </c>
      <c r="N2126">
        <v>0.20050708851355964</v>
      </c>
      <c r="O2126">
        <v>2.5500357938449767E-2</v>
      </c>
      <c r="P2126">
        <v>2.1148388065977155E-2</v>
      </c>
      <c r="Q2126">
        <v>2.9766884371921457E-3</v>
      </c>
      <c r="R2126">
        <v>2.0156498108357878E-3</v>
      </c>
      <c r="S2126">
        <v>0.21094556529994518</v>
      </c>
      <c r="T2126">
        <v>1.0589265190637625</v>
      </c>
      <c r="U2126">
        <v>3.7758655942351171E-2</v>
      </c>
      <c r="V2126">
        <v>0.25002392498619808</v>
      </c>
      <c r="W2126">
        <v>0.12034832318222649</v>
      </c>
      <c r="X2126">
        <v>2.066004568937703E-2</v>
      </c>
      <c r="Y2126">
        <v>5.485934326313449E-3</v>
      </c>
    </row>
    <row r="2127" spans="1:25" x14ac:dyDescent="0.25">
      <c r="A2127" s="881"/>
      <c r="B2127" s="1131">
        <v>1877</v>
      </c>
      <c r="C2127" s="885">
        <v>1.0245517561334267</v>
      </c>
      <c r="D2127" s="885">
        <v>0.97524581047594405</v>
      </c>
      <c r="E2127" s="885">
        <v>1.0068797956083488</v>
      </c>
      <c r="F2127" s="885">
        <v>0.98285879607456239</v>
      </c>
      <c r="G2127" s="885">
        <v>1.0189075840290576</v>
      </c>
      <c r="H2127" s="885">
        <v>0.97700016204655105</v>
      </c>
      <c r="I2127" s="885">
        <v>1.0175879349500512</v>
      </c>
      <c r="K2127">
        <v>1.9259099362763952</v>
      </c>
      <c r="L2127">
        <v>0</v>
      </c>
      <c r="M2127">
        <v>1.858714173692795E-3</v>
      </c>
      <c r="N2127">
        <v>0.19129630330783706</v>
      </c>
      <c r="O2127">
        <v>2.4853205844252862E-2</v>
      </c>
      <c r="P2127">
        <v>2.1194988257774886E-2</v>
      </c>
      <c r="Q2127">
        <v>2.9347672575271606E-3</v>
      </c>
      <c r="R2127">
        <v>1.8473775756975429E-3</v>
      </c>
      <c r="S2127">
        <v>0.20446675204318521</v>
      </c>
      <c r="T2127">
        <v>1.0577412901449981</v>
      </c>
      <c r="U2127">
        <v>3.6425988611605765E-2</v>
      </c>
      <c r="V2127">
        <v>0.24750318680215588</v>
      </c>
      <c r="W2127">
        <v>0.11381069039586757</v>
      </c>
      <c r="X2127">
        <v>2.0666147435989747E-2</v>
      </c>
      <c r="Y2127">
        <v>5.0279527731945514E-3</v>
      </c>
    </row>
    <row r="2128" spans="1:25" x14ac:dyDescent="0.25">
      <c r="A2128" s="881"/>
      <c r="B2128" s="1131">
        <v>1878</v>
      </c>
      <c r="C2128" s="885">
        <v>0.99583642070960776</v>
      </c>
      <c r="D2128" s="885">
        <v>1.0000024301692576</v>
      </c>
      <c r="E2128" s="885">
        <v>0.99430932007512796</v>
      </c>
      <c r="F2128" s="885">
        <v>1.006048549284527</v>
      </c>
      <c r="G2128" s="885">
        <v>0.97078263415486721</v>
      </c>
      <c r="H2128" s="885">
        <v>1.0109173836561312</v>
      </c>
      <c r="I2128" s="885">
        <v>0.99955107704602342</v>
      </c>
      <c r="K2128">
        <v>1.9455583026874033</v>
      </c>
      <c r="L2128">
        <v>0</v>
      </c>
      <c r="M2128">
        <v>2.006705802566552E-3</v>
      </c>
      <c r="N2128">
        <v>0.1986455649147886</v>
      </c>
      <c r="O2128">
        <v>2.5253989823075963E-2</v>
      </c>
      <c r="P2128">
        <v>2.1083365875279286E-2</v>
      </c>
      <c r="Q2128">
        <v>2.9498409489287273E-3</v>
      </c>
      <c r="R2128">
        <v>1.9948565382624057E-3</v>
      </c>
      <c r="S2128">
        <v>0.20771255841387229</v>
      </c>
      <c r="T2128">
        <v>1.0588956889702859</v>
      </c>
      <c r="U2128">
        <v>3.7476346340419381E-2</v>
      </c>
      <c r="V2128">
        <v>0.24839458144308785</v>
      </c>
      <c r="W2128">
        <v>0.1192035771755378</v>
      </c>
      <c r="X2128">
        <v>2.0525296153563011E-2</v>
      </c>
      <c r="Y2128">
        <v>5.4293418928691647E-3</v>
      </c>
    </row>
    <row r="2129" spans="1:25" x14ac:dyDescent="0.25">
      <c r="A2129" s="881"/>
      <c r="B2129" s="1131">
        <v>1879</v>
      </c>
      <c r="C2129" s="885">
        <v>0.98070816587675769</v>
      </c>
      <c r="D2129" s="885">
        <v>0.97485885384652682</v>
      </c>
      <c r="E2129" s="885">
        <v>0.99666831813925849</v>
      </c>
      <c r="F2129" s="885">
        <v>1.0057576470732519</v>
      </c>
      <c r="G2129" s="885">
        <v>1.0332091644103751</v>
      </c>
      <c r="H2129" s="885">
        <v>0.99837731478795144</v>
      </c>
      <c r="I2129" s="885">
        <v>0.98765496978252687</v>
      </c>
      <c r="K2129">
        <v>1.9601589702183577</v>
      </c>
      <c r="L2129">
        <v>0</v>
      </c>
      <c r="M2129">
        <v>2.0278426110860105E-3</v>
      </c>
      <c r="N2129">
        <v>0.20220413751689698</v>
      </c>
      <c r="O2129">
        <v>2.5969413386084498E-2</v>
      </c>
      <c r="P2129">
        <v>2.1225067398279753E-2</v>
      </c>
      <c r="Q2129">
        <v>3.0352037300733679E-3</v>
      </c>
      <c r="R2129">
        <v>2.0157396333150769E-3</v>
      </c>
      <c r="S2129">
        <v>0.20956847872450579</v>
      </c>
      <c r="T2129">
        <v>1.0586785832918308</v>
      </c>
      <c r="U2129">
        <v>3.8054450752484897E-2</v>
      </c>
      <c r="V2129">
        <v>0.25384617190256958</v>
      </c>
      <c r="W2129">
        <v>0.12114269618679914</v>
      </c>
      <c r="X2129">
        <v>2.0960691513112858E-2</v>
      </c>
      <c r="Y2129">
        <v>5.4861787934921023E-3</v>
      </c>
    </row>
    <row r="2130" spans="1:25" x14ac:dyDescent="0.25">
      <c r="A2130" s="881"/>
      <c r="B2130" s="1131">
        <v>1880</v>
      </c>
      <c r="C2130" s="885">
        <v>0.98080715531159102</v>
      </c>
      <c r="D2130" s="885">
        <v>1.0354080615252819</v>
      </c>
      <c r="E2130" s="885">
        <v>0.98576742247043037</v>
      </c>
      <c r="F2130" s="885">
        <v>1.0217347000154382</v>
      </c>
      <c r="G2130" s="885">
        <v>1.0023775911483961</v>
      </c>
      <c r="H2130" s="885">
        <v>0.99368476646172654</v>
      </c>
      <c r="I2130" s="885">
        <v>0.99719025333961786</v>
      </c>
      <c r="K2130">
        <v>1.9334369794167661</v>
      </c>
      <c r="L2130">
        <v>0</v>
      </c>
      <c r="M2130">
        <v>2.0043147173229412E-3</v>
      </c>
      <c r="N2130">
        <v>0.19317914820181931</v>
      </c>
      <c r="O2130">
        <v>2.5204190169591013E-2</v>
      </c>
      <c r="P2130">
        <v>2.0905199591500407E-2</v>
      </c>
      <c r="Q2130">
        <v>2.9257493817026119E-3</v>
      </c>
      <c r="R2130">
        <v>1.9922454830510372E-3</v>
      </c>
      <c r="S2130">
        <v>0.20532758884562252</v>
      </c>
      <c r="T2130">
        <v>1.0596836361519888</v>
      </c>
      <c r="U2130">
        <v>3.8050610049903899E-2</v>
      </c>
      <c r="V2130">
        <v>0.24623406877453968</v>
      </c>
      <c r="W2130">
        <v>0.11660756788800729</v>
      </c>
      <c r="X2130">
        <v>1.990905413504478E-2</v>
      </c>
      <c r="Y2130">
        <v>5.4222354613179397E-3</v>
      </c>
    </row>
    <row r="2131" spans="1:25" x14ac:dyDescent="0.25">
      <c r="A2131" s="881"/>
      <c r="B2131" s="1131">
        <v>1881</v>
      </c>
      <c r="C2131" s="885">
        <v>0.99679340631255686</v>
      </c>
      <c r="D2131" s="885">
        <v>1.0388436050254199</v>
      </c>
      <c r="E2131" s="885">
        <v>0.98461729447377733</v>
      </c>
      <c r="F2131" s="885">
        <v>1.0152294370725423</v>
      </c>
      <c r="G2131" s="885">
        <v>1.0030799145465346</v>
      </c>
      <c r="H2131" s="885">
        <v>1.0024756758362805</v>
      </c>
      <c r="I2131" s="885">
        <v>1.0343192555874334</v>
      </c>
      <c r="K2131">
        <v>1.9313486642126478</v>
      </c>
      <c r="L2131">
        <v>0</v>
      </c>
      <c r="M2131">
        <v>1.991182723642218E-3</v>
      </c>
      <c r="N2131">
        <v>0.19123714014597576</v>
      </c>
      <c r="O2131">
        <v>2.4759546074787576E-2</v>
      </c>
      <c r="P2131">
        <v>2.0909607983944718E-2</v>
      </c>
      <c r="Q2131">
        <v>2.871438508728584E-3</v>
      </c>
      <c r="R2131">
        <v>1.9792950245284833E-3</v>
      </c>
      <c r="S2131">
        <v>0.21014636868293102</v>
      </c>
      <c r="T2131">
        <v>1.0597899462586708</v>
      </c>
      <c r="U2131">
        <v>3.7440366644253882E-2</v>
      </c>
      <c r="V2131">
        <v>0.24359334835133417</v>
      </c>
      <c r="W2131">
        <v>0.1155271513647084</v>
      </c>
      <c r="X2131">
        <v>1.9698649314088833E-2</v>
      </c>
      <c r="Y2131">
        <v>5.3869885823370515E-3</v>
      </c>
    </row>
    <row r="2132" spans="1:25" x14ac:dyDescent="0.25">
      <c r="A2132" s="881"/>
      <c r="B2132" s="1131">
        <v>1882</v>
      </c>
      <c r="C2132" s="885">
        <v>1.0036415520303779</v>
      </c>
      <c r="D2132" s="885">
        <v>0.99746422991592676</v>
      </c>
      <c r="E2132" s="885">
        <v>1.0097365815738137</v>
      </c>
      <c r="F2132" s="885">
        <v>1.0182893600524683</v>
      </c>
      <c r="G2132" s="885">
        <v>0.98325048944777582</v>
      </c>
      <c r="H2132" s="885">
        <v>0.97914013053765281</v>
      </c>
      <c r="I2132" s="885">
        <v>0.97915583917186821</v>
      </c>
      <c r="K2132">
        <v>1.9258257824677938</v>
      </c>
      <c r="L2132">
        <v>0</v>
      </c>
      <c r="M2132">
        <v>1.8691930730291198E-3</v>
      </c>
      <c r="N2132">
        <v>0.19409185652430444</v>
      </c>
      <c r="O2132">
        <v>2.5089141686218678E-2</v>
      </c>
      <c r="P2132">
        <v>2.1172901077345131E-2</v>
      </c>
      <c r="Q2132">
        <v>2.9758058284577115E-3</v>
      </c>
      <c r="R2132">
        <v>1.8577995999045837E-3</v>
      </c>
      <c r="S2132">
        <v>0.19898642153303905</v>
      </c>
      <c r="T2132">
        <v>1.0574797986785862</v>
      </c>
      <c r="U2132">
        <v>3.7184899853356469E-2</v>
      </c>
      <c r="V2132">
        <v>0.2476130362997894</v>
      </c>
      <c r="W2132">
        <v>0.11524969127349086</v>
      </c>
      <c r="X2132">
        <v>2.0937305098864115E-2</v>
      </c>
      <c r="Y2132">
        <v>5.0563180874667619E-3</v>
      </c>
    </row>
    <row r="2133" spans="1:25" x14ac:dyDescent="0.25">
      <c r="A2133" s="881"/>
      <c r="B2133" s="1131">
        <v>1883</v>
      </c>
      <c r="C2133" s="885">
        <v>0.98590395194066782</v>
      </c>
      <c r="D2133" s="885">
        <v>1.0178268167125344</v>
      </c>
      <c r="E2133" s="885">
        <v>0.98326956640035879</v>
      </c>
      <c r="F2133" s="885">
        <v>0.95542236045270468</v>
      </c>
      <c r="G2133" s="885">
        <v>0.99587470920720189</v>
      </c>
      <c r="H2133" s="885">
        <v>1.0055013308501353</v>
      </c>
      <c r="I2133" s="885">
        <v>0.99684347934313189</v>
      </c>
      <c r="K2133">
        <v>1.9408695358912889</v>
      </c>
      <c r="L2133">
        <v>0</v>
      </c>
      <c r="M2133">
        <v>2.0454702090042841E-3</v>
      </c>
      <c r="N2133">
        <v>0.19563323311161177</v>
      </c>
      <c r="O2133">
        <v>2.5286576843099099E-2</v>
      </c>
      <c r="P2133">
        <v>2.0907314737584014E-2</v>
      </c>
      <c r="Q2133">
        <v>2.9244355768558573E-3</v>
      </c>
      <c r="R2133">
        <v>2.0333121715202223E-3</v>
      </c>
      <c r="S2133">
        <v>0.2069987773333346</v>
      </c>
      <c r="T2133">
        <v>1.0599145865391604</v>
      </c>
      <c r="U2133">
        <v>3.7853901008769723E-2</v>
      </c>
      <c r="V2133">
        <v>0.2476150821213558</v>
      </c>
      <c r="W2133">
        <v>0.11829311709267493</v>
      </c>
      <c r="X2133">
        <v>1.9920664114625369E-2</v>
      </c>
      <c r="Y2133">
        <v>5.534005449700845E-3</v>
      </c>
    </row>
    <row r="2134" spans="1:25" x14ac:dyDescent="0.25">
      <c r="A2134" s="881"/>
      <c r="B2134" s="1131">
        <v>1884</v>
      </c>
      <c r="C2134" s="885">
        <v>1.0355003455954903</v>
      </c>
      <c r="D2134" s="885">
        <v>0.97236550886161044</v>
      </c>
      <c r="E2134" s="885">
        <v>1.012261302835368</v>
      </c>
      <c r="F2134" s="885">
        <v>0.98083972324797042</v>
      </c>
      <c r="G2134" s="885">
        <v>0.97897185561205979</v>
      </c>
      <c r="H2134" s="885">
        <v>0.99431381176531475</v>
      </c>
      <c r="I2134" s="885">
        <v>0.98136877595044902</v>
      </c>
      <c r="K2134">
        <v>1.9203004793142611</v>
      </c>
      <c r="L2134">
        <v>0</v>
      </c>
      <c r="M2134">
        <v>1.8532482669887955E-3</v>
      </c>
      <c r="N2134">
        <v>0.19397266216611897</v>
      </c>
      <c r="O2134">
        <v>2.4626588433988572E-2</v>
      </c>
      <c r="P2134">
        <v>2.1149918525855013E-2</v>
      </c>
      <c r="Q2134">
        <v>2.9230872347123802E-3</v>
      </c>
      <c r="R2134">
        <v>1.8421441290592108E-3</v>
      </c>
      <c r="S2134">
        <v>0.19705386906851494</v>
      </c>
      <c r="T2134">
        <v>1.0572489673590884</v>
      </c>
      <c r="U2134">
        <v>3.6040848039944368E-2</v>
      </c>
      <c r="V2134">
        <v>0.24638067599811134</v>
      </c>
      <c r="W2134">
        <v>0.1149816303852161</v>
      </c>
      <c r="X2134">
        <v>2.0919627183987891E-2</v>
      </c>
      <c r="Y2134">
        <v>5.013709056650233E-3</v>
      </c>
    </row>
    <row r="2135" spans="1:25" x14ac:dyDescent="0.25">
      <c r="A2135" s="881"/>
      <c r="B2135" s="1131">
        <v>1885</v>
      </c>
      <c r="C2135" s="885">
        <v>1.0181493475030865</v>
      </c>
      <c r="D2135" s="885">
        <v>0.98116936180560654</v>
      </c>
      <c r="E2135" s="885">
        <v>1.0342510191001906</v>
      </c>
      <c r="F2135" s="885">
        <v>1.0018964533588031</v>
      </c>
      <c r="G2135" s="885">
        <v>1.015812364208877</v>
      </c>
      <c r="H2135" s="885">
        <v>1.028263021741233</v>
      </c>
      <c r="I2135" s="885">
        <v>0.9692642702263542</v>
      </c>
      <c r="K2135">
        <v>1.9459476769558852</v>
      </c>
      <c r="L2135">
        <v>0</v>
      </c>
      <c r="M2135">
        <v>1.8523708669392974E-3</v>
      </c>
      <c r="N2135">
        <v>0.2076250510652112</v>
      </c>
      <c r="O2135">
        <v>2.4934409245467155E-2</v>
      </c>
      <c r="P2135">
        <v>2.1537961417821942E-2</v>
      </c>
      <c r="Q2135">
        <v>3.0268401990053793E-3</v>
      </c>
      <c r="R2135">
        <v>1.8416316527841482E-3</v>
      </c>
      <c r="S2135">
        <v>0.2004217037565145</v>
      </c>
      <c r="T2135">
        <v>1.0552490168644197</v>
      </c>
      <c r="U2135">
        <v>3.6655045443422823E-2</v>
      </c>
      <c r="V2135">
        <v>0.24763506614041356</v>
      </c>
      <c r="W2135">
        <v>0.1212657081894758</v>
      </c>
      <c r="X2135">
        <v>2.2595299583119385E-2</v>
      </c>
      <c r="Y2135">
        <v>5.0123142651672722E-3</v>
      </c>
    </row>
    <row r="2136" spans="1:25" x14ac:dyDescent="0.25">
      <c r="A2136" s="881"/>
      <c r="B2136" s="1131">
        <v>1886</v>
      </c>
      <c r="C2136" s="885">
        <v>1.0204714527749947</v>
      </c>
      <c r="D2136" s="885">
        <v>0.9884310312996385</v>
      </c>
      <c r="E2136" s="885">
        <v>0.99024154554814925</v>
      </c>
      <c r="F2136" s="885">
        <v>1.0229450938334959</v>
      </c>
      <c r="G2136" s="885">
        <v>0.99584154625258137</v>
      </c>
      <c r="H2136" s="885">
        <v>0.99883626493557298</v>
      </c>
      <c r="I2136" s="885">
        <v>0.9930653126218526</v>
      </c>
      <c r="K2136">
        <v>1.9245871116390731</v>
      </c>
      <c r="L2136">
        <v>0</v>
      </c>
      <c r="M2136">
        <v>1.9627605356945903E-3</v>
      </c>
      <c r="N2136">
        <v>0.19183777054434537</v>
      </c>
      <c r="O2136">
        <v>2.4786841395883424E-2</v>
      </c>
      <c r="P2136">
        <v>2.0897474443669385E-2</v>
      </c>
      <c r="Q2136">
        <v>2.8810655610959379E-3</v>
      </c>
      <c r="R2136">
        <v>1.9510400610202362E-3</v>
      </c>
      <c r="S2136">
        <v>0.20126657242264742</v>
      </c>
      <c r="T2136">
        <v>1.0592705670106473</v>
      </c>
      <c r="U2136">
        <v>3.6571636080000879E-2</v>
      </c>
      <c r="V2136">
        <v>0.24639992734168073</v>
      </c>
      <c r="W2136">
        <v>0.11544094337210384</v>
      </c>
      <c r="X2136">
        <v>1.9935946055758744E-2</v>
      </c>
      <c r="Y2136">
        <v>5.3100878859138204E-3</v>
      </c>
    </row>
    <row r="2137" spans="1:25" x14ac:dyDescent="0.25">
      <c r="A2137" s="881"/>
      <c r="B2137" s="1131">
        <v>1887</v>
      </c>
      <c r="C2137" s="885">
        <v>1.0232235502077653</v>
      </c>
      <c r="D2137" s="885">
        <v>1.0306914102974112</v>
      </c>
      <c r="E2137" s="885">
        <v>0.96906944372782655</v>
      </c>
      <c r="F2137" s="885">
        <v>1.0035147956048052</v>
      </c>
      <c r="G2137" s="885">
        <v>1.0023560566806129</v>
      </c>
      <c r="H2137" s="885">
        <v>1.0109149778396642</v>
      </c>
      <c r="I2137" s="885">
        <v>0.97970552908341968</v>
      </c>
      <c r="K2137">
        <v>1.904619806311671</v>
      </c>
      <c r="L2137">
        <v>0</v>
      </c>
      <c r="M2137">
        <v>2.0287989380560773E-3</v>
      </c>
      <c r="N2137">
        <v>0.18564356631401926</v>
      </c>
      <c r="O2137">
        <v>2.4213800829937987E-2</v>
      </c>
      <c r="P2137">
        <v>2.0438273469392872E-2</v>
      </c>
      <c r="Q2137">
        <v>2.7625470582070149E-3</v>
      </c>
      <c r="R2137">
        <v>2.0167942365823827E-3</v>
      </c>
      <c r="S2137">
        <v>0.19541352964891318</v>
      </c>
      <c r="T2137">
        <v>1.0612321191356291</v>
      </c>
      <c r="U2137">
        <v>3.6473271743343832E-2</v>
      </c>
      <c r="V2137">
        <v>0.24097338111647768</v>
      </c>
      <c r="W2137">
        <v>0.11336723302824213</v>
      </c>
      <c r="X2137">
        <v>1.8625039593046622E-2</v>
      </c>
      <c r="Y2137">
        <v>5.4890490759358359E-3</v>
      </c>
    </row>
    <row r="2138" spans="1:25" x14ac:dyDescent="0.25">
      <c r="A2138" s="881"/>
      <c r="B2138" s="1131">
        <v>1888</v>
      </c>
      <c r="C2138" s="885">
        <v>1.0378067017277044</v>
      </c>
      <c r="D2138" s="885">
        <v>0.96313747468165511</v>
      </c>
      <c r="E2138" s="885">
        <v>0.96135989041141001</v>
      </c>
      <c r="F2138" s="885">
        <v>0.95773789327178172</v>
      </c>
      <c r="G2138" s="885">
        <v>1.0211701532905855</v>
      </c>
      <c r="H2138" s="885">
        <v>1.0197561606790542</v>
      </c>
      <c r="I2138" s="885">
        <v>0.96795999210100248</v>
      </c>
      <c r="K2138">
        <v>1.9203309834392874</v>
      </c>
      <c r="L2138">
        <v>0</v>
      </c>
      <c r="M2138">
        <v>2.1205817841935953E-3</v>
      </c>
      <c r="N2138">
        <v>0.18944658330563621</v>
      </c>
      <c r="O2138">
        <v>2.4688644859575209E-2</v>
      </c>
      <c r="P2138">
        <v>2.0427277639978265E-2</v>
      </c>
      <c r="Q2138">
        <v>2.7813588283395235E-3</v>
      </c>
      <c r="R2138">
        <v>2.1082011672909394E-3</v>
      </c>
      <c r="S2138">
        <v>0.1972308520003839</v>
      </c>
      <c r="T2138">
        <v>1.0619507041278606</v>
      </c>
      <c r="U2138">
        <v>3.5960753133302513E-2</v>
      </c>
      <c r="V2138">
        <v>0.24725128313824019</v>
      </c>
      <c r="W2138">
        <v>0.11631668395834621</v>
      </c>
      <c r="X2138">
        <v>1.8551394455488483E-2</v>
      </c>
      <c r="Y2138">
        <v>5.7378286090379177E-3</v>
      </c>
    </row>
    <row r="2139" spans="1:25" x14ac:dyDescent="0.25">
      <c r="A2139" s="881"/>
      <c r="B2139" s="1131">
        <v>1889</v>
      </c>
      <c r="C2139" s="885">
        <v>1.00621276473868</v>
      </c>
      <c r="D2139" s="885">
        <v>1.0196585434416703</v>
      </c>
      <c r="E2139" s="885">
        <v>1.0303470861555397</v>
      </c>
      <c r="F2139" s="885">
        <v>0.99972823114835674</v>
      </c>
      <c r="G2139" s="885">
        <v>0.97592392303332665</v>
      </c>
      <c r="H2139" s="885">
        <v>1.0129804078867093</v>
      </c>
      <c r="I2139" s="885">
        <v>0.97729366504719051</v>
      </c>
      <c r="K2139">
        <v>1.9335892192892843</v>
      </c>
      <c r="L2139">
        <v>0</v>
      </c>
      <c r="M2139">
        <v>1.8267113091695831E-3</v>
      </c>
      <c r="N2139">
        <v>0.20226209019283134</v>
      </c>
      <c r="O2139">
        <v>2.4754222470210665E-2</v>
      </c>
      <c r="P2139">
        <v>2.1430844765320648E-2</v>
      </c>
      <c r="Q2139">
        <v>3.0014446359113885E-3</v>
      </c>
      <c r="R2139">
        <v>1.8159323826709018E-3</v>
      </c>
      <c r="S2139">
        <v>0.19940761054906594</v>
      </c>
      <c r="T2139">
        <v>1.05560269572995</v>
      </c>
      <c r="U2139">
        <v>3.7089879902894314E-2</v>
      </c>
      <c r="V2139">
        <v>0.24454856256837698</v>
      </c>
      <c r="W2139">
        <v>0.11844237083069338</v>
      </c>
      <c r="X2139">
        <v>2.2117907246845758E-2</v>
      </c>
      <c r="Y2139">
        <v>4.9423693236811317E-3</v>
      </c>
    </row>
    <row r="2140" spans="1:25" x14ac:dyDescent="0.25">
      <c r="A2140" s="881"/>
      <c r="B2140" s="1131">
        <v>1890</v>
      </c>
      <c r="C2140" s="885">
        <v>0.99114455417903846</v>
      </c>
      <c r="D2140" s="885">
        <v>0.98990577579282013</v>
      </c>
      <c r="E2140" s="885">
        <v>0.99483250263654011</v>
      </c>
      <c r="F2140" s="885">
        <v>0.9916240182095335</v>
      </c>
      <c r="G2140" s="885">
        <v>1.0099615281422736</v>
      </c>
      <c r="H2140" s="885">
        <v>1.0095267768171292</v>
      </c>
      <c r="I2140" s="885">
        <v>0.99650724657659506</v>
      </c>
      <c r="K2140">
        <v>1.9521431888715119</v>
      </c>
      <c r="L2140">
        <v>0</v>
      </c>
      <c r="M2140">
        <v>2.0213429979354216E-3</v>
      </c>
      <c r="N2140">
        <v>0.20041979981000102</v>
      </c>
      <c r="O2140">
        <v>2.5501402439168395E-2</v>
      </c>
      <c r="P2140">
        <v>2.1135963153747724E-2</v>
      </c>
      <c r="Q2140">
        <v>2.9781997956519887E-3</v>
      </c>
      <c r="R2140">
        <v>2.0093992827159846E-3</v>
      </c>
      <c r="S2140">
        <v>0.20889076974723439</v>
      </c>
      <c r="T2140">
        <v>1.0588475202182557</v>
      </c>
      <c r="U2140">
        <v>3.7653751356005967E-2</v>
      </c>
      <c r="V2140">
        <v>0.25034730702719216</v>
      </c>
      <c r="W2140">
        <v>0.12022505327950792</v>
      </c>
      <c r="X2140">
        <v>2.0686443310707139E-2</v>
      </c>
      <c r="Y2140">
        <v>5.4689224492573867E-3</v>
      </c>
    </row>
    <row r="2141" spans="1:25" x14ac:dyDescent="0.25">
      <c r="A2141" s="881"/>
      <c r="B2141" s="1131">
        <v>1891</v>
      </c>
      <c r="C2141" s="885">
        <v>0.98993000025193367</v>
      </c>
      <c r="D2141" s="885">
        <v>0.97982834729109058</v>
      </c>
      <c r="E2141" s="885">
        <v>1.046425831034191</v>
      </c>
      <c r="F2141" s="885">
        <v>1.0023471990932282</v>
      </c>
      <c r="G2141" s="885">
        <v>1.0362431960493639</v>
      </c>
      <c r="H2141" s="885">
        <v>1.0181440929232917</v>
      </c>
      <c r="I2141" s="885">
        <v>1.0018300553377635</v>
      </c>
      <c r="K2141">
        <v>1.9734331259599289</v>
      </c>
      <c r="L2141">
        <v>0</v>
      </c>
      <c r="M2141">
        <v>1.8396357534780114E-3</v>
      </c>
      <c r="N2141">
        <v>0.214121154525137</v>
      </c>
      <c r="O2141">
        <v>2.5662614583005602E-2</v>
      </c>
      <c r="P2141">
        <v>2.1951587784428097E-2</v>
      </c>
      <c r="Q2141">
        <v>3.152446309110424E-3</v>
      </c>
      <c r="R2141">
        <v>1.8288654024575845E-3</v>
      </c>
      <c r="S2141">
        <v>0.21214831638739415</v>
      </c>
      <c r="T2141">
        <v>1.0541498690699787</v>
      </c>
      <c r="U2141">
        <v>3.769994907864091E-2</v>
      </c>
      <c r="V2141">
        <v>0.2518253338516524</v>
      </c>
      <c r="W2141">
        <v>0.12405087919275874</v>
      </c>
      <c r="X2141">
        <v>2.3704176788672288E-2</v>
      </c>
      <c r="Y2141">
        <v>4.9775687401716531E-3</v>
      </c>
    </row>
    <row r="2142" spans="1:25" x14ac:dyDescent="0.25">
      <c r="A2142" s="881"/>
      <c r="B2142" s="1131">
        <v>1892</v>
      </c>
      <c r="C2142" s="885">
        <v>0.97817813130366804</v>
      </c>
      <c r="D2142" s="885">
        <v>0.9677652151601539</v>
      </c>
      <c r="E2142" s="885">
        <v>0.9831544376110487</v>
      </c>
      <c r="F2142" s="885">
        <v>1.0070172957320749</v>
      </c>
      <c r="G2142" s="885">
        <v>1.0451794135558166</v>
      </c>
      <c r="H2142" s="885">
        <v>0.9809392871933541</v>
      </c>
      <c r="I2142" s="885">
        <v>1.0020757043349202</v>
      </c>
      <c r="K2142">
        <v>1.9577271828605274</v>
      </c>
      <c r="L2142">
        <v>0</v>
      </c>
      <c r="M2142">
        <v>2.0626178951433202E-3</v>
      </c>
      <c r="N2142">
        <v>0.19717724649449836</v>
      </c>
      <c r="O2142">
        <v>2.6131257247032715E-2</v>
      </c>
      <c r="P2142">
        <v>2.107978061319106E-2</v>
      </c>
      <c r="Q2142">
        <v>3.0111304660375127E-3</v>
      </c>
      <c r="R2142">
        <v>2.0500949424210532E-3</v>
      </c>
      <c r="S2142">
        <v>0.21205985281195616</v>
      </c>
      <c r="T2142">
        <v>1.0599252371222923</v>
      </c>
      <c r="U2142">
        <v>3.8152877688216319E-2</v>
      </c>
      <c r="V2142">
        <v>0.25517733927982311</v>
      </c>
      <c r="W2142">
        <v>0.11923623583977334</v>
      </c>
      <c r="X2142">
        <v>2.0209065630774768E-2</v>
      </c>
      <c r="Y2142">
        <v>5.579682619653966E-3</v>
      </c>
    </row>
    <row r="2143" spans="1:25" x14ac:dyDescent="0.25">
      <c r="A2143" s="881"/>
      <c r="B2143" s="1131">
        <v>1893</v>
      </c>
      <c r="C2143" s="885">
        <v>1.0032610031357008</v>
      </c>
      <c r="D2143" s="885">
        <v>1.0088007881474457</v>
      </c>
      <c r="E2143" s="885">
        <v>0.97966191270780312</v>
      </c>
      <c r="F2143" s="885">
        <v>0.96078652477371085</v>
      </c>
      <c r="G2143" s="885">
        <v>1.0140094034440783</v>
      </c>
      <c r="H2143" s="885">
        <v>0.97125517363217051</v>
      </c>
      <c r="I2143" s="885">
        <v>0.98416776498069747</v>
      </c>
      <c r="K2143">
        <v>1.9135308950600745</v>
      </c>
      <c r="L2143">
        <v>0</v>
      </c>
      <c r="M2143">
        <v>1.9650077284626734E-3</v>
      </c>
      <c r="N2143">
        <v>0.18579870050527864</v>
      </c>
      <c r="O2143">
        <v>2.4958707374271503E-2</v>
      </c>
      <c r="P2143">
        <v>2.0710317466048865E-2</v>
      </c>
      <c r="Q2143">
        <v>2.8741856497465673E-3</v>
      </c>
      <c r="R2143">
        <v>1.9529235431427795E-3</v>
      </c>
      <c r="S2143">
        <v>0.19826738248868409</v>
      </c>
      <c r="T2143">
        <v>1.0602485756172786</v>
      </c>
      <c r="U2143">
        <v>3.7199004530498021E-2</v>
      </c>
      <c r="V2143">
        <v>0.24626377102368102</v>
      </c>
      <c r="W2143">
        <v>0.11262779309435371</v>
      </c>
      <c r="X2143">
        <v>1.9279327392189325E-2</v>
      </c>
      <c r="Y2143">
        <v>5.3152141033616686E-3</v>
      </c>
    </row>
    <row r="2144" spans="1:25" x14ac:dyDescent="0.25">
      <c r="A2144" s="881"/>
      <c r="B2144" s="1131">
        <v>1894</v>
      </c>
      <c r="C2144" s="885">
        <v>1.0178385836341541</v>
      </c>
      <c r="D2144" s="885">
        <v>1.0058484296321253</v>
      </c>
      <c r="E2144" s="885">
        <v>0.99349735225910873</v>
      </c>
      <c r="F2144" s="885">
        <v>1.0241856724432663</v>
      </c>
      <c r="G2144" s="885">
        <v>0.99710690864435803</v>
      </c>
      <c r="H2144" s="885">
        <v>1.0125663184183125</v>
      </c>
      <c r="I2144" s="885">
        <v>0.99512533979530937</v>
      </c>
      <c r="K2144">
        <v>1.926473418669072</v>
      </c>
      <c r="L2144">
        <v>0</v>
      </c>
      <c r="M2144">
        <v>1.9642240517715325E-3</v>
      </c>
      <c r="N2144">
        <v>0.19395088986887243</v>
      </c>
      <c r="O2144">
        <v>2.4636926996158978E-2</v>
      </c>
      <c r="P2144">
        <v>2.093090324076181E-2</v>
      </c>
      <c r="Q2144">
        <v>2.876575141506953E-3</v>
      </c>
      <c r="R2144">
        <v>1.9526398507220802E-3</v>
      </c>
      <c r="S2144">
        <v>0.20194472642748149</v>
      </c>
      <c r="T2144">
        <v>1.0589704669030877</v>
      </c>
      <c r="U2144">
        <v>3.6666236867997436E-2</v>
      </c>
      <c r="V2144">
        <v>0.24461776860151807</v>
      </c>
      <c r="W2144">
        <v>0.11645134473166366</v>
      </c>
      <c r="X2144">
        <v>2.0124722104959452E-2</v>
      </c>
      <c r="Y2144">
        <v>5.3144419861117067E-3</v>
      </c>
    </row>
    <row r="2145" spans="1:25" x14ac:dyDescent="0.25">
      <c r="A2145" s="881"/>
      <c r="B2145" s="1131">
        <v>1895</v>
      </c>
      <c r="C2145" s="885">
        <v>1.0078761574675155</v>
      </c>
      <c r="D2145" s="885">
        <v>1.0296653437116812</v>
      </c>
      <c r="E2145" s="885">
        <v>1.0167930573969708</v>
      </c>
      <c r="F2145" s="885">
        <v>0.96231585574174761</v>
      </c>
      <c r="G2145" s="885">
        <v>0.97603850139432091</v>
      </c>
      <c r="H2145" s="885">
        <v>0.98683300073943314</v>
      </c>
      <c r="I2145" s="885">
        <v>0.97237846273705109</v>
      </c>
      <c r="K2145">
        <v>1.9135959708816719</v>
      </c>
      <c r="L2145">
        <v>0</v>
      </c>
      <c r="M2145">
        <v>1.8194725168110323E-3</v>
      </c>
      <c r="N2145">
        <v>0.19312501910646498</v>
      </c>
      <c r="O2145">
        <v>2.4594588412855115E-2</v>
      </c>
      <c r="P2145">
        <v>2.1151055271473936E-2</v>
      </c>
      <c r="Q2145">
        <v>2.9442359637570329E-3</v>
      </c>
      <c r="R2145">
        <v>1.8084444537998917E-3</v>
      </c>
      <c r="S2145">
        <v>0.19467758994376813</v>
      </c>
      <c r="T2145">
        <v>1.0568352604776248</v>
      </c>
      <c r="U2145">
        <v>3.7028666988900123E-2</v>
      </c>
      <c r="V2145">
        <v>0.24314668077202392</v>
      </c>
      <c r="W2145">
        <v>0.11412830657003961</v>
      </c>
      <c r="X2145">
        <v>2.1053605788085596E-2</v>
      </c>
      <c r="Y2145">
        <v>4.92198964968933E-3</v>
      </c>
    </row>
    <row r="2146" spans="1:25" x14ac:dyDescent="0.25">
      <c r="A2146" s="881"/>
      <c r="B2146" s="1131">
        <v>1896</v>
      </c>
      <c r="C2146" s="885">
        <v>1.0028193545061796</v>
      </c>
      <c r="D2146" s="885">
        <v>0.99265982730960511</v>
      </c>
      <c r="E2146" s="885">
        <v>1.0218922754782043</v>
      </c>
      <c r="F2146" s="885">
        <v>0.98592735788590924</v>
      </c>
      <c r="G2146" s="885">
        <v>0.99210553687579606</v>
      </c>
      <c r="H2146" s="885">
        <v>0.96585457039538469</v>
      </c>
      <c r="I2146" s="885">
        <v>0.96063264055314179</v>
      </c>
      <c r="K2146">
        <v>1.9211467251496119</v>
      </c>
      <c r="L2146">
        <v>0</v>
      </c>
      <c r="M2146">
        <v>1.8028944810952764E-3</v>
      </c>
      <c r="N2146">
        <v>0.19439833308786411</v>
      </c>
      <c r="O2146">
        <v>2.5169835762867031E-2</v>
      </c>
      <c r="P2146">
        <v>2.1296146636193888E-2</v>
      </c>
      <c r="Q2146">
        <v>3.0207378466940485E-3</v>
      </c>
      <c r="R2146">
        <v>1.7917576977622843E-3</v>
      </c>
      <c r="S2146">
        <v>0.19452303148190542</v>
      </c>
      <c r="T2146">
        <v>1.056370708983229</v>
      </c>
      <c r="U2146">
        <v>3.7215387231227248E-2</v>
      </c>
      <c r="V2146">
        <v>0.24832483558081456</v>
      </c>
      <c r="W2146">
        <v>0.1144859912095022</v>
      </c>
      <c r="X2146">
        <v>2.1476280312105099E-2</v>
      </c>
      <c r="Y2146">
        <v>4.8765738005426117E-3</v>
      </c>
    </row>
    <row r="2147" spans="1:25" x14ac:dyDescent="0.25">
      <c r="A2147" s="881"/>
      <c r="B2147" s="1131">
        <v>1897</v>
      </c>
      <c r="C2147" s="885">
        <v>1.0010347221584972</v>
      </c>
      <c r="D2147" s="885">
        <v>1.0279052161372677</v>
      </c>
      <c r="E2147" s="885">
        <v>1.0029162607849886</v>
      </c>
      <c r="F2147" s="885">
        <v>1.0105097272962416</v>
      </c>
      <c r="G2147" s="885">
        <v>1.0061662012274162</v>
      </c>
      <c r="H2147" s="885">
        <v>0.98761003915166889</v>
      </c>
      <c r="I2147" s="885">
        <v>0.99639189211844092</v>
      </c>
      <c r="K2147">
        <v>1.9217761633334729</v>
      </c>
      <c r="L2147">
        <v>0</v>
      </c>
      <c r="M2147">
        <v>1.8893928284821227E-3</v>
      </c>
      <c r="N2147">
        <v>0.19207988997738862</v>
      </c>
      <c r="O2147">
        <v>2.4783574436280535E-2</v>
      </c>
      <c r="P2147">
        <v>2.1059014341685705E-2</v>
      </c>
      <c r="Q2147">
        <v>2.9256400950424958E-3</v>
      </c>
      <c r="R2147">
        <v>1.8779513190638531E-3</v>
      </c>
      <c r="S2147">
        <v>0.20108290841524881</v>
      </c>
      <c r="T2147">
        <v>1.0581046133356524</v>
      </c>
      <c r="U2147">
        <v>3.7281734364262964E-2</v>
      </c>
      <c r="V2147">
        <v>0.2442836541046941</v>
      </c>
      <c r="W2147">
        <v>0.11458616185612261</v>
      </c>
      <c r="X2147">
        <v>2.048924949250594E-2</v>
      </c>
      <c r="Y2147">
        <v>5.111164424005857E-3</v>
      </c>
    </row>
    <row r="2148" spans="1:25" x14ac:dyDescent="0.25">
      <c r="A2148" s="881"/>
      <c r="B2148" s="1131">
        <v>1898</v>
      </c>
      <c r="C2148" s="885">
        <v>0.9776985513005233</v>
      </c>
      <c r="D2148" s="885">
        <v>1.0104194189164633</v>
      </c>
      <c r="E2148" s="885">
        <v>1.0154878913491161</v>
      </c>
      <c r="F2148" s="885">
        <v>0.96578532442641551</v>
      </c>
      <c r="G2148" s="885">
        <v>1.0419364937741697</v>
      </c>
      <c r="H2148" s="885">
        <v>0.96666853040223122</v>
      </c>
      <c r="I2148" s="885">
        <v>1.0208079325023014</v>
      </c>
      <c r="K2148">
        <v>1.9446500555670045</v>
      </c>
      <c r="L2148">
        <v>0</v>
      </c>
      <c r="M2148">
        <v>1.8596018756346958E-3</v>
      </c>
      <c r="N2148">
        <v>0.19656215994634343</v>
      </c>
      <c r="O2148">
        <v>2.559097635163609E-2</v>
      </c>
      <c r="P2148">
        <v>2.1455793470195092E-2</v>
      </c>
      <c r="Q2148">
        <v>3.0555466590746457E-3</v>
      </c>
      <c r="R2148">
        <v>1.8481103709198381E-3</v>
      </c>
      <c r="S2148">
        <v>0.21038857110272793</v>
      </c>
      <c r="T2148">
        <v>1.056954327703302</v>
      </c>
      <c r="U2148">
        <v>3.817159241084471E-2</v>
      </c>
      <c r="V2148">
        <v>0.24971819705331161</v>
      </c>
      <c r="W2148">
        <v>0.1162621254790917</v>
      </c>
      <c r="X2148">
        <v>2.1472309694965924E-2</v>
      </c>
      <c r="Y2148">
        <v>5.0299472002237585E-3</v>
      </c>
    </row>
    <row r="2149" spans="1:25" x14ac:dyDescent="0.25">
      <c r="A2149" s="881"/>
      <c r="B2149" s="1131">
        <v>1899</v>
      </c>
      <c r="C2149" s="885">
        <v>0.99787503147718326</v>
      </c>
      <c r="D2149" s="885">
        <v>0.99750195739975267</v>
      </c>
      <c r="E2149" s="885">
        <v>0.9985147619581819</v>
      </c>
      <c r="F2149" s="885">
        <v>1.0071287567532132</v>
      </c>
      <c r="G2149" s="885">
        <v>0.99537607587529164</v>
      </c>
      <c r="H2149" s="885">
        <v>0.97982766931847876</v>
      </c>
      <c r="I2149" s="885">
        <v>0.98164763169588731</v>
      </c>
      <c r="K2149">
        <v>1.9286739902385455</v>
      </c>
      <c r="L2149">
        <v>0</v>
      </c>
      <c r="M2149">
        <v>1.9262972371804975E-3</v>
      </c>
      <c r="N2149">
        <v>0.19316156482330502</v>
      </c>
      <c r="O2149">
        <v>2.5233654234830087E-2</v>
      </c>
      <c r="P2149">
        <v>2.1048413135655471E-2</v>
      </c>
      <c r="Q2149">
        <v>2.9594596282067195E-3</v>
      </c>
      <c r="R2149">
        <v>1.914563899708331E-3</v>
      </c>
      <c r="S2149">
        <v>0.20071068830288658</v>
      </c>
      <c r="T2149">
        <v>1.0585088006563159</v>
      </c>
      <c r="U2149">
        <v>3.7399783964601821E-2</v>
      </c>
      <c r="V2149">
        <v>0.2484188002157949</v>
      </c>
      <c r="W2149">
        <v>0.11557883041522105</v>
      </c>
      <c r="X2149">
        <v>2.0454916400013772E-2</v>
      </c>
      <c r="Y2149">
        <v>5.21081179918616E-3</v>
      </c>
    </row>
    <row r="2150" spans="1:25" x14ac:dyDescent="0.25">
      <c r="A2150" s="881"/>
      <c r="B2150" s="1131">
        <v>1900</v>
      </c>
      <c r="C2150" s="885">
        <v>1.0286984252750409</v>
      </c>
      <c r="D2150" s="885">
        <v>1.0217168571051223</v>
      </c>
      <c r="E2150" s="885">
        <v>0.96194440828235994</v>
      </c>
      <c r="F2150" s="885">
        <v>0.97544576732480492</v>
      </c>
      <c r="G2150" s="885">
        <v>0.97764492015366211</v>
      </c>
      <c r="H2150" s="885">
        <v>1.0071128263189839</v>
      </c>
      <c r="I2150" s="885">
        <v>0.99334549652691639</v>
      </c>
      <c r="K2150">
        <v>1.9040112840262222</v>
      </c>
      <c r="L2150">
        <v>0</v>
      </c>
      <c r="M2150">
        <v>2.0494516146086386E-3</v>
      </c>
      <c r="N2150">
        <v>0.18340821700445856</v>
      </c>
      <c r="O2150">
        <v>2.4189046466611679E-2</v>
      </c>
      <c r="P2150">
        <v>2.0364537544703156E-2</v>
      </c>
      <c r="Q2150">
        <v>2.7379976740927884E-3</v>
      </c>
      <c r="R2150">
        <v>2.0372862165398886E-3</v>
      </c>
      <c r="S2150">
        <v>0.1975021934987094</v>
      </c>
      <c r="T2150">
        <v>1.0618961424974163</v>
      </c>
      <c r="U2150">
        <v>3.6279155954709146E-2</v>
      </c>
      <c r="V2150">
        <v>0.24128841868964618</v>
      </c>
      <c r="W2150">
        <v>0.11256298170204805</v>
      </c>
      <c r="X2150">
        <v>1.8249936901692895E-2</v>
      </c>
      <c r="Y2150">
        <v>5.5448214902007881E-3</v>
      </c>
    </row>
    <row r="2151" spans="1:25" x14ac:dyDescent="0.25">
      <c r="A2151" s="881"/>
      <c r="B2151" s="1131">
        <v>1901</v>
      </c>
      <c r="C2151" s="885">
        <v>1.0313062452196142</v>
      </c>
      <c r="D2151" s="885">
        <v>0.99332211104507018</v>
      </c>
      <c r="E2151" s="885">
        <v>1.0370499521914194</v>
      </c>
      <c r="F2151" s="885">
        <v>1.0115044855541477</v>
      </c>
      <c r="G2151" s="885">
        <v>0.97901587599122775</v>
      </c>
      <c r="H2151" s="885">
        <v>0.98710846751013115</v>
      </c>
      <c r="I2151" s="885">
        <v>1.0407778538697481</v>
      </c>
      <c r="K2151">
        <v>1.9287629972223872</v>
      </c>
      <c r="L2151">
        <v>0</v>
      </c>
      <c r="M2151">
        <v>1.7345626566973769E-3</v>
      </c>
      <c r="N2151">
        <v>0.19606755105048254</v>
      </c>
      <c r="O2151">
        <v>2.4466504364312944E-2</v>
      </c>
      <c r="P2151">
        <v>2.1618008362212799E-2</v>
      </c>
      <c r="Q2151">
        <v>2.9808163854250706E-3</v>
      </c>
      <c r="R2151">
        <v>1.7240781874755262E-3</v>
      </c>
      <c r="S2151">
        <v>0.20704572018597572</v>
      </c>
      <c r="T2151">
        <v>1.0549958135082949</v>
      </c>
      <c r="U2151">
        <v>3.6187418406420674E-2</v>
      </c>
      <c r="V2151">
        <v>0.24432829758142532</v>
      </c>
      <c r="W2151">
        <v>0.11430167397955968</v>
      </c>
      <c r="X2151">
        <v>2.2089305383412094E-2</v>
      </c>
      <c r="Y2151">
        <v>4.692372484086626E-3</v>
      </c>
    </row>
    <row r="2152" spans="1:25" x14ac:dyDescent="0.25">
      <c r="A2152" s="881"/>
      <c r="B2152" s="1131">
        <v>1902</v>
      </c>
      <c r="C2152" s="885">
        <v>1.0279659663631162</v>
      </c>
      <c r="D2152" s="885">
        <v>1.0304587445276601</v>
      </c>
      <c r="E2152" s="885">
        <v>1.0030695457126262</v>
      </c>
      <c r="F2152" s="885">
        <v>1.0000933246535966</v>
      </c>
      <c r="G2152" s="885">
        <v>0.99875563488719976</v>
      </c>
      <c r="H2152" s="885">
        <v>0.98959814959202086</v>
      </c>
      <c r="I2152" s="885">
        <v>0.99572999494927239</v>
      </c>
      <c r="K2152">
        <v>1.902279564185654</v>
      </c>
      <c r="L2152">
        <v>0</v>
      </c>
      <c r="M2152">
        <v>1.8407506880354473E-3</v>
      </c>
      <c r="N2152">
        <v>0.18722616336438416</v>
      </c>
      <c r="O2152">
        <v>2.4104775339410033E-2</v>
      </c>
      <c r="P2152">
        <v>2.0920236827205427E-2</v>
      </c>
      <c r="Q2152">
        <v>2.8464333520751362E-3</v>
      </c>
      <c r="R2152">
        <v>1.8296242442160204E-3</v>
      </c>
      <c r="S2152">
        <v>0.19565504739138434</v>
      </c>
      <c r="T2152">
        <v>1.058090550864184</v>
      </c>
      <c r="U2152">
        <v>3.630500602364687E-2</v>
      </c>
      <c r="V2152">
        <v>0.24038143692675079</v>
      </c>
      <c r="W2152">
        <v>0.11167895892939814</v>
      </c>
      <c r="X2152">
        <v>2.0102447553748827E-2</v>
      </c>
      <c r="Y2152">
        <v>4.9796340572859973E-3</v>
      </c>
    </row>
    <row r="2153" spans="1:25" x14ac:dyDescent="0.25">
      <c r="A2153" s="881"/>
      <c r="B2153" s="1131">
        <v>1903</v>
      </c>
      <c r="C2153" s="885">
        <v>0.98904426498361064</v>
      </c>
      <c r="D2153" s="885">
        <v>0.99856138325406896</v>
      </c>
      <c r="E2153" s="885">
        <v>0.97200043071859199</v>
      </c>
      <c r="F2153" s="885">
        <v>1.0304455106935055</v>
      </c>
      <c r="G2153" s="885">
        <v>0.98782013763626175</v>
      </c>
      <c r="H2153" s="885">
        <v>1.0063297177451942</v>
      </c>
      <c r="I2153" s="885">
        <v>0.98432759394750291</v>
      </c>
      <c r="K2153">
        <v>1.9415691809195754</v>
      </c>
      <c r="L2153">
        <v>0</v>
      </c>
      <c r="M2153">
        <v>2.1093086180183512E-3</v>
      </c>
      <c r="N2153">
        <v>0.19477971696971075</v>
      </c>
      <c r="O2153">
        <v>2.5445577760859719E-2</v>
      </c>
      <c r="P2153">
        <v>2.0748525427786626E-2</v>
      </c>
      <c r="Q2153">
        <v>2.9054065632340741E-3</v>
      </c>
      <c r="R2153">
        <v>2.096797971258519E-3</v>
      </c>
      <c r="S2153">
        <v>0.20562782468325178</v>
      </c>
      <c r="T2153">
        <v>1.0609595331862756</v>
      </c>
      <c r="U2153">
        <v>3.7733711141366692E-2</v>
      </c>
      <c r="V2153">
        <v>0.24954885086823636</v>
      </c>
      <c r="W2153">
        <v>0.11870314250306997</v>
      </c>
      <c r="X2153">
        <v>1.9422609594043128E-2</v>
      </c>
      <c r="Y2153">
        <v>5.7067928685002297E-3</v>
      </c>
    </row>
    <row r="2154" spans="1:25" x14ac:dyDescent="0.25">
      <c r="A2154" s="881"/>
      <c r="B2154" s="1131">
        <v>1904</v>
      </c>
      <c r="C2154" s="885">
        <v>0.99633488554647087</v>
      </c>
      <c r="D2154" s="885">
        <v>1.0306096801295179</v>
      </c>
      <c r="E2154" s="885">
        <v>0.99463788192039382</v>
      </c>
      <c r="F2154" s="885">
        <v>1.0276900069785013</v>
      </c>
      <c r="G2154" s="885">
        <v>1.0294339099967256</v>
      </c>
      <c r="H2154" s="885">
        <v>1.028589965408903</v>
      </c>
      <c r="I2154" s="885">
        <v>1.0018018106206505</v>
      </c>
      <c r="K2154">
        <v>1.9412017204022818</v>
      </c>
      <c r="L2154">
        <v>0</v>
      </c>
      <c r="M2154">
        <v>2.0092345211619187E-3</v>
      </c>
      <c r="N2154">
        <v>0.1991172867334581</v>
      </c>
      <c r="O2154">
        <v>2.4868244717639317E-2</v>
      </c>
      <c r="P2154">
        <v>2.1026802746527146E-2</v>
      </c>
      <c r="Q2154">
        <v>2.9118185463340215E-3</v>
      </c>
      <c r="R2154">
        <v>1.9975499445564252E-3</v>
      </c>
      <c r="S2154">
        <v>0.20699296032813835</v>
      </c>
      <c r="T2154">
        <v>1.0588654374555997</v>
      </c>
      <c r="U2154">
        <v>3.7457596981006397E-2</v>
      </c>
      <c r="V2154">
        <v>0.24461983039575236</v>
      </c>
      <c r="W2154">
        <v>0.11945968548555651</v>
      </c>
      <c r="X2154">
        <v>2.0457069131956031E-2</v>
      </c>
      <c r="Y2154">
        <v>5.436672456920341E-3</v>
      </c>
    </row>
    <row r="2155" spans="1:25" x14ac:dyDescent="0.25">
      <c r="A2155" s="881"/>
      <c r="B2155" s="1131">
        <v>1905</v>
      </c>
      <c r="C2155" s="885">
        <v>0.99475329208466945</v>
      </c>
      <c r="D2155" s="885">
        <v>0.96663920301377726</v>
      </c>
      <c r="E2155" s="885">
        <v>0.9837874503781745</v>
      </c>
      <c r="F2155" s="885">
        <v>0.9817685580231974</v>
      </c>
      <c r="G2155" s="885">
        <v>0.98618496191396954</v>
      </c>
      <c r="H2155" s="885">
        <v>0.99984563497746393</v>
      </c>
      <c r="I2155" s="885">
        <v>1.0005199596550038</v>
      </c>
      <c r="K2155">
        <v>1.9534530555649978</v>
      </c>
      <c r="L2155">
        <v>0</v>
      </c>
      <c r="M2155">
        <v>2.0657888728264746E-3</v>
      </c>
      <c r="N2155">
        <v>0.19789310394069018</v>
      </c>
      <c r="O2155">
        <v>2.5710723491967888E-2</v>
      </c>
      <c r="P2155">
        <v>2.1025150731945691E-2</v>
      </c>
      <c r="Q2155">
        <v>2.9643309209507161E-3</v>
      </c>
      <c r="R2155">
        <v>2.0534848390167362E-3</v>
      </c>
      <c r="S2155">
        <v>0.21027146309000808</v>
      </c>
      <c r="T2155">
        <v>1.0598666833697941</v>
      </c>
      <c r="U2155">
        <v>3.751715214001055E-2</v>
      </c>
      <c r="V2155">
        <v>0.25285830572149226</v>
      </c>
      <c r="W2155">
        <v>0.1196167020225961</v>
      </c>
      <c r="X2155">
        <v>2.0152835368642444E-2</v>
      </c>
      <c r="Y2155">
        <v>5.5889088007083027E-3</v>
      </c>
    </row>
    <row r="2156" spans="1:25" x14ac:dyDescent="0.25">
      <c r="A2156" s="881"/>
      <c r="B2156" s="1131">
        <v>1906</v>
      </c>
      <c r="C2156" s="885">
        <v>0.99759417807707151</v>
      </c>
      <c r="D2156" s="885">
        <v>0.98596694418414332</v>
      </c>
      <c r="E2156" s="885">
        <v>1.0112272992388207</v>
      </c>
      <c r="F2156" s="885">
        <v>0.98504492819094613</v>
      </c>
      <c r="G2156" s="885">
        <v>0.99294664384706088</v>
      </c>
      <c r="H2156" s="885">
        <v>1.0420299377982698</v>
      </c>
      <c r="I2156" s="885">
        <v>0.98047174197802445</v>
      </c>
      <c r="K2156">
        <v>1.9630551932593701</v>
      </c>
      <c r="L2156">
        <v>0</v>
      </c>
      <c r="M2156">
        <v>2.0065116367715746E-3</v>
      </c>
      <c r="N2156">
        <v>0.20939686262424817</v>
      </c>
      <c r="O2156">
        <v>2.5386666538198783E-2</v>
      </c>
      <c r="P2156">
        <v>2.1350981101385828E-2</v>
      </c>
      <c r="Q2156">
        <v>3.0131391616859812E-3</v>
      </c>
      <c r="R2156">
        <v>1.9950285636852138E-3</v>
      </c>
      <c r="S2156">
        <v>0.20783101495985831</v>
      </c>
      <c r="T2156">
        <v>1.0573434746066883</v>
      </c>
      <c r="U2156">
        <v>3.7410313152442649E-2</v>
      </c>
      <c r="V2156">
        <v>0.24992271424233972</v>
      </c>
      <c r="W2156">
        <v>0.12421180357566888</v>
      </c>
      <c r="X2156">
        <v>2.1769896280577624E-2</v>
      </c>
      <c r="Y2156">
        <v>5.4298100893618835E-3</v>
      </c>
    </row>
    <row r="2157" spans="1:25" x14ac:dyDescent="0.25">
      <c r="A2157" s="881"/>
      <c r="B2157" s="1131">
        <v>1907</v>
      </c>
      <c r="C2157" s="885">
        <v>1.0138171975812174</v>
      </c>
      <c r="D2157" s="885">
        <v>1.0044838191301735</v>
      </c>
      <c r="E2157" s="885">
        <v>0.99456933021999583</v>
      </c>
      <c r="F2157" s="885">
        <v>0.98700071404206235</v>
      </c>
      <c r="G2157" s="885">
        <v>0.97970170584761918</v>
      </c>
      <c r="H2157" s="885">
        <v>1.0327607206448601</v>
      </c>
      <c r="I2157" s="885">
        <v>0.96269360711466712</v>
      </c>
      <c r="K2157">
        <v>1.9319263783469842</v>
      </c>
      <c r="L2157">
        <v>0</v>
      </c>
      <c r="M2157">
        <v>2.0081603683248222E-3</v>
      </c>
      <c r="N2157">
        <v>0.19897512632256814</v>
      </c>
      <c r="O2157">
        <v>2.4751266736636336E-2</v>
      </c>
      <c r="P2157">
        <v>2.0907211354490786E-2</v>
      </c>
      <c r="Q2157">
        <v>2.8927781143242093E-3</v>
      </c>
      <c r="R2157">
        <v>1.9965497204169633E-3</v>
      </c>
      <c r="S2157">
        <v>0.19819671585845797</v>
      </c>
      <c r="T2157">
        <v>1.0588717488361341</v>
      </c>
      <c r="U2157">
        <v>3.681167639487308E-2</v>
      </c>
      <c r="V2157">
        <v>0.24533697889602424</v>
      </c>
      <c r="W2157">
        <v>0.11938001751658135</v>
      </c>
      <c r="X2157">
        <v>2.0380518788265169E-2</v>
      </c>
      <c r="Y2157">
        <v>5.4339501765365257E-3</v>
      </c>
    </row>
    <row r="2158" spans="1:25" x14ac:dyDescent="0.25">
      <c r="A2158" s="881"/>
      <c r="B2158" s="1131">
        <v>1908</v>
      </c>
      <c r="C2158" s="885">
        <v>1.0118440690639765</v>
      </c>
      <c r="D2158" s="885">
        <v>1.0029947246617468</v>
      </c>
      <c r="E2158" s="885">
        <v>1.0004757452646384</v>
      </c>
      <c r="F2158" s="885">
        <v>0.98973807182058227</v>
      </c>
      <c r="G2158" s="885">
        <v>0.99058646083820578</v>
      </c>
      <c r="H2158" s="885">
        <v>0.98166865628352284</v>
      </c>
      <c r="I2158" s="885">
        <v>1.0311015910757031</v>
      </c>
      <c r="K2158">
        <v>1.9275821429065449</v>
      </c>
      <c r="L2158">
        <v>0</v>
      </c>
      <c r="M2158">
        <v>1.8902892216975831E-3</v>
      </c>
      <c r="N2158">
        <v>0.19071256646033327</v>
      </c>
      <c r="O2158">
        <v>2.4817741179169784E-2</v>
      </c>
      <c r="P2158">
        <v>2.1127536309979284E-2</v>
      </c>
      <c r="Q2158">
        <v>2.9175415680204172E-3</v>
      </c>
      <c r="R2158">
        <v>1.8787924333657727E-3</v>
      </c>
      <c r="S2158">
        <v>0.20757820540468835</v>
      </c>
      <c r="T2158">
        <v>1.0583286313645424</v>
      </c>
      <c r="U2158">
        <v>3.6883460349222269E-2</v>
      </c>
      <c r="V2158">
        <v>0.24578419392927472</v>
      </c>
      <c r="W2158">
        <v>0.11396039754770106</v>
      </c>
      <c r="X2158">
        <v>2.0369911922082248E-2</v>
      </c>
      <c r="Y2158">
        <v>5.1134536598624264E-3</v>
      </c>
    </row>
    <row r="2159" spans="1:25" x14ac:dyDescent="0.25">
      <c r="A2159" s="881"/>
      <c r="B2159" s="1131">
        <v>1909</v>
      </c>
      <c r="C2159" s="885">
        <v>1.0217698732206504</v>
      </c>
      <c r="D2159" s="885">
        <v>0.98891375382237257</v>
      </c>
      <c r="E2159" s="885">
        <v>0.97970204521264093</v>
      </c>
      <c r="F2159" s="885">
        <v>0.98571584360375375</v>
      </c>
      <c r="G2159" s="885">
        <v>1.007590983976719</v>
      </c>
      <c r="H2159" s="885">
        <v>1.0446656587089056</v>
      </c>
      <c r="I2159" s="885">
        <v>1.0072104325353706</v>
      </c>
      <c r="K2159">
        <v>1.9436228553533754</v>
      </c>
      <c r="L2159">
        <v>0</v>
      </c>
      <c r="M2159">
        <v>2.0956067419063821E-3</v>
      </c>
      <c r="N2159">
        <v>0.19825983847191953</v>
      </c>
      <c r="O2159">
        <v>2.474935174690086E-2</v>
      </c>
      <c r="P2159">
        <v>2.0837002271790334E-2</v>
      </c>
      <c r="Q2159">
        <v>2.8462377049507672E-3</v>
      </c>
      <c r="R2159">
        <v>2.083641556807278E-3</v>
      </c>
      <c r="S2159">
        <v>0.20842534778685529</v>
      </c>
      <c r="T2159">
        <v>1.0602448574565264</v>
      </c>
      <c r="U2159">
        <v>3.6525162445122869E-2</v>
      </c>
      <c r="V2159">
        <v>0.24616147890046616</v>
      </c>
      <c r="W2159">
        <v>0.12017816083503426</v>
      </c>
      <c r="X2159">
        <v>1.9736397473532594E-2</v>
      </c>
      <c r="Y2159">
        <v>5.6709854453748125E-3</v>
      </c>
    </row>
    <row r="2160" spans="1:25" x14ac:dyDescent="0.25">
      <c r="A2160" s="881"/>
      <c r="B2160" s="1131">
        <v>1910</v>
      </c>
      <c r="C2160" s="885">
        <v>1.0246700026141433</v>
      </c>
      <c r="D2160" s="885">
        <v>0.98414982253913397</v>
      </c>
      <c r="E2160" s="885">
        <v>1.0168267901954346</v>
      </c>
      <c r="F2160" s="885">
        <v>0.97172962593235523</v>
      </c>
      <c r="G2160" s="885">
        <v>1.0317978475147451</v>
      </c>
      <c r="H2160" s="885">
        <v>1.0260496124772243</v>
      </c>
      <c r="I2160" s="885">
        <v>0.9892167371309597</v>
      </c>
      <c r="K2160">
        <v>1.9394216400594646</v>
      </c>
      <c r="L2160">
        <v>0</v>
      </c>
      <c r="M2160">
        <v>1.9026745112964369E-3</v>
      </c>
      <c r="N2160">
        <v>0.20202830255359891</v>
      </c>
      <c r="O2160">
        <v>2.4738476182463064E-2</v>
      </c>
      <c r="P2160">
        <v>2.129902103601037E-2</v>
      </c>
      <c r="Q2160">
        <v>2.9522681088325954E-3</v>
      </c>
      <c r="R2160">
        <v>1.8916175217302707E-3</v>
      </c>
      <c r="S2160">
        <v>0.20274395646494045</v>
      </c>
      <c r="T2160">
        <v>1.056832183996175</v>
      </c>
      <c r="U2160">
        <v>3.6421785068075717E-2</v>
      </c>
      <c r="V2160">
        <v>0.24635988454687163</v>
      </c>
      <c r="W2160">
        <v>0.11938702798640644</v>
      </c>
      <c r="X2160">
        <v>2.1521431783053723E-2</v>
      </c>
      <c r="Y2160">
        <v>5.1483593226013466E-3</v>
      </c>
    </row>
    <row r="2161" spans="1:25" x14ac:dyDescent="0.25">
      <c r="A2161" s="881"/>
      <c r="B2161" s="1131">
        <v>1911</v>
      </c>
      <c r="C2161" s="885">
        <v>0.97783992526152752</v>
      </c>
      <c r="D2161" s="885">
        <v>0.98798057186317212</v>
      </c>
      <c r="E2161" s="885">
        <v>0.97928104616953537</v>
      </c>
      <c r="F2161" s="885">
        <v>0.96075073492170604</v>
      </c>
      <c r="G2161" s="885">
        <v>0.99925474480114396</v>
      </c>
      <c r="H2161" s="885">
        <v>1.0018063631917054</v>
      </c>
      <c r="I2161" s="885">
        <v>1.0022268894098314</v>
      </c>
      <c r="K2161">
        <v>1.9579353641692359</v>
      </c>
      <c r="L2161">
        <v>0</v>
      </c>
      <c r="M2161">
        <v>2.1027541339134295E-3</v>
      </c>
      <c r="N2161">
        <v>0.19862651672047452</v>
      </c>
      <c r="O2161">
        <v>2.587333640692448E-2</v>
      </c>
      <c r="P2161">
        <v>2.0991268682612436E-2</v>
      </c>
      <c r="Q2161">
        <v>2.9740287195257286E-3</v>
      </c>
      <c r="R2161">
        <v>2.090235322263068E-3</v>
      </c>
      <c r="S2161">
        <v>0.21233342776955177</v>
      </c>
      <c r="T2161">
        <v>1.0602838649117829</v>
      </c>
      <c r="U2161">
        <v>3.8166073645372327E-2</v>
      </c>
      <c r="V2161">
        <v>0.25255057032121753</v>
      </c>
      <c r="W2161">
        <v>0.12043561826321358</v>
      </c>
      <c r="X2161">
        <v>2.0024246038900909E-2</v>
      </c>
      <c r="Y2161">
        <v>5.6889315013112724E-3</v>
      </c>
    </row>
    <row r="2162" spans="1:25" x14ac:dyDescent="0.25">
      <c r="A2162" s="881"/>
      <c r="B2162" s="1131">
        <v>1912</v>
      </c>
      <c r="C2162" s="885">
        <v>0.99203250700800616</v>
      </c>
      <c r="D2162" s="885">
        <v>1.0230170493924944</v>
      </c>
      <c r="E2162" s="885">
        <v>0.99506404594953191</v>
      </c>
      <c r="F2162" s="885">
        <v>0.996747536211256</v>
      </c>
      <c r="G2162" s="885">
        <v>1.0263575904739755</v>
      </c>
      <c r="H2162" s="885">
        <v>1.0387092045407367</v>
      </c>
      <c r="I2162" s="885">
        <v>1.0322372584547796</v>
      </c>
      <c r="K2162">
        <v>1.9583708919856382</v>
      </c>
      <c r="L2162">
        <v>0</v>
      </c>
      <c r="M2162">
        <v>2.0434065466466891E-3</v>
      </c>
      <c r="N2162">
        <v>0.20278468986219139</v>
      </c>
      <c r="O2162">
        <v>2.5067346463041287E-2</v>
      </c>
      <c r="P2162">
        <v>2.1177860451897828E-2</v>
      </c>
      <c r="Q2162">
        <v>2.9348968160036858E-3</v>
      </c>
      <c r="R2162">
        <v>2.031644971623408E-3</v>
      </c>
      <c r="S2162">
        <v>0.2159865281818345</v>
      </c>
      <c r="T2162">
        <v>1.0588262057203743</v>
      </c>
      <c r="U2162">
        <v>3.7620048070275275E-2</v>
      </c>
      <c r="V2162">
        <v>0.24611792296511109</v>
      </c>
      <c r="W2162">
        <v>0.12162433197543245</v>
      </c>
      <c r="X2162">
        <v>2.0713355173323952E-2</v>
      </c>
      <c r="Y2162">
        <v>5.5294678811740154E-3</v>
      </c>
    </row>
    <row r="2163" spans="1:25" x14ac:dyDescent="0.25">
      <c r="A2163" s="881"/>
      <c r="B2163" s="1131">
        <v>1913</v>
      </c>
      <c r="C2163" s="885">
        <v>0.97683457779102068</v>
      </c>
      <c r="D2163" s="885">
        <v>0.97628162313277567</v>
      </c>
      <c r="E2163" s="885">
        <v>0.99735427542526001</v>
      </c>
      <c r="F2163" s="885">
        <v>1.0157573212282607</v>
      </c>
      <c r="G2163" s="885">
        <v>1.0050567218590569</v>
      </c>
      <c r="H2163" s="885">
        <v>0.99053966512668645</v>
      </c>
      <c r="I2163" s="885">
        <v>1.014627497393773</v>
      </c>
      <c r="K2163">
        <v>1.9650889041143556</v>
      </c>
      <c r="L2163">
        <v>0</v>
      </c>
      <c r="M2163">
        <v>2.0155277045298616E-3</v>
      </c>
      <c r="N2163">
        <v>0.20139593114391732</v>
      </c>
      <c r="O2163">
        <v>2.6053514536466767E-2</v>
      </c>
      <c r="P2163">
        <v>2.1318736568635002E-2</v>
      </c>
      <c r="Q2163">
        <v>3.0474501108005195E-3</v>
      </c>
      <c r="R2163">
        <v>2.0034018050282508E-3</v>
      </c>
      <c r="S2163">
        <v>0.21516656304579143</v>
      </c>
      <c r="T2163">
        <v>1.0586154932323948</v>
      </c>
      <c r="U2163">
        <v>3.8205353751206976E-2</v>
      </c>
      <c r="V2163">
        <v>0.25423701494867396</v>
      </c>
      <c r="W2163">
        <v>0.12060175367506823</v>
      </c>
      <c r="X2163">
        <v>2.1006619708843932E-2</v>
      </c>
      <c r="Y2163">
        <v>5.4525992920593635E-3</v>
      </c>
    </row>
    <row r="2164" spans="1:25" x14ac:dyDescent="0.25">
      <c r="A2164" s="881"/>
      <c r="B2164" s="1131">
        <v>1914</v>
      </c>
      <c r="C2164" s="885">
        <v>0.9948791403062176</v>
      </c>
      <c r="D2164" s="885">
        <v>0.98499827792627903</v>
      </c>
      <c r="E2164" s="885">
        <v>1.0064045871428844</v>
      </c>
      <c r="F2164" s="885">
        <v>0.99796539203682111</v>
      </c>
      <c r="G2164" s="885">
        <v>0.99192568021910388</v>
      </c>
      <c r="H2164" s="885">
        <v>0.99288879888500714</v>
      </c>
      <c r="I2164" s="885">
        <v>0.99699520450536216</v>
      </c>
      <c r="K2164">
        <v>1.946500152861822</v>
      </c>
      <c r="L2164">
        <v>0</v>
      </c>
      <c r="M2164">
        <v>1.9376442329579412E-3</v>
      </c>
      <c r="N2164">
        <v>0.19914392910413856</v>
      </c>
      <c r="O2164">
        <v>2.5468360652648025E-2</v>
      </c>
      <c r="P2164">
        <v>2.1277752441328828E-2</v>
      </c>
      <c r="Q2164">
        <v>3.0080805546515038E-3</v>
      </c>
      <c r="R2164">
        <v>1.9260072526275651E-3</v>
      </c>
      <c r="S2164">
        <v>0.20698515603940304</v>
      </c>
      <c r="T2164">
        <v>1.0577848184996674</v>
      </c>
      <c r="U2164">
        <v>3.7512406370717462E-2</v>
      </c>
      <c r="V2164">
        <v>0.25043510513782702</v>
      </c>
      <c r="W2164">
        <v>0.11851794507318245</v>
      </c>
      <c r="X2164">
        <v>2.1136279135056647E-2</v>
      </c>
      <c r="Y2164">
        <v>5.2419568335320393E-3</v>
      </c>
    </row>
    <row r="2165" spans="1:25" x14ac:dyDescent="0.25">
      <c r="A2165" s="881"/>
      <c r="B2165" s="1131">
        <v>1915</v>
      </c>
      <c r="C2165" s="885">
        <v>1.0003891185474383</v>
      </c>
      <c r="D2165" s="885">
        <v>0.99384970293199226</v>
      </c>
      <c r="E2165" s="885">
        <v>1.0316460638591516</v>
      </c>
      <c r="F2165" s="885">
        <v>1.0098714138827647</v>
      </c>
      <c r="G2165" s="885">
        <v>1.0278549612565144</v>
      </c>
      <c r="H2165" s="885">
        <v>0.99882504807738404</v>
      </c>
      <c r="I2165" s="885">
        <v>0.98209886889977827</v>
      </c>
      <c r="K2165">
        <v>1.9433710174152945</v>
      </c>
      <c r="L2165">
        <v>0</v>
      </c>
      <c r="M2165">
        <v>1.82973048755329E-3</v>
      </c>
      <c r="N2165">
        <v>0.20339996235555119</v>
      </c>
      <c r="O2165">
        <v>2.5216009613491561E-2</v>
      </c>
      <c r="P2165">
        <v>2.1551534109634719E-2</v>
      </c>
      <c r="Q2165">
        <v>3.0559128422414515E-3</v>
      </c>
      <c r="R2165">
        <v>1.8188001126264171E-3</v>
      </c>
      <c r="S2165">
        <v>0.20252898307238706</v>
      </c>
      <c r="T2165">
        <v>1.0554849478979025</v>
      </c>
      <c r="U2165">
        <v>3.7305794224457241E-2</v>
      </c>
      <c r="V2165">
        <v>0.24852121886598702</v>
      </c>
      <c r="W2165">
        <v>0.11900513234555375</v>
      </c>
      <c r="X2165">
        <v>2.236227812374127E-2</v>
      </c>
      <c r="Y2165">
        <v>4.9501743392731173E-3</v>
      </c>
    </row>
    <row r="2166" spans="1:25" x14ac:dyDescent="0.25">
      <c r="A2166" s="881"/>
      <c r="B2166" s="1131">
        <v>1916</v>
      </c>
      <c r="C2166" s="885">
        <v>1.0380538958805197</v>
      </c>
      <c r="D2166" s="885">
        <v>0.99624143451727221</v>
      </c>
      <c r="E2166" s="885">
        <v>1.04257802105855</v>
      </c>
      <c r="F2166" s="885">
        <v>0.99653540160311727</v>
      </c>
      <c r="G2166" s="885">
        <v>1.0360092002161791</v>
      </c>
      <c r="H2166" s="885">
        <v>1.0134954114759014</v>
      </c>
      <c r="I2166" s="885">
        <v>0.99668969279282094</v>
      </c>
      <c r="K2166">
        <v>1.926291304546786</v>
      </c>
      <c r="L2166">
        <v>0</v>
      </c>
      <c r="M2166">
        <v>1.7462144069869089E-3</v>
      </c>
      <c r="N2166">
        <v>0.20083007627263061</v>
      </c>
      <c r="O2166">
        <v>2.4272155550485706E-2</v>
      </c>
      <c r="P2166">
        <v>2.1567145257571994E-2</v>
      </c>
      <c r="Q2166">
        <v>2.9738676206659317E-3</v>
      </c>
      <c r="R2166">
        <v>1.7359322167752583E-3</v>
      </c>
      <c r="S2166">
        <v>0.19928970115911129</v>
      </c>
      <c r="T2166">
        <v>1.0544966230462396</v>
      </c>
      <c r="U2166">
        <v>3.5952189716758655E-2</v>
      </c>
      <c r="V2166">
        <v>0.24307851056403454</v>
      </c>
      <c r="W2166">
        <v>0.11664810229355656</v>
      </c>
      <c r="X2166">
        <v>2.2468580011782147E-2</v>
      </c>
      <c r="Y2166">
        <v>4.7246352441607884E-3</v>
      </c>
    </row>
    <row r="2167" spans="1:25" x14ac:dyDescent="0.25">
      <c r="A2167" s="881"/>
      <c r="B2167" s="1131">
        <v>1917</v>
      </c>
      <c r="C2167" s="885">
        <v>0.9898525891413138</v>
      </c>
      <c r="D2167" s="885">
        <v>1.0275116869369454</v>
      </c>
      <c r="E2167" s="885">
        <v>0.98187878385346894</v>
      </c>
      <c r="F2167" s="885">
        <v>1.0364855805255062</v>
      </c>
      <c r="G2167" s="885">
        <v>0.98175696317514682</v>
      </c>
      <c r="H2167" s="885">
        <v>1.0399386554545331</v>
      </c>
      <c r="I2167" s="885">
        <v>1.0278474054334468</v>
      </c>
      <c r="K2167">
        <v>1.9551068847363129</v>
      </c>
      <c r="L2167">
        <v>0</v>
      </c>
      <c r="M2167">
        <v>2.1034054198222729E-3</v>
      </c>
      <c r="N2167">
        <v>0.20034349559233591</v>
      </c>
      <c r="O2167">
        <v>2.5068281830171048E-2</v>
      </c>
      <c r="P2167">
        <v>2.097262713322736E-2</v>
      </c>
      <c r="Q2167">
        <v>2.8969930232609674E-3</v>
      </c>
      <c r="R2167">
        <v>2.0913091786498453E-3</v>
      </c>
      <c r="S2167">
        <v>0.21523671418030657</v>
      </c>
      <c r="T2167">
        <v>1.0600432824860049</v>
      </c>
      <c r="U2167">
        <v>3.770289739130938E-2</v>
      </c>
      <c r="V2167">
        <v>0.24588713427398881</v>
      </c>
      <c r="W2167">
        <v>0.12125801379024607</v>
      </c>
      <c r="X2167">
        <v>2.0017687092234556E-2</v>
      </c>
      <c r="Y2167">
        <v>5.6918541843994181E-3</v>
      </c>
    </row>
    <row r="2168" spans="1:25" x14ac:dyDescent="0.25">
      <c r="A2168" s="881"/>
      <c r="B2168" s="1131">
        <v>1918</v>
      </c>
      <c r="C2168" s="885">
        <v>0.96470395418081034</v>
      </c>
      <c r="D2168" s="885">
        <v>0.96050764877335304</v>
      </c>
      <c r="E2168" s="885">
        <v>1.0068359761146335</v>
      </c>
      <c r="F2168" s="885">
        <v>0.99302648695164386</v>
      </c>
      <c r="G2168" s="885">
        <v>0.97603574731930709</v>
      </c>
      <c r="H2168" s="885">
        <v>1.0150381218799196</v>
      </c>
      <c r="I2168" s="885">
        <v>0.99658818127301674</v>
      </c>
      <c r="K2168">
        <v>1.9911114628341946</v>
      </c>
      <c r="L2168">
        <v>0</v>
      </c>
      <c r="M2168">
        <v>2.0666449379504897E-3</v>
      </c>
      <c r="N2168">
        <v>0.21271752155786638</v>
      </c>
      <c r="O2168">
        <v>2.6595650856410399E-2</v>
      </c>
      <c r="P2168">
        <v>2.1561460523512571E-2</v>
      </c>
      <c r="Q2168">
        <v>3.13700459931365E-3</v>
      </c>
      <c r="R2168">
        <v>2.0545254739514894E-3</v>
      </c>
      <c r="S2168">
        <v>0.21822473105249723</v>
      </c>
      <c r="T2168">
        <v>1.0577453035736519</v>
      </c>
      <c r="U2168">
        <v>3.8685765139843176E-2</v>
      </c>
      <c r="V2168">
        <v>0.25824753623785002</v>
      </c>
      <c r="W2168">
        <v>0.12655890360742647</v>
      </c>
      <c r="X2168">
        <v>2.2057964083866829E-2</v>
      </c>
      <c r="Y2168">
        <v>5.5917410659554884E-3</v>
      </c>
    </row>
    <row r="2169" spans="1:25" x14ac:dyDescent="0.25">
      <c r="A2169" s="881"/>
      <c r="B2169" s="1131">
        <v>1919</v>
      </c>
      <c r="C2169" s="885">
        <v>1.0169181601471373</v>
      </c>
      <c r="D2169" s="885">
        <v>0.98493952942199403</v>
      </c>
      <c r="E2169" s="885">
        <v>0.9902691423379093</v>
      </c>
      <c r="F2169" s="885">
        <v>1.0214274059653754</v>
      </c>
      <c r="G2169" s="885">
        <v>0.99256234701333945</v>
      </c>
      <c r="H2169" s="885">
        <v>0.97730698729369714</v>
      </c>
      <c r="I2169" s="885">
        <v>0.99252638509644942</v>
      </c>
      <c r="K2169">
        <v>1.9193079089257443</v>
      </c>
      <c r="L2169">
        <v>0</v>
      </c>
      <c r="M2169">
        <v>1.9304348493262729E-3</v>
      </c>
      <c r="N2169">
        <v>0.18866982457636586</v>
      </c>
      <c r="O2169">
        <v>2.491713826810257E-2</v>
      </c>
      <c r="P2169">
        <v>2.0895699272578762E-2</v>
      </c>
      <c r="Q2169">
        <v>2.8955726389006883E-3</v>
      </c>
      <c r="R2169">
        <v>1.9186563703840027E-3</v>
      </c>
      <c r="S2169">
        <v>0.20004651258467235</v>
      </c>
      <c r="T2169">
        <v>1.059268021577346</v>
      </c>
      <c r="U2169">
        <v>3.6699423870566954E-2</v>
      </c>
      <c r="V2169">
        <v>0.24733167773570819</v>
      </c>
      <c r="W2169">
        <v>0.11353243103575461</v>
      </c>
      <c r="X2169">
        <v>1.9841435689407275E-2</v>
      </c>
      <c r="Y2169">
        <v>5.2219501552827428E-3</v>
      </c>
    </row>
    <row r="2170" spans="1:25" x14ac:dyDescent="0.25">
      <c r="A2170" s="881"/>
      <c r="B2170" s="1131">
        <v>1920</v>
      </c>
      <c r="C2170" s="885">
        <v>1.0202476839072054</v>
      </c>
      <c r="D2170" s="885">
        <v>0.97036528125281041</v>
      </c>
      <c r="E2170" s="885">
        <v>1.0260672101034285</v>
      </c>
      <c r="F2170" s="885">
        <v>0.99069852740266084</v>
      </c>
      <c r="G2170" s="885">
        <v>1.029278194856788</v>
      </c>
      <c r="H2170" s="885">
        <v>1.0104666243709688</v>
      </c>
      <c r="I2170" s="885">
        <v>1.0225224799219748</v>
      </c>
      <c r="K2170">
        <v>1.9505712308969798</v>
      </c>
      <c r="L2170">
        <v>0</v>
      </c>
      <c r="M2170">
        <v>1.8584763719702254E-3</v>
      </c>
      <c r="N2170">
        <v>0.20306423327491208</v>
      </c>
      <c r="O2170">
        <v>2.5020347464511792E-2</v>
      </c>
      <c r="P2170">
        <v>2.1571431881211064E-2</v>
      </c>
      <c r="Q2170">
        <v>3.0104485019250291E-3</v>
      </c>
      <c r="R2170">
        <v>1.8475204981049033E-3</v>
      </c>
      <c r="S2170">
        <v>0.21024760565329179</v>
      </c>
      <c r="T2170">
        <v>1.0559911190597497</v>
      </c>
      <c r="U2170">
        <v>3.6579657263217331E-2</v>
      </c>
      <c r="V2170">
        <v>0.2487265869137964</v>
      </c>
      <c r="W2170">
        <v>0.11925405260406766</v>
      </c>
      <c r="X2170">
        <v>2.208836239328963E-2</v>
      </c>
      <c r="Y2170">
        <v>5.0283417608730291E-3</v>
      </c>
    </row>
    <row r="2171" spans="1:25" x14ac:dyDescent="0.25">
      <c r="A2171" s="881"/>
      <c r="B2171" s="1131">
        <v>1921</v>
      </c>
      <c r="C2171" s="885">
        <v>1.0083151046325238</v>
      </c>
      <c r="D2171" s="885">
        <v>0.97941772254377824</v>
      </c>
      <c r="E2171" s="885">
        <v>0.9743104804840369</v>
      </c>
      <c r="F2171" s="885">
        <v>1.0425737210532073</v>
      </c>
      <c r="G2171" s="885">
        <v>0.9865099174484887</v>
      </c>
      <c r="H2171" s="885">
        <v>0.9771021502540792</v>
      </c>
      <c r="I2171" s="885">
        <v>0.9622803574256128</v>
      </c>
      <c r="K2171">
        <v>1.9183328877347798</v>
      </c>
      <c r="L2171">
        <v>0</v>
      </c>
      <c r="M2171">
        <v>2.0184575557212268E-3</v>
      </c>
      <c r="N2171">
        <v>0.18770537922362987</v>
      </c>
      <c r="O2171">
        <v>2.5199938482753648E-2</v>
      </c>
      <c r="P2171">
        <v>2.0640778846723603E-2</v>
      </c>
      <c r="Q2171">
        <v>2.8802404993367382E-3</v>
      </c>
      <c r="R2171">
        <v>2.0061442635200088E-3</v>
      </c>
      <c r="S2171">
        <v>0.19609154464041786</v>
      </c>
      <c r="T2171">
        <v>1.0607449295627849</v>
      </c>
      <c r="U2171">
        <v>3.70125473965979E-2</v>
      </c>
      <c r="V2171">
        <v>0.24923130908408292</v>
      </c>
      <c r="W2171">
        <v>0.11420778489517926</v>
      </c>
      <c r="X2171">
        <v>1.9170685035452772E-2</v>
      </c>
      <c r="Y2171">
        <v>5.4600633600227306E-3</v>
      </c>
    </row>
    <row r="2172" spans="1:25" x14ac:dyDescent="0.25">
      <c r="A2172" s="881"/>
      <c r="B2172" s="1131">
        <v>1922</v>
      </c>
      <c r="C2172" s="885">
        <v>1.0203138708628785</v>
      </c>
      <c r="D2172" s="885">
        <v>1.0104883847374104</v>
      </c>
      <c r="E2172" s="885">
        <v>0.98890195943237191</v>
      </c>
      <c r="F2172" s="885">
        <v>0.99645847505744267</v>
      </c>
      <c r="G2172" s="885">
        <v>0.99948723988971133</v>
      </c>
      <c r="H2172" s="885">
        <v>1.0152175275223383</v>
      </c>
      <c r="I2172" s="885">
        <v>1.0120082946406064</v>
      </c>
      <c r="K2172">
        <v>1.9265594083103683</v>
      </c>
      <c r="L2172">
        <v>0</v>
      </c>
      <c r="M2172">
        <v>1.9791626966247544E-3</v>
      </c>
      <c r="N2172">
        <v>0.19265269930741202</v>
      </c>
      <c r="O2172">
        <v>2.4521294039546386E-2</v>
      </c>
      <c r="P2172">
        <v>2.0888550580804299E-2</v>
      </c>
      <c r="Q2172">
        <v>2.8507262424780481E-3</v>
      </c>
      <c r="R2172">
        <v>1.9675171751988322E-3</v>
      </c>
      <c r="S2172">
        <v>0.20470527686393372</v>
      </c>
      <c r="T2172">
        <v>1.059394161437925</v>
      </c>
      <c r="U2172">
        <v>3.6577284369715767E-2</v>
      </c>
      <c r="V2172">
        <v>0.24373004611718083</v>
      </c>
      <c r="W2172">
        <v>0.11603842742267506</v>
      </c>
      <c r="X2172">
        <v>1.985765429109022E-2</v>
      </c>
      <c r="Y2172">
        <v>5.3549331590287304E-3</v>
      </c>
    </row>
    <row r="2173" spans="1:25" x14ac:dyDescent="0.25">
      <c r="A2173" s="881"/>
      <c r="B2173" s="1131">
        <v>1923</v>
      </c>
      <c r="C2173" s="885">
        <v>0.98021747731390829</v>
      </c>
      <c r="D2173" s="885">
        <v>0.98881230955101784</v>
      </c>
      <c r="E2173" s="885">
        <v>0.99922572160718404</v>
      </c>
      <c r="F2173" s="885">
        <v>0.95686357517082754</v>
      </c>
      <c r="G2173" s="885">
        <v>0.98826526867300102</v>
      </c>
      <c r="H2173" s="885">
        <v>0.99772706093854679</v>
      </c>
      <c r="I2173" s="885">
        <v>1.0187168653157208</v>
      </c>
      <c r="K2173">
        <v>1.9615974237661862</v>
      </c>
      <c r="L2173">
        <v>0</v>
      </c>
      <c r="M2173">
        <v>2.0024886446579331E-3</v>
      </c>
      <c r="N2173">
        <v>0.2012692812296018</v>
      </c>
      <c r="O2173">
        <v>2.5799813538970338E-2</v>
      </c>
      <c r="P2173">
        <v>2.1309982766673459E-2</v>
      </c>
      <c r="Q2173">
        <v>3.0261726649868331E-3</v>
      </c>
      <c r="R2173">
        <v>1.9905173213239924E-3</v>
      </c>
      <c r="S2173">
        <v>0.21478878509203059</v>
      </c>
      <c r="T2173">
        <v>1.0584434624984969</v>
      </c>
      <c r="U2173">
        <v>3.8073500488060914E-2</v>
      </c>
      <c r="V2173">
        <v>0.25208909315292183</v>
      </c>
      <c r="W2173">
        <v>0.12037149072143941</v>
      </c>
      <c r="X2173">
        <v>2.1020280961550314E-2</v>
      </c>
      <c r="Y2173">
        <v>5.4175319747852835E-3</v>
      </c>
    </row>
    <row r="2174" spans="1:25" x14ac:dyDescent="0.25">
      <c r="A2174" s="881"/>
      <c r="B2174" s="1131">
        <v>1924</v>
      </c>
      <c r="C2174" s="885">
        <v>0.98940020468135381</v>
      </c>
      <c r="D2174" s="885">
        <v>1.0124885742757961</v>
      </c>
      <c r="E2174" s="885">
        <v>1.0011588501082711</v>
      </c>
      <c r="F2174" s="885">
        <v>1.0215350852895002</v>
      </c>
      <c r="G2174" s="885">
        <v>0.9946563524333415</v>
      </c>
      <c r="H2174" s="885">
        <v>1.0340140645818763</v>
      </c>
      <c r="I2174" s="885">
        <v>0.9818319138960806</v>
      </c>
      <c r="K2174">
        <v>1.9531290422567571</v>
      </c>
      <c r="L2174">
        <v>0</v>
      </c>
      <c r="M2174">
        <v>2.0238817383679509E-3</v>
      </c>
      <c r="N2174">
        <v>0.20468780551366189</v>
      </c>
      <c r="O2174">
        <v>2.526275723018015E-2</v>
      </c>
      <c r="P2174">
        <v>2.1161225637683769E-2</v>
      </c>
      <c r="Q2174">
        <v>2.9738419070052154E-3</v>
      </c>
      <c r="R2174">
        <v>2.0121879710755814E-3</v>
      </c>
      <c r="S2174">
        <v>0.20649705414857392</v>
      </c>
      <c r="T2174">
        <v>1.0582659049110865</v>
      </c>
      <c r="U2174">
        <v>3.7720136325357111E-2</v>
      </c>
      <c r="V2174">
        <v>0.2477695732354081</v>
      </c>
      <c r="W2174">
        <v>0.12225418585877253</v>
      </c>
      <c r="X2174">
        <v>2.1071738916637467E-2</v>
      </c>
      <c r="Y2174">
        <v>5.4765123396813397E-3</v>
      </c>
    </row>
    <row r="2175" spans="1:25" x14ac:dyDescent="0.25">
      <c r="A2175" s="881"/>
      <c r="B2175" s="1131">
        <v>1925</v>
      </c>
      <c r="C2175" s="885">
        <v>1.0347923890981838</v>
      </c>
      <c r="D2175" s="885">
        <v>0.97143399056974444</v>
      </c>
      <c r="E2175" s="885">
        <v>1.0125567327405991</v>
      </c>
      <c r="F2175" s="885">
        <v>1.029338082337208</v>
      </c>
      <c r="G2175" s="885">
        <v>0.98848549189455737</v>
      </c>
      <c r="H2175" s="885">
        <v>0.98756045306182938</v>
      </c>
      <c r="I2175" s="885">
        <v>1.030343851341889</v>
      </c>
      <c r="K2175">
        <v>1.9283605803296517</v>
      </c>
      <c r="L2175">
        <v>0</v>
      </c>
      <c r="M2175">
        <v>1.8416487812466511E-3</v>
      </c>
      <c r="N2175">
        <v>0.19292779848296188</v>
      </c>
      <c r="O2175">
        <v>2.4655177293125937E-2</v>
      </c>
      <c r="P2175">
        <v>2.1286628445701273E-2</v>
      </c>
      <c r="Q2175">
        <v>2.9271458272310245E-3</v>
      </c>
      <c r="R2175">
        <v>1.8305394317359616E-3</v>
      </c>
      <c r="S2175">
        <v>0.20643049021316728</v>
      </c>
      <c r="T2175">
        <v>1.0572219729274535</v>
      </c>
      <c r="U2175">
        <v>3.6065505500520116E-2</v>
      </c>
      <c r="V2175">
        <v>0.24659572264980267</v>
      </c>
      <c r="W2175">
        <v>0.11433934769476876</v>
      </c>
      <c r="X2175">
        <v>2.0939775748404804E-2</v>
      </c>
      <c r="Y2175">
        <v>4.9821248960237935E-3</v>
      </c>
    </row>
    <row r="2176" spans="1:25" x14ac:dyDescent="0.25">
      <c r="A2176" s="881"/>
      <c r="B2176" s="1131">
        <v>1926</v>
      </c>
      <c r="C2176" s="885">
        <v>1.017159306129495</v>
      </c>
      <c r="D2176" s="885">
        <v>1.0018546527724217</v>
      </c>
      <c r="E2176" s="885">
        <v>0.99661889068837506</v>
      </c>
      <c r="F2176" s="885">
        <v>1.0204709115888111</v>
      </c>
      <c r="G2176" s="885">
        <v>1.0037432532437243</v>
      </c>
      <c r="H2176" s="885">
        <v>0.97596319502849282</v>
      </c>
      <c r="I2176" s="885">
        <v>1.0375679675035114</v>
      </c>
      <c r="K2176">
        <v>1.9222921375417195</v>
      </c>
      <c r="L2176">
        <v>0</v>
      </c>
      <c r="M2176">
        <v>1.8857853396111711E-3</v>
      </c>
      <c r="N2176">
        <v>0.18798200469680992</v>
      </c>
      <c r="O2176">
        <v>2.4701952017266233E-2</v>
      </c>
      <c r="P2176">
        <v>2.1057245775014447E-2</v>
      </c>
      <c r="Q2176">
        <v>2.8924551839689138E-3</v>
      </c>
      <c r="R2176">
        <v>1.874249802333429E-3</v>
      </c>
      <c r="S2176">
        <v>0.20730844538052448</v>
      </c>
      <c r="T2176">
        <v>1.0586831300270352</v>
      </c>
      <c r="U2176">
        <v>3.6690723248581837E-2</v>
      </c>
      <c r="V2176">
        <v>0.24519550015543853</v>
      </c>
      <c r="W2176">
        <v>0.112625879775286</v>
      </c>
      <c r="X2176">
        <v>2.0065246703402775E-2</v>
      </c>
      <c r="Y2176">
        <v>5.101090115670304E-3</v>
      </c>
    </row>
    <row r="2177" spans="1:25" x14ac:dyDescent="0.25">
      <c r="A2177" s="881"/>
      <c r="B2177" s="1131">
        <v>1927</v>
      </c>
      <c r="C2177" s="885">
        <v>1.003300201965263</v>
      </c>
      <c r="D2177" s="885">
        <v>0.97465839587835001</v>
      </c>
      <c r="E2177" s="885">
        <v>1.0203164645710874</v>
      </c>
      <c r="F2177" s="885">
        <v>1.0195798386671417</v>
      </c>
      <c r="G2177" s="885">
        <v>1.0080318019499037</v>
      </c>
      <c r="H2177" s="885">
        <v>0.99478103157116593</v>
      </c>
      <c r="I2177" s="885">
        <v>0.96299268295630158</v>
      </c>
      <c r="K2177">
        <v>1.940917170611193</v>
      </c>
      <c r="L2177">
        <v>0</v>
      </c>
      <c r="M2177">
        <v>1.87915941263217E-3</v>
      </c>
      <c r="N2177">
        <v>0.20167026410559963</v>
      </c>
      <c r="O2177">
        <v>2.5387234638046544E-2</v>
      </c>
      <c r="P2177">
        <v>2.1371875411680331E-2</v>
      </c>
      <c r="Q2177">
        <v>3.0381556226380261E-3</v>
      </c>
      <c r="R2177">
        <v>1.8679034520165431E-3</v>
      </c>
      <c r="S2177">
        <v>0.19939940516540747</v>
      </c>
      <c r="T2177">
        <v>1.0565141607643116</v>
      </c>
      <c r="U2177">
        <v>3.7197551169444551E-2</v>
      </c>
      <c r="V2177">
        <v>0.25056209518680045</v>
      </c>
      <c r="W2177">
        <v>0.11889487107589533</v>
      </c>
      <c r="X2177">
        <v>2.1808995989801086E-2</v>
      </c>
      <c r="Y2177">
        <v>5.0838174421815614E-3</v>
      </c>
    </row>
    <row r="2178" spans="1:25" x14ac:dyDescent="0.25">
      <c r="A2178" s="881"/>
      <c r="B2178" s="1131">
        <v>1928</v>
      </c>
      <c r="C2178" s="885">
        <v>0.97317667191282409</v>
      </c>
      <c r="D2178" s="885">
        <v>1.0190121336993825</v>
      </c>
      <c r="E2178" s="885">
        <v>0.98582715850130009</v>
      </c>
      <c r="F2178" s="885">
        <v>1.0003707495684637</v>
      </c>
      <c r="G2178" s="885">
        <v>1.0012150448443458</v>
      </c>
      <c r="H2178" s="885">
        <v>1.0155471264064262</v>
      </c>
      <c r="I2178" s="885">
        <v>0.98158871289594574</v>
      </c>
      <c r="K2178">
        <v>1.9518789723794763</v>
      </c>
      <c r="L2178">
        <v>0</v>
      </c>
      <c r="M2178">
        <v>2.0805139625802668E-3</v>
      </c>
      <c r="N2178">
        <v>0.20058812113251365</v>
      </c>
      <c r="O2178">
        <v>2.5602559645223864E-2</v>
      </c>
      <c r="P2178">
        <v>2.0979751490809367E-2</v>
      </c>
      <c r="Q2178">
        <v>2.9689061487244484E-3</v>
      </c>
      <c r="R2178">
        <v>2.0682689772856043E-3</v>
      </c>
      <c r="S2178">
        <v>0.20740267109660557</v>
      </c>
      <c r="T2178">
        <v>1.0596781159577873</v>
      </c>
      <c r="U2178">
        <v>3.8348957263393969E-2</v>
      </c>
      <c r="V2178">
        <v>0.24931712572715931</v>
      </c>
      <c r="W2178">
        <v>0.12107480336296488</v>
      </c>
      <c r="X2178">
        <v>2.0301059188102086E-2</v>
      </c>
      <c r="Y2178">
        <v>5.6291463514862913E-3</v>
      </c>
    </row>
    <row r="2179" spans="1:25" x14ac:dyDescent="0.25">
      <c r="A2179" s="881"/>
      <c r="B2179" s="1131">
        <v>1929</v>
      </c>
      <c r="C2179" s="885">
        <v>0.98347913684647714</v>
      </c>
      <c r="D2179" s="885">
        <v>0.95555415160233448</v>
      </c>
      <c r="E2179" s="885">
        <v>1.0140852745592379</v>
      </c>
      <c r="F2179" s="885">
        <v>0.99801158505805077</v>
      </c>
      <c r="G2179" s="885">
        <v>1.0050508710987582</v>
      </c>
      <c r="H2179" s="885">
        <v>1.0197153769817098</v>
      </c>
      <c r="I2179" s="885">
        <v>0.99399281944069129</v>
      </c>
      <c r="K2179">
        <v>1.9810970773651728</v>
      </c>
      <c r="L2179">
        <v>0</v>
      </c>
      <c r="M2179">
        <v>2.0107948122663325E-3</v>
      </c>
      <c r="N2179">
        <v>0.21169229688616104</v>
      </c>
      <c r="O2179">
        <v>2.6155177424295361E-2</v>
      </c>
      <c r="P2179">
        <v>2.1576334496032665E-2</v>
      </c>
      <c r="Q2179">
        <v>3.1063407862908956E-3</v>
      </c>
      <c r="R2179">
        <v>1.9990612431845319E-3</v>
      </c>
      <c r="S2179">
        <v>0.21450141622449767</v>
      </c>
      <c r="T2179">
        <v>1.0570823593162357</v>
      </c>
      <c r="U2179">
        <v>3.7947231621592248E-2</v>
      </c>
      <c r="V2179">
        <v>0.25604863661372856</v>
      </c>
      <c r="W2179">
        <v>0.12533025684373605</v>
      </c>
      <c r="X2179">
        <v>2.2227975008096916E-2</v>
      </c>
      <c r="Y2179">
        <v>5.4407857135865875E-3</v>
      </c>
    </row>
    <row r="2180" spans="1:25" x14ac:dyDescent="0.25">
      <c r="A2180" s="881"/>
      <c r="B2180" s="1131">
        <v>1930</v>
      </c>
      <c r="C2180" s="885">
        <v>0.9884622717584356</v>
      </c>
      <c r="D2180" s="885">
        <v>1.0102000394960173</v>
      </c>
      <c r="E2180" s="885">
        <v>0.97008179450027243</v>
      </c>
      <c r="F2180" s="885">
        <v>1.017333060653365</v>
      </c>
      <c r="G2180" s="885">
        <v>0.9927821836529731</v>
      </c>
      <c r="H2180" s="885">
        <v>0.98449465907236255</v>
      </c>
      <c r="I2180" s="885">
        <v>0.99749103241385473</v>
      </c>
      <c r="K2180">
        <v>1.9304464724931452</v>
      </c>
      <c r="L2180">
        <v>0</v>
      </c>
      <c r="M2180">
        <v>2.061237677878983E-3</v>
      </c>
      <c r="N2180">
        <v>0.18917953831099352</v>
      </c>
      <c r="O2180">
        <v>2.53150239589594E-2</v>
      </c>
      <c r="P2180">
        <v>2.0696477464499999E-2</v>
      </c>
      <c r="Q2180">
        <v>2.887167250388793E-3</v>
      </c>
      <c r="R2180">
        <v>2.0487309786046447E-3</v>
      </c>
      <c r="S2180">
        <v>0.20517587136596385</v>
      </c>
      <c r="T2180">
        <v>1.0611379315052178</v>
      </c>
      <c r="U2180">
        <v>3.7755928240463366E-2</v>
      </c>
      <c r="V2180">
        <v>0.24818365829670211</v>
      </c>
      <c r="W2180">
        <v>0.11544482941590029</v>
      </c>
      <c r="X2180">
        <v>1.9106583023553791E-2</v>
      </c>
      <c r="Y2180">
        <v>5.5759703597762543E-3</v>
      </c>
    </row>
    <row r="2181" spans="1:25" x14ac:dyDescent="0.25">
      <c r="A2181" s="881"/>
      <c r="B2181" s="1131">
        <v>1931</v>
      </c>
      <c r="C2181" s="885">
        <v>0.97943197662683912</v>
      </c>
      <c r="D2181" s="885">
        <v>1.0264215361332514</v>
      </c>
      <c r="E2181" s="885">
        <v>1.0090288055630219</v>
      </c>
      <c r="F2181" s="885">
        <v>1.0095120730922615</v>
      </c>
      <c r="G2181" s="885">
        <v>0.99942536584927044</v>
      </c>
      <c r="H2181" s="885">
        <v>0.97787538887612779</v>
      </c>
      <c r="I2181" s="885">
        <v>0.98693216899267988</v>
      </c>
      <c r="K2181">
        <v>1.9335733757880622</v>
      </c>
      <c r="L2181">
        <v>0</v>
      </c>
      <c r="M2181">
        <v>1.8888984523435339E-3</v>
      </c>
      <c r="N2181">
        <v>0.1957029677462061</v>
      </c>
      <c r="O2181">
        <v>2.5348261289975683E-2</v>
      </c>
      <c r="P2181">
        <v>2.1225130660350779E-2</v>
      </c>
      <c r="Q2181">
        <v>3.0103813189170073E-3</v>
      </c>
      <c r="R2181">
        <v>1.8773472101002665E-3</v>
      </c>
      <c r="S2181">
        <v>0.2027213388132966</v>
      </c>
      <c r="T2181">
        <v>1.0575445541825534</v>
      </c>
      <c r="U2181">
        <v>3.8104035289360245E-2</v>
      </c>
      <c r="V2181">
        <v>0.24750259231805818</v>
      </c>
      <c r="W2181">
        <v>0.11626227600482546</v>
      </c>
      <c r="X2181">
        <v>2.10538691682082E-2</v>
      </c>
      <c r="Y2181">
        <v>5.109520238551441E-3</v>
      </c>
    </row>
    <row r="2182" spans="1:25" x14ac:dyDescent="0.25">
      <c r="A2182" s="881"/>
      <c r="B2182" s="1131">
        <v>1932</v>
      </c>
      <c r="C2182" s="885">
        <v>1.0420493236925552</v>
      </c>
      <c r="D2182" s="885">
        <v>1.0209793106315905</v>
      </c>
      <c r="E2182" s="885">
        <v>1.0001533400777078</v>
      </c>
      <c r="F2182" s="885">
        <v>1.0029160009799594</v>
      </c>
      <c r="G2182" s="885">
        <v>1.0230283099354094</v>
      </c>
      <c r="H2182" s="885">
        <v>1.0144509317132802</v>
      </c>
      <c r="I2182" s="885">
        <v>0.98313313152498549</v>
      </c>
      <c r="K2182">
        <v>1.9032070535960424</v>
      </c>
      <c r="L2182">
        <v>0</v>
      </c>
      <c r="M2182">
        <v>1.8814970575732127E-3</v>
      </c>
      <c r="N2182">
        <v>0.18967133956440829</v>
      </c>
      <c r="O2182">
        <v>2.3887644858732883E-2</v>
      </c>
      <c r="P2182">
        <v>2.0835385478243602E-2</v>
      </c>
      <c r="Q2182">
        <v>2.8107528656290243E-3</v>
      </c>
      <c r="R2182">
        <v>1.8704099630745155E-3</v>
      </c>
      <c r="S2182">
        <v>0.19372458290364727</v>
      </c>
      <c r="T2182">
        <v>1.0583582427015472</v>
      </c>
      <c r="U2182">
        <v>3.5814341751761271E-2</v>
      </c>
      <c r="V2182">
        <v>0.23964579027453367</v>
      </c>
      <c r="W2182">
        <v>0.11336321184789815</v>
      </c>
      <c r="X2182">
        <v>2.001620910512943E-2</v>
      </c>
      <c r="Y2182">
        <v>5.0906393390102124E-3</v>
      </c>
    </row>
    <row r="2183" spans="1:25" x14ac:dyDescent="0.25">
      <c r="A2183" s="881"/>
      <c r="B2183" s="1131">
        <v>1933</v>
      </c>
      <c r="C2183" s="885">
        <v>1.033091928158647</v>
      </c>
      <c r="D2183" s="885">
        <v>1.0204959372712978</v>
      </c>
      <c r="E2183" s="885">
        <v>0.9625633721864012</v>
      </c>
      <c r="F2183" s="885">
        <v>1.0385311666321222</v>
      </c>
      <c r="G2183" s="885">
        <v>1.016300045109535</v>
      </c>
      <c r="H2183" s="885">
        <v>0.98683340578531487</v>
      </c>
      <c r="I2183" s="885">
        <v>1.008866647262858</v>
      </c>
      <c r="K2183">
        <v>1.8964355381214302</v>
      </c>
      <c r="L2183">
        <v>0</v>
      </c>
      <c r="M2183">
        <v>1.9982317878057118E-3</v>
      </c>
      <c r="N2183">
        <v>0.17914824358162804</v>
      </c>
      <c r="O2183">
        <v>2.4100394642020264E-2</v>
      </c>
      <c r="P2183">
        <v>2.0370470135005855E-2</v>
      </c>
      <c r="Q2183">
        <v>2.7294714146231217E-3</v>
      </c>
      <c r="R2183">
        <v>1.9861276698034595E-3</v>
      </c>
      <c r="S2183">
        <v>0.19786033193535829</v>
      </c>
      <c r="T2183">
        <v>1.0618383798892319</v>
      </c>
      <c r="U2183">
        <v>3.6124869030228039E-2</v>
      </c>
      <c r="V2183">
        <v>0.24085542972647705</v>
      </c>
      <c r="W2183">
        <v>0.10990070632671699</v>
      </c>
      <c r="X2183">
        <v>1.811376076774816E-2</v>
      </c>
      <c r="Y2183">
        <v>5.4055847903946288E-3</v>
      </c>
    </row>
    <row r="2184" spans="1:25" x14ac:dyDescent="0.25">
      <c r="A2184" s="881"/>
      <c r="B2184" s="1131">
        <v>1934</v>
      </c>
      <c r="C2184" s="885">
        <v>1.0000168746349549</v>
      </c>
      <c r="D2184" s="885">
        <v>1.0275275806520545</v>
      </c>
      <c r="E2184" s="885">
        <v>1.0190577986103166</v>
      </c>
      <c r="F2184" s="885">
        <v>0.96567821830646017</v>
      </c>
      <c r="G2184" s="885">
        <v>0.9949778142081086</v>
      </c>
      <c r="H2184" s="885">
        <v>1.0319247238729283</v>
      </c>
      <c r="I2184" s="885">
        <v>0.99244875409259847</v>
      </c>
      <c r="K2184">
        <v>1.9441593024977337</v>
      </c>
      <c r="L2184">
        <v>0</v>
      </c>
      <c r="M2184">
        <v>1.9103694954532057E-3</v>
      </c>
      <c r="N2184">
        <v>0.20425956625929087</v>
      </c>
      <c r="O2184">
        <v>2.4813295681770195E-2</v>
      </c>
      <c r="P2184">
        <v>2.1347495585174143E-2</v>
      </c>
      <c r="Q2184">
        <v>2.9766946199521623E-3</v>
      </c>
      <c r="R2184">
        <v>1.8992980331165299E-3</v>
      </c>
      <c r="S2184">
        <v>0.20491609257334484</v>
      </c>
      <c r="T2184">
        <v>1.0566288114339928</v>
      </c>
      <c r="U2184">
        <v>3.7319680844926061E-2</v>
      </c>
      <c r="V2184">
        <v>0.24447180755464137</v>
      </c>
      <c r="W2184">
        <v>0.12052373832970961</v>
      </c>
      <c r="X2184">
        <v>2.1743927934549837E-2</v>
      </c>
      <c r="Y2184">
        <v>5.1692631427148472E-3</v>
      </c>
    </row>
    <row r="2185" spans="1:25" x14ac:dyDescent="0.25">
      <c r="A2185" s="881"/>
      <c r="B2185" s="1131">
        <v>1935</v>
      </c>
      <c r="C2185" s="885">
        <v>1.0192569210729083</v>
      </c>
      <c r="D2185" s="885">
        <v>1.0305776882939759</v>
      </c>
      <c r="E2185" s="885">
        <v>0.96652694558948871</v>
      </c>
      <c r="F2185" s="885">
        <v>1.0001843211902295</v>
      </c>
      <c r="G2185" s="885">
        <v>1.0356584301251781</v>
      </c>
      <c r="H2185" s="885">
        <v>0.99913989056886476</v>
      </c>
      <c r="I2185" s="885">
        <v>0.96936769841391213</v>
      </c>
      <c r="K2185">
        <v>1.9000767358365966</v>
      </c>
      <c r="L2185">
        <v>0</v>
      </c>
      <c r="M2185">
        <v>2.0238329367839401E-3</v>
      </c>
      <c r="N2185">
        <v>0.18371373461391083</v>
      </c>
      <c r="O2185">
        <v>2.4309355551739964E-2</v>
      </c>
      <c r="P2185">
        <v>2.0378453679145928E-2</v>
      </c>
      <c r="Q2185">
        <v>2.7662212332546319E-3</v>
      </c>
      <c r="R2185">
        <v>2.0117165794975539E-3</v>
      </c>
      <c r="S2185">
        <v>0.19299720250305982</v>
      </c>
      <c r="T2185">
        <v>1.0614688441789712</v>
      </c>
      <c r="U2185">
        <v>3.6615214308902674E-2</v>
      </c>
      <c r="V2185">
        <v>0.2415136854736204</v>
      </c>
      <c r="W2185">
        <v>0.11238854836030875</v>
      </c>
      <c r="X2185">
        <v>1.8462362923770102E-2</v>
      </c>
      <c r="Y2185">
        <v>5.4752293672001382E-3</v>
      </c>
    </row>
    <row r="2186" spans="1:25" x14ac:dyDescent="0.25">
      <c r="A2186" s="881"/>
      <c r="B2186" s="1131">
        <v>1936</v>
      </c>
      <c r="C2186" s="885">
        <v>0.98578387780290444</v>
      </c>
      <c r="D2186" s="885">
        <v>0.9908209333265271</v>
      </c>
      <c r="E2186" s="885">
        <v>0.98633200972913515</v>
      </c>
      <c r="F2186" s="885">
        <v>1.0207298509674325</v>
      </c>
      <c r="G2186" s="885">
        <v>0.97832060333861381</v>
      </c>
      <c r="H2186" s="885">
        <v>0.98261376619746255</v>
      </c>
      <c r="I2186" s="885">
        <v>1.0297559181555689</v>
      </c>
      <c r="K2186">
        <v>1.9494336889255388</v>
      </c>
      <c r="L2186">
        <v>0</v>
      </c>
      <c r="M2186">
        <v>2.0129113932248316E-3</v>
      </c>
      <c r="N2186">
        <v>0.19433947620955436</v>
      </c>
      <c r="O2186">
        <v>2.5628337755823929E-2</v>
      </c>
      <c r="P2186">
        <v>2.1093602295824323E-2</v>
      </c>
      <c r="Q2186">
        <v>2.9676182869371563E-3</v>
      </c>
      <c r="R2186">
        <v>2.0006909485448033E-3</v>
      </c>
      <c r="S2186">
        <v>0.2140839986683121</v>
      </c>
      <c r="T2186">
        <v>1.0596314682956696</v>
      </c>
      <c r="U2186">
        <v>3.7858511831311004E-2</v>
      </c>
      <c r="V2186">
        <v>0.25100814149752071</v>
      </c>
      <c r="W2186">
        <v>0.11726221650317022</v>
      </c>
      <c r="X2186">
        <v>2.0127316791748714E-2</v>
      </c>
      <c r="Y2186">
        <v>5.4452212343450183E-3</v>
      </c>
    </row>
    <row r="2187" spans="1:25" x14ac:dyDescent="0.25">
      <c r="A2187" s="881"/>
      <c r="B2187" s="1131">
        <v>1937</v>
      </c>
      <c r="C2187" s="885">
        <v>0.99339123450269184</v>
      </c>
      <c r="D2187" s="885">
        <v>1.0096387931517143</v>
      </c>
      <c r="E2187" s="885">
        <v>1.0086652880008873</v>
      </c>
      <c r="F2187" s="885">
        <v>0.99614062920484736</v>
      </c>
      <c r="G2187" s="885">
        <v>0.98690899709647029</v>
      </c>
      <c r="H2187" s="885">
        <v>0.98604451734706822</v>
      </c>
      <c r="I2187" s="885">
        <v>0.98280828920098173</v>
      </c>
      <c r="K2187">
        <v>1.9321768003239443</v>
      </c>
      <c r="L2187">
        <v>0</v>
      </c>
      <c r="M2187">
        <v>1.8947016251497368E-3</v>
      </c>
      <c r="N2187">
        <v>0.19609382923450078</v>
      </c>
      <c r="O2187">
        <v>2.5196337749163262E-2</v>
      </c>
      <c r="P2187">
        <v>2.1194457892120686E-2</v>
      </c>
      <c r="Q2187">
        <v>2.9878420155935673E-3</v>
      </c>
      <c r="R2187">
        <v>1.883223904451527E-3</v>
      </c>
      <c r="S2187">
        <v>0.2013583626882724</v>
      </c>
      <c r="T2187">
        <v>1.0575778205557211</v>
      </c>
      <c r="U2187">
        <v>3.7568592619603755E-2</v>
      </c>
      <c r="V2187">
        <v>0.24755057633432986</v>
      </c>
      <c r="W2187">
        <v>0.11652327853622292</v>
      </c>
      <c r="X2187">
        <v>2.1011665755788035E-2</v>
      </c>
      <c r="Y2187">
        <v>5.1255146633237972E-3</v>
      </c>
    </row>
    <row r="2188" spans="1:25" x14ac:dyDescent="0.25">
      <c r="A2188" s="881"/>
      <c r="B2188" s="1131">
        <v>1938</v>
      </c>
      <c r="C2188" s="885">
        <v>1.0089712051598079</v>
      </c>
      <c r="D2188" s="885">
        <v>0.99927820590119509</v>
      </c>
      <c r="E2188" s="885">
        <v>1.0144569735381732</v>
      </c>
      <c r="F2188" s="885">
        <v>1.0049730987446035</v>
      </c>
      <c r="G2188" s="885">
        <v>0.99332082810617872</v>
      </c>
      <c r="H2188" s="885">
        <v>1.0157528665142568</v>
      </c>
      <c r="I2188" s="885">
        <v>0.98914775910812469</v>
      </c>
      <c r="K2188">
        <v>1.939994281253947</v>
      </c>
      <c r="L2188">
        <v>0</v>
      </c>
      <c r="M2188">
        <v>1.908014266378925E-3</v>
      </c>
      <c r="N2188">
        <v>0.20109562906034745</v>
      </c>
      <c r="O2188">
        <v>2.4934174039059835E-2</v>
      </c>
      <c r="P2188">
        <v>2.1285977117559252E-2</v>
      </c>
      <c r="Q2188">
        <v>2.9717738067759447E-3</v>
      </c>
      <c r="R2188">
        <v>1.8968019563019357E-3</v>
      </c>
      <c r="S2188">
        <v>0.20342225268357772</v>
      </c>
      <c r="T2188">
        <v>1.0570484229502211</v>
      </c>
      <c r="U2188">
        <v>3.6988479363993201E-2</v>
      </c>
      <c r="V2188">
        <v>0.24664365471965588</v>
      </c>
      <c r="W2188">
        <v>0.11902663170934291</v>
      </c>
      <c r="X2188">
        <v>2.1426028469033121E-2</v>
      </c>
      <c r="Y2188">
        <v>5.1624696444570227E-3</v>
      </c>
    </row>
    <row r="2189" spans="1:25" x14ac:dyDescent="0.25">
      <c r="A2189" s="881"/>
      <c r="B2189" s="1131">
        <v>1939</v>
      </c>
      <c r="C2189" s="885">
        <v>1.0074399531545448</v>
      </c>
      <c r="D2189" s="885">
        <v>0.99480302969913914</v>
      </c>
      <c r="E2189" s="885">
        <v>1.0078927157557453</v>
      </c>
      <c r="F2189" s="885">
        <v>0.96689171190535272</v>
      </c>
      <c r="G2189" s="885">
        <v>0.97938016495884406</v>
      </c>
      <c r="H2189" s="885">
        <v>1.0065997104852853</v>
      </c>
      <c r="I2189" s="885">
        <v>1.0324993561805194</v>
      </c>
      <c r="K2189">
        <v>1.946709647360779</v>
      </c>
      <c r="L2189">
        <v>0</v>
      </c>
      <c r="M2189">
        <v>1.9243691345051266E-3</v>
      </c>
      <c r="N2189">
        <v>0.19871240192797518</v>
      </c>
      <c r="O2189">
        <v>2.5027638881054505E-2</v>
      </c>
      <c r="P2189">
        <v>2.1322286561610958E-2</v>
      </c>
      <c r="Q2189">
        <v>2.9624882194080474E-3</v>
      </c>
      <c r="R2189">
        <v>1.9129614404177217E-3</v>
      </c>
      <c r="S2189">
        <v>0.21214773631600561</v>
      </c>
      <c r="T2189">
        <v>1.0576485376377984</v>
      </c>
      <c r="U2189">
        <v>3.7044699770003832E-2</v>
      </c>
      <c r="V2189">
        <v>0.24740917853650274</v>
      </c>
      <c r="W2189">
        <v>0.11814136884860042</v>
      </c>
      <c r="X2189">
        <v>2.1098267922660868E-2</v>
      </c>
      <c r="Y2189">
        <v>5.2064504332476865E-3</v>
      </c>
    </row>
    <row r="2190" spans="1:25" x14ac:dyDescent="0.25">
      <c r="A2190" s="881"/>
      <c r="B2190" s="1131">
        <v>1940</v>
      </c>
      <c r="C2190" s="885">
        <v>0.97225165460827678</v>
      </c>
      <c r="D2190" s="885">
        <v>0.99388005203355967</v>
      </c>
      <c r="E2190" s="885">
        <v>1.000347517633813</v>
      </c>
      <c r="F2190" s="885">
        <v>1.0118208679748391</v>
      </c>
      <c r="G2190" s="885">
        <v>1.0338243580859288</v>
      </c>
      <c r="H2190" s="885">
        <v>1.0238528843275816</v>
      </c>
      <c r="I2190" s="885">
        <v>1.007629944629131</v>
      </c>
      <c r="K2190">
        <v>1.9753429280061676</v>
      </c>
      <c r="L2190">
        <v>0</v>
      </c>
      <c r="M2190">
        <v>2.0616471263067435E-3</v>
      </c>
      <c r="N2190">
        <v>0.20797121590414469</v>
      </c>
      <c r="O2190">
        <v>2.5945381418066134E-2</v>
      </c>
      <c r="P2190">
        <v>2.1360419662948216E-2</v>
      </c>
      <c r="Q2190">
        <v>3.0477709460113131E-3</v>
      </c>
      <c r="R2190">
        <v>2.049632367528515E-3</v>
      </c>
      <c r="S2190">
        <v>0.21643763748323566</v>
      </c>
      <c r="T2190">
        <v>1.0583404079592689</v>
      </c>
      <c r="U2190">
        <v>3.8385443135042399E-2</v>
      </c>
      <c r="V2190">
        <v>0.25261829652718953</v>
      </c>
      <c r="W2190">
        <v>0.12428421379616968</v>
      </c>
      <c r="X2190">
        <v>2.1385732289583861E-2</v>
      </c>
      <c r="Y2190">
        <v>5.5784236432842513E-3</v>
      </c>
    </row>
    <row r="2191" spans="1:25" x14ac:dyDescent="0.25">
      <c r="A2191" s="881"/>
      <c r="B2191" s="1131">
        <v>1941</v>
      </c>
      <c r="C2191" s="885">
        <v>0.98629823088865343</v>
      </c>
      <c r="D2191" s="885">
        <v>0.98197833749833918</v>
      </c>
      <c r="E2191" s="885">
        <v>1.0097780117712312</v>
      </c>
      <c r="F2191" s="885">
        <v>0.97430286157374513</v>
      </c>
      <c r="G2191" s="885">
        <v>0.99652543070850563</v>
      </c>
      <c r="H2191" s="885">
        <v>1.0096029408924239</v>
      </c>
      <c r="I2191" s="885">
        <v>0.98337001313883265</v>
      </c>
      <c r="K2191">
        <v>1.9595838436144306</v>
      </c>
      <c r="L2191">
        <v>0</v>
      </c>
      <c r="M2191">
        <v>1.9763234132502893E-3</v>
      </c>
      <c r="N2191">
        <v>0.20528171737302378</v>
      </c>
      <c r="O2191">
        <v>2.5729105508487577E-2</v>
      </c>
      <c r="P2191">
        <v>2.1366729609531808E-2</v>
      </c>
      <c r="Q2191">
        <v>3.0484957142668401E-3</v>
      </c>
      <c r="R2191">
        <v>1.9646531354678572E-3</v>
      </c>
      <c r="S2191">
        <v>0.20792545679632729</v>
      </c>
      <c r="T2191">
        <v>1.0574760087724662</v>
      </c>
      <c r="U2191">
        <v>3.7838768672728236E-2</v>
      </c>
      <c r="V2191">
        <v>0.25207613920645522</v>
      </c>
      <c r="W2191">
        <v>0.12189068027331883</v>
      </c>
      <c r="X2191">
        <v>2.1615273778597146E-2</v>
      </c>
      <c r="Y2191">
        <v>5.3471381870114605E-3</v>
      </c>
    </row>
    <row r="2192" spans="1:25" x14ac:dyDescent="0.25">
      <c r="A2192" s="881"/>
      <c r="B2192" s="1131">
        <v>1942</v>
      </c>
      <c r="C2192" s="885">
        <v>0.96703151133728682</v>
      </c>
      <c r="D2192" s="885">
        <v>1.0327805908108838</v>
      </c>
      <c r="E2192" s="885">
        <v>0.98912527349329493</v>
      </c>
      <c r="F2192" s="885">
        <v>0.95626668489947642</v>
      </c>
      <c r="G2192" s="885">
        <v>1.0261587596984878</v>
      </c>
      <c r="H2192" s="885">
        <v>1.0057665724966387</v>
      </c>
      <c r="I2192" s="885">
        <v>1.0276165427615191</v>
      </c>
      <c r="K2192">
        <v>1.957560694166919</v>
      </c>
      <c r="L2192">
        <v>0</v>
      </c>
      <c r="M2192">
        <v>2.0456703949601651E-3</v>
      </c>
      <c r="N2192">
        <v>0.19925222988522112</v>
      </c>
      <c r="O2192">
        <v>2.5595253657389086E-2</v>
      </c>
      <c r="P2192">
        <v>2.1138885583284698E-2</v>
      </c>
      <c r="Q2192">
        <v>2.9807400513710857E-3</v>
      </c>
      <c r="R2192">
        <v>2.0335022169555867E-3</v>
      </c>
      <c r="S2192">
        <v>0.21613468406112571</v>
      </c>
      <c r="T2192">
        <v>1.0593735529360122</v>
      </c>
      <c r="U2192">
        <v>3.8592652011212633E-2</v>
      </c>
      <c r="V2192">
        <v>0.24853845582085185</v>
      </c>
      <c r="W2192">
        <v>0.11999497352273555</v>
      </c>
      <c r="X2192">
        <v>2.0436912124990492E-2</v>
      </c>
      <c r="Y2192">
        <v>5.5345226907274466E-3</v>
      </c>
    </row>
    <row r="2193" spans="1:25" x14ac:dyDescent="0.25">
      <c r="A2193" s="881"/>
      <c r="B2193" s="1131">
        <v>1943</v>
      </c>
      <c r="C2193" s="885">
        <v>0.97989991123984288</v>
      </c>
      <c r="D2193" s="885">
        <v>0.98884643504772551</v>
      </c>
      <c r="E2193" s="885">
        <v>1.0036141072811828</v>
      </c>
      <c r="F2193" s="885">
        <v>1.0296626207332757</v>
      </c>
      <c r="G2193" s="885">
        <v>1.0068693493166372</v>
      </c>
      <c r="H2193" s="885">
        <v>1.0159756365633945</v>
      </c>
      <c r="I2193" s="885">
        <v>1.0298153840800339</v>
      </c>
      <c r="K2193">
        <v>1.9733117683336556</v>
      </c>
      <c r="L2193">
        <v>0</v>
      </c>
      <c r="M2193">
        <v>2.020972616282762E-3</v>
      </c>
      <c r="N2193">
        <v>0.20594130531580682</v>
      </c>
      <c r="O2193">
        <v>2.5807733191245595E-2</v>
      </c>
      <c r="P2193">
        <v>2.143463268567801E-2</v>
      </c>
      <c r="Q2193">
        <v>3.0404808016511057E-3</v>
      </c>
      <c r="R2193">
        <v>2.0091077723633712E-3</v>
      </c>
      <c r="S2193">
        <v>0.21914736992381229</v>
      </c>
      <c r="T2193">
        <v>1.0580405997937208</v>
      </c>
      <c r="U2193">
        <v>3.8085839352405351E-2</v>
      </c>
      <c r="V2193">
        <v>0.25212791179011357</v>
      </c>
      <c r="W2193">
        <v>0.12279673906161027</v>
      </c>
      <c r="X2193">
        <v>2.1432892207354691E-2</v>
      </c>
      <c r="Y2193">
        <v>5.4681290541739348E-3</v>
      </c>
    </row>
    <row r="2194" spans="1:25" x14ac:dyDescent="0.25">
      <c r="A2194" s="881"/>
      <c r="B2194" s="1131">
        <v>1944</v>
      </c>
      <c r="C2194" s="885">
        <v>1.0012012399573675</v>
      </c>
      <c r="D2194" s="885">
        <v>1.0002628061126406</v>
      </c>
      <c r="E2194" s="885">
        <v>1.0011226373722915</v>
      </c>
      <c r="F2194" s="885">
        <v>0.99224420060886076</v>
      </c>
      <c r="G2194" s="885">
        <v>0.9849022954315283</v>
      </c>
      <c r="H2194" s="885">
        <v>0.98383718201761861</v>
      </c>
      <c r="I2194" s="885">
        <v>0.99102413570763226</v>
      </c>
      <c r="K2194">
        <v>1.9293011924442496</v>
      </c>
      <c r="L2194">
        <v>0</v>
      </c>
      <c r="M2194">
        <v>1.9145766905273671E-3</v>
      </c>
      <c r="N2194">
        <v>0.19355489858390559</v>
      </c>
      <c r="O2194">
        <v>2.5115432588227453E-2</v>
      </c>
      <c r="P2194">
        <v>2.1092293398767944E-2</v>
      </c>
      <c r="Q2194">
        <v>2.9538961350989465E-3</v>
      </c>
      <c r="R2194">
        <v>1.9029600456062831E-3</v>
      </c>
      <c r="S2194">
        <v>0.20210031652841412</v>
      </c>
      <c r="T2194">
        <v>1.05826922970783</v>
      </c>
      <c r="U2194">
        <v>3.7275533740355825E-2</v>
      </c>
      <c r="V2194">
        <v>0.2476028806373636</v>
      </c>
      <c r="W2194">
        <v>0.11560768044442214</v>
      </c>
      <c r="X2194">
        <v>2.0561417391251443E-2</v>
      </c>
      <c r="Y2194">
        <v>5.1792299335298624E-3</v>
      </c>
    </row>
    <row r="2195" spans="1:25" x14ac:dyDescent="0.25">
      <c r="A2195" s="881"/>
      <c r="B2195" s="1131">
        <v>1945</v>
      </c>
      <c r="C2195" s="885">
        <v>0.99599438792286821</v>
      </c>
      <c r="D2195" s="885">
        <v>0.99991308988036165</v>
      </c>
      <c r="E2195" s="885">
        <v>1.0101628407929624</v>
      </c>
      <c r="F2195" s="885">
        <v>0.99874095121452355</v>
      </c>
      <c r="G2195" s="885">
        <v>0.97933942950024111</v>
      </c>
      <c r="H2195" s="885">
        <v>1.0304566546715515</v>
      </c>
      <c r="I2195" s="885">
        <v>1.0294793880771285</v>
      </c>
      <c r="K2195">
        <v>1.9636894379964052</v>
      </c>
      <c r="L2195">
        <v>0</v>
      </c>
      <c r="M2195">
        <v>1.9780786296726E-3</v>
      </c>
      <c r="N2195">
        <v>0.20573320948225632</v>
      </c>
      <c r="O2195">
        <v>2.5251101178037028E-2</v>
      </c>
      <c r="P2195">
        <v>2.1426828664199649E-2</v>
      </c>
      <c r="Q2195">
        <v>2.9968047460276408E-3</v>
      </c>
      <c r="R2195">
        <v>1.966619952636404E-3</v>
      </c>
      <c r="S2195">
        <v>0.2159506156038101</v>
      </c>
      <c r="T2195">
        <v>1.0574408090066696</v>
      </c>
      <c r="U2195">
        <v>3.7470402497696634E-2</v>
      </c>
      <c r="V2195">
        <v>0.24838265505260948</v>
      </c>
      <c r="W2195">
        <v>0.12212682466223124</v>
      </c>
      <c r="X2195">
        <v>2.1569154564919715E-2</v>
      </c>
      <c r="Y2195">
        <v>5.3524912149831372E-3</v>
      </c>
    </row>
    <row r="2196" spans="1:25" x14ac:dyDescent="0.25">
      <c r="A2196" s="881"/>
      <c r="B2196" s="1131">
        <v>1946</v>
      </c>
      <c r="C2196" s="885">
        <v>1.012069922893656</v>
      </c>
      <c r="D2196" s="885">
        <v>0.99373095587220706</v>
      </c>
      <c r="E2196" s="885">
        <v>1.0433805805807916</v>
      </c>
      <c r="F2196" s="885">
        <v>1.0027586051590507</v>
      </c>
      <c r="G2196" s="885">
        <v>0.99679616405915794</v>
      </c>
      <c r="H2196" s="885">
        <v>1.0139854392136316</v>
      </c>
      <c r="I2196" s="885">
        <v>0.97469076733919358</v>
      </c>
      <c r="K2196">
        <v>1.942186957638337</v>
      </c>
      <c r="L2196">
        <v>0</v>
      </c>
      <c r="M2196">
        <v>1.7911025139676156E-3</v>
      </c>
      <c r="N2196">
        <v>0.20650674959713941</v>
      </c>
      <c r="O2196">
        <v>2.4926454584582845E-2</v>
      </c>
      <c r="P2196">
        <v>2.1657875436150786E-2</v>
      </c>
      <c r="Q2196">
        <v>3.0559018746530338E-3</v>
      </c>
      <c r="R2196">
        <v>1.780562954016704E-3</v>
      </c>
      <c r="S2196">
        <v>0.20017449824270345</v>
      </c>
      <c r="T2196">
        <v>1.0544242506757213</v>
      </c>
      <c r="U2196">
        <v>3.6875229425070426E-2</v>
      </c>
      <c r="V2196">
        <v>0.24690042159538153</v>
      </c>
      <c r="W2196">
        <v>0.11988136917104171</v>
      </c>
      <c r="X2196">
        <v>2.2948641197429585E-2</v>
      </c>
      <c r="Y2196">
        <v>4.8461053984134271E-3</v>
      </c>
    </row>
    <row r="2197" spans="1:25" x14ac:dyDescent="0.25">
      <c r="A2197" s="881"/>
      <c r="B2197" s="1131">
        <v>1947</v>
      </c>
      <c r="C2197" s="885">
        <v>1.0111687371699825</v>
      </c>
      <c r="D2197" s="885">
        <v>0.97401923362547138</v>
      </c>
      <c r="E2197" s="885">
        <v>0.98548024175150983</v>
      </c>
      <c r="F2197" s="885">
        <v>1.0275681905485095</v>
      </c>
      <c r="G2197" s="885">
        <v>0.97906789418471929</v>
      </c>
      <c r="H2197" s="885">
        <v>1.0047987481705181</v>
      </c>
      <c r="I2197" s="885">
        <v>0.98384029658048899</v>
      </c>
      <c r="K2197">
        <v>1.9369146390622156</v>
      </c>
      <c r="L2197">
        <v>0</v>
      </c>
      <c r="M2197">
        <v>2.0273972305480006E-3</v>
      </c>
      <c r="N2197">
        <v>0.19524720309373078</v>
      </c>
      <c r="O2197">
        <v>2.5197890950907451E-2</v>
      </c>
      <c r="P2197">
        <v>2.0901190989276643E-2</v>
      </c>
      <c r="Q2197">
        <v>2.9117574968971576E-3</v>
      </c>
      <c r="R2197">
        <v>2.0153749673305016E-3</v>
      </c>
      <c r="S2197">
        <v>0.20319135645822003</v>
      </c>
      <c r="T2197">
        <v>1.05971017639707</v>
      </c>
      <c r="U2197">
        <v>3.6908093801799567E-2</v>
      </c>
      <c r="V2197">
        <v>0.24952553522836013</v>
      </c>
      <c r="W2197">
        <v>0.11787929064136272</v>
      </c>
      <c r="X2197">
        <v>1.9968979974912596E-2</v>
      </c>
      <c r="Y2197">
        <v>5.4851862928941971E-3</v>
      </c>
    </row>
    <row r="2198" spans="1:25" x14ac:dyDescent="0.25">
      <c r="A2198" s="881"/>
      <c r="B2198" s="1131">
        <v>1948</v>
      </c>
      <c r="C2198" s="885">
        <v>1.0374025337184833</v>
      </c>
      <c r="D2198" s="885">
        <v>0.98230654902159875</v>
      </c>
      <c r="E2198" s="885">
        <v>0.96651174544202989</v>
      </c>
      <c r="F2198" s="885">
        <v>0.9547936514091967</v>
      </c>
      <c r="G2198" s="885">
        <v>0.9716907462541059</v>
      </c>
      <c r="H2198" s="885">
        <v>0.96208371993204167</v>
      </c>
      <c r="I2198" s="885">
        <v>0.99509974349852492</v>
      </c>
      <c r="K2198">
        <v>1.8957472531509509</v>
      </c>
      <c r="L2198">
        <v>0</v>
      </c>
      <c r="M2198">
        <v>1.9606793676496944E-3</v>
      </c>
      <c r="N2198">
        <v>0.17793492079506779</v>
      </c>
      <c r="O2198">
        <v>2.4457587677540412E-2</v>
      </c>
      <c r="P2198">
        <v>2.0445805497031979E-2</v>
      </c>
      <c r="Q2198">
        <v>2.7737791878908835E-3</v>
      </c>
      <c r="R2198">
        <v>1.9485293296974823E-3</v>
      </c>
      <c r="S2198">
        <v>0.19535608906547064</v>
      </c>
      <c r="T2198">
        <v>1.0614702601745276</v>
      </c>
      <c r="U2198">
        <v>3.5974763303445317E-2</v>
      </c>
      <c r="V2198">
        <v>0.24487331223843173</v>
      </c>
      <c r="W2198">
        <v>0.10885446548369221</v>
      </c>
      <c r="X2198">
        <v>1.8315165262888518E-2</v>
      </c>
      <c r="Y2198">
        <v>5.3032545029156435E-3</v>
      </c>
    </row>
    <row r="2199" spans="1:25" x14ac:dyDescent="0.25">
      <c r="A2199" s="881"/>
      <c r="B2199" s="1131">
        <v>1949</v>
      </c>
      <c r="C2199" s="885">
        <v>0.98199737492683148</v>
      </c>
      <c r="D2199" s="885">
        <v>1.0221890623556373</v>
      </c>
      <c r="E2199" s="885">
        <v>1.0291167271323354</v>
      </c>
      <c r="F2199" s="885">
        <v>1.0024285841024498</v>
      </c>
      <c r="G2199" s="885">
        <v>0.96489048357256102</v>
      </c>
      <c r="H2199" s="885">
        <v>1.010171577291894</v>
      </c>
      <c r="I2199" s="885">
        <v>1.0192825641864076</v>
      </c>
      <c r="K2199">
        <v>1.9584841253514809</v>
      </c>
      <c r="L2199">
        <v>0</v>
      </c>
      <c r="M2199">
        <v>1.869144996426441E-3</v>
      </c>
      <c r="N2199">
        <v>0.20616798476392109</v>
      </c>
      <c r="O2199">
        <v>2.533363236370487E-2</v>
      </c>
      <c r="P2199">
        <v>2.165271134933075E-2</v>
      </c>
      <c r="Q2199">
        <v>3.0684884761961687E-3</v>
      </c>
      <c r="R2199">
        <v>1.8580831301927682E-3</v>
      </c>
      <c r="S2199">
        <v>0.21256997774893915</v>
      </c>
      <c r="T2199">
        <v>1.055714284441222</v>
      </c>
      <c r="U2199">
        <v>3.8004491207216919E-2</v>
      </c>
      <c r="V2199">
        <v>0.24764596773887607</v>
      </c>
      <c r="W2199">
        <v>0.12082921713914345</v>
      </c>
      <c r="X2199">
        <v>2.2451342225718891E-2</v>
      </c>
      <c r="Y2199">
        <v>5.0570897634454656E-3</v>
      </c>
    </row>
    <row r="2200" spans="1:25" x14ac:dyDescent="0.25">
      <c r="A2200" s="881"/>
      <c r="B2200" s="1131">
        <v>1950</v>
      </c>
      <c r="C2200" s="885">
        <v>1.0143397960383604</v>
      </c>
      <c r="D2200" s="885">
        <v>0.98834997774658162</v>
      </c>
      <c r="E2200" s="885">
        <v>0.9841640165929697</v>
      </c>
      <c r="F2200" s="885">
        <v>0.99271576209027401</v>
      </c>
      <c r="G2200" s="885">
        <v>1.0165628485266855</v>
      </c>
      <c r="H2200" s="885">
        <v>0.98420115466974845</v>
      </c>
      <c r="I2200" s="885">
        <v>0.97665425939196315</v>
      </c>
      <c r="K2200">
        <v>1.9182916270458432</v>
      </c>
      <c r="L2200">
        <v>0</v>
      </c>
      <c r="M2200">
        <v>1.9707852239820496E-3</v>
      </c>
      <c r="N2200">
        <v>0.1889939678510674</v>
      </c>
      <c r="O2200">
        <v>2.4937691073297998E-2</v>
      </c>
      <c r="P2200">
        <v>2.0775942262696155E-2</v>
      </c>
      <c r="Q2200">
        <v>2.8808039128087682E-3</v>
      </c>
      <c r="R2200">
        <v>1.9588419022333369E-3</v>
      </c>
      <c r="S2200">
        <v>0.19771022846830305</v>
      </c>
      <c r="T2200">
        <v>1.0598318583309163</v>
      </c>
      <c r="U2200">
        <v>3.679271063471664E-2</v>
      </c>
      <c r="V2200">
        <v>0.24725612477797854</v>
      </c>
      <c r="W2200">
        <v>0.11420784677985669</v>
      </c>
      <c r="X2200">
        <v>1.9585074350127366E-2</v>
      </c>
      <c r="Y2200">
        <v>5.3313219258196163E-3</v>
      </c>
    </row>
    <row r="2201" spans="1:25" x14ac:dyDescent="0.25">
      <c r="A2201" s="881"/>
      <c r="B2201" s="1131">
        <v>1951</v>
      </c>
      <c r="C2201" s="885">
        <v>1.0093359851191472</v>
      </c>
      <c r="D2201" s="885">
        <v>1.0184886104257105</v>
      </c>
      <c r="E2201" s="885">
        <v>0.97408633761224628</v>
      </c>
      <c r="F2201" s="885">
        <v>0.98187578389865993</v>
      </c>
      <c r="G2201" s="885">
        <v>0.97796531859144786</v>
      </c>
      <c r="H2201" s="885">
        <v>0.98095054299261131</v>
      </c>
      <c r="I2201" s="885">
        <v>1.0081571766900981</v>
      </c>
      <c r="K2201">
        <v>1.9133974367898736</v>
      </c>
      <c r="L2201">
        <v>0</v>
      </c>
      <c r="M2201">
        <v>1.9864975406741494E-3</v>
      </c>
      <c r="N2201">
        <v>0.18460563255335158</v>
      </c>
      <c r="O2201">
        <v>2.4691615639962316E-2</v>
      </c>
      <c r="P2201">
        <v>2.0649164751472146E-2</v>
      </c>
      <c r="Q2201">
        <v>2.8292051156032587E-3</v>
      </c>
      <c r="R2201">
        <v>1.9743939759891004E-3</v>
      </c>
      <c r="S2201">
        <v>0.20196790297230396</v>
      </c>
      <c r="T2201">
        <v>1.0607657433842965</v>
      </c>
      <c r="U2201">
        <v>3.6975111510079928E-2</v>
      </c>
      <c r="V2201">
        <v>0.24426220764499115</v>
      </c>
      <c r="W2201">
        <v>0.11233931187943125</v>
      </c>
      <c r="X2201">
        <v>1.8949995359224151E-2</v>
      </c>
      <c r="Y2201">
        <v>5.3736495438430698E-3</v>
      </c>
    </row>
    <row r="2202" spans="1:25" x14ac:dyDescent="0.25">
      <c r="A2202" s="881"/>
      <c r="B2202" s="1131">
        <v>1952</v>
      </c>
      <c r="C2202" s="885">
        <v>1.002031964922486</v>
      </c>
      <c r="D2202" s="885">
        <v>1.0158716451056085</v>
      </c>
      <c r="E2202" s="885">
        <v>1.0107333496013078</v>
      </c>
      <c r="F2202" s="885">
        <v>1.0123121163370867</v>
      </c>
      <c r="G2202" s="885">
        <v>0.9973449991711828</v>
      </c>
      <c r="H2202" s="885">
        <v>0.98982881970000003</v>
      </c>
      <c r="I2202" s="885">
        <v>0.98505860345344554</v>
      </c>
      <c r="K2202">
        <v>1.9258190309374603</v>
      </c>
      <c r="L2202">
        <v>0</v>
      </c>
      <c r="M2202">
        <v>1.8716700441397543E-3</v>
      </c>
      <c r="N2202">
        <v>0.19496363865242211</v>
      </c>
      <c r="O2202">
        <v>2.4903217593005358E-2</v>
      </c>
      <c r="P2202">
        <v>2.1172560431895582E-2</v>
      </c>
      <c r="Q2202">
        <v>2.9604581962132262E-3</v>
      </c>
      <c r="R2202">
        <v>1.8603704011088322E-3</v>
      </c>
      <c r="S2202">
        <v>0.19988950451707987</v>
      </c>
      <c r="T2202">
        <v>1.0573886360099922</v>
      </c>
      <c r="U2202">
        <v>3.7244630817544672E-2</v>
      </c>
      <c r="V2202">
        <v>0.24558170832074355</v>
      </c>
      <c r="W2202">
        <v>0.11568897753305046</v>
      </c>
      <c r="X2202">
        <v>2.097368354766389E-2</v>
      </c>
      <c r="Y2202">
        <v>5.0633149608803356E-3</v>
      </c>
    </row>
    <row r="2203" spans="1:25" x14ac:dyDescent="0.25">
      <c r="A2203" s="881"/>
      <c r="B2203" s="1131">
        <v>1953</v>
      </c>
      <c r="C2203" s="885">
        <v>0.98978669352879212</v>
      </c>
      <c r="D2203" s="885">
        <v>0.99361999392426048</v>
      </c>
      <c r="E2203" s="885">
        <v>1.013547771067719</v>
      </c>
      <c r="F2203" s="885">
        <v>0.98279341541174459</v>
      </c>
      <c r="G2203" s="885">
        <v>0.99981500606635132</v>
      </c>
      <c r="H2203" s="885">
        <v>1.0212505897143944</v>
      </c>
      <c r="I2203" s="885">
        <v>1.0025199292028142</v>
      </c>
      <c r="K2203">
        <v>1.9620559819629071</v>
      </c>
      <c r="L2203">
        <v>0</v>
      </c>
      <c r="M2203">
        <v>1.9647923093913432E-3</v>
      </c>
      <c r="N2203">
        <v>0.20650249500699594</v>
      </c>
      <c r="O2203">
        <v>2.5489038024876565E-2</v>
      </c>
      <c r="P2203">
        <v>2.1438358219749622E-2</v>
      </c>
      <c r="Q2203">
        <v>3.0339483162721416E-3</v>
      </c>
      <c r="R2203">
        <v>1.9533130277073823E-3</v>
      </c>
      <c r="S2203">
        <v>0.21128292822471673</v>
      </c>
      <c r="T2203">
        <v>1.0571314432888317</v>
      </c>
      <c r="U2203">
        <v>3.7705407483164262E-2</v>
      </c>
      <c r="V2203">
        <v>0.25007110838029434</v>
      </c>
      <c r="W2203">
        <v>0.12230222917963354</v>
      </c>
      <c r="X2203">
        <v>2.1794230968101395E-2</v>
      </c>
      <c r="Y2203">
        <v>5.3162741519529651E-3</v>
      </c>
    </row>
    <row r="2204" spans="1:25" x14ac:dyDescent="0.25">
      <c r="A2204" s="881"/>
      <c r="B2204" s="1131">
        <v>1954</v>
      </c>
      <c r="C2204" s="885">
        <v>1.0409420506865967</v>
      </c>
      <c r="D2204" s="885">
        <v>0.99109065103850613</v>
      </c>
      <c r="E2204" s="885">
        <v>1.0068674677197778</v>
      </c>
      <c r="F2204" s="885">
        <v>1.0001585698874933</v>
      </c>
      <c r="G2204" s="885">
        <v>1.0355415112735045</v>
      </c>
      <c r="H2204" s="885">
        <v>1.0031853221846732</v>
      </c>
      <c r="I2204" s="885">
        <v>1.0102851841938894</v>
      </c>
      <c r="K2204">
        <v>1.917544047401607</v>
      </c>
      <c r="L2204">
        <v>0</v>
      </c>
      <c r="M2204">
        <v>1.8635796429645366E-3</v>
      </c>
      <c r="N2204">
        <v>0.19181912849090546</v>
      </c>
      <c r="O2204">
        <v>2.4267051538699944E-2</v>
      </c>
      <c r="P2204">
        <v>2.1080861838872322E-2</v>
      </c>
      <c r="Q2204">
        <v>2.8687617274452217E-3</v>
      </c>
      <c r="R2204">
        <v>1.8524975903471943E-3</v>
      </c>
      <c r="S2204">
        <v>0.20091115641000279</v>
      </c>
      <c r="T2204">
        <v>1.0577424192490863</v>
      </c>
      <c r="U2204">
        <v>3.5852438256578002E-2</v>
      </c>
      <c r="V2204">
        <v>0.24332568830335205</v>
      </c>
      <c r="W2204">
        <v>0.11412270042599885</v>
      </c>
      <c r="X2204">
        <v>2.0523035448023939E-2</v>
      </c>
      <c r="Y2204">
        <v>5.0418877652585277E-3</v>
      </c>
    </row>
    <row r="2205" spans="1:25" x14ac:dyDescent="0.25">
      <c r="A2205" s="881"/>
      <c r="B2205" s="1131">
        <v>1955</v>
      </c>
      <c r="C2205" s="885">
        <v>1.0234061552471845</v>
      </c>
      <c r="D2205" s="885">
        <v>1.0036166608962043</v>
      </c>
      <c r="E2205" s="885">
        <v>0.98244678171233668</v>
      </c>
      <c r="F2205" s="885">
        <v>1.0193005542751068</v>
      </c>
      <c r="G2205" s="885">
        <v>0.98737026130938865</v>
      </c>
      <c r="H2205" s="885">
        <v>1.0123626288639436</v>
      </c>
      <c r="I2205" s="885">
        <v>1.001784015077174</v>
      </c>
      <c r="K2205">
        <v>1.9224393347049884</v>
      </c>
      <c r="L2205">
        <v>0</v>
      </c>
      <c r="M2205">
        <v>2.0012399178204955E-3</v>
      </c>
      <c r="N2205">
        <v>0.19092184418946664</v>
      </c>
      <c r="O2205">
        <v>2.4529834552829845E-2</v>
      </c>
      <c r="P2205">
        <v>2.0767535531972133E-2</v>
      </c>
      <c r="Q2205">
        <v>2.831785499301992E-3</v>
      </c>
      <c r="R2205">
        <v>1.989436850551612E-3</v>
      </c>
      <c r="S2205">
        <v>0.20237611468258709</v>
      </c>
      <c r="T2205">
        <v>1.0599907137837661</v>
      </c>
      <c r="U2205">
        <v>3.6466763864541049E-2</v>
      </c>
      <c r="V2205">
        <v>0.24413878029876401</v>
      </c>
      <c r="W2205">
        <v>0.11551008829146221</v>
      </c>
      <c r="X2205">
        <v>1.9503085788044258E-2</v>
      </c>
      <c r="Y2205">
        <v>5.4145912895199591E-3</v>
      </c>
    </row>
    <row r="2206" spans="1:25" x14ac:dyDescent="0.25">
      <c r="A2206" s="881"/>
      <c r="B2206" s="1131">
        <v>1956</v>
      </c>
      <c r="C2206" s="885">
        <v>1.001239877610411</v>
      </c>
      <c r="D2206" s="885">
        <v>0.97124539447269087</v>
      </c>
      <c r="E2206" s="885">
        <v>0.99845821733165185</v>
      </c>
      <c r="F2206" s="885">
        <v>0.99316910037866923</v>
      </c>
      <c r="G2206" s="885">
        <v>1.0045661344951284</v>
      </c>
      <c r="H2206" s="885">
        <v>1.0231121464486135</v>
      </c>
      <c r="I2206" s="885">
        <v>0.97021927296312582</v>
      </c>
      <c r="K2206">
        <v>1.9532393649908262</v>
      </c>
      <c r="L2206">
        <v>0</v>
      </c>
      <c r="M2206">
        <v>2.0315554207613871E-3</v>
      </c>
      <c r="N2206">
        <v>0.20373563880180839</v>
      </c>
      <c r="O2206">
        <v>2.5483854967734604E-2</v>
      </c>
      <c r="P2206">
        <v>2.1136232982957866E-2</v>
      </c>
      <c r="Q2206">
        <v>2.9830427408277234E-3</v>
      </c>
      <c r="R2206">
        <v>2.0197265026250287E-3</v>
      </c>
      <c r="S2206">
        <v>0.20445357630864339</v>
      </c>
      <c r="T2206">
        <v>1.0585139980293981</v>
      </c>
      <c r="U2206">
        <v>3.7274095284725042E-2</v>
      </c>
      <c r="V2206">
        <v>0.25130372439500281</v>
      </c>
      <c r="W2206">
        <v>0.12191058250466345</v>
      </c>
      <c r="X2206">
        <v>2.0959418155718036E-2</v>
      </c>
      <c r="Y2206">
        <v>5.4970297374826779E-3</v>
      </c>
    </row>
    <row r="2207" spans="1:25" x14ac:dyDescent="0.25">
      <c r="A2207" s="881"/>
      <c r="B2207" s="1131">
        <v>1957</v>
      </c>
      <c r="C2207" s="885">
        <v>1.0126946214705062</v>
      </c>
      <c r="D2207" s="885">
        <v>1.0072343019467156</v>
      </c>
      <c r="E2207" s="885">
        <v>1.0102307790881897</v>
      </c>
      <c r="F2207" s="885">
        <v>0.98756684702581965</v>
      </c>
      <c r="G2207" s="885">
        <v>0.98048678593857297</v>
      </c>
      <c r="H2207" s="885">
        <v>1.0177550814348555</v>
      </c>
      <c r="I2207" s="885">
        <v>1.0048374445091992</v>
      </c>
      <c r="K2207">
        <v>1.9373041030537079</v>
      </c>
      <c r="L2207">
        <v>0</v>
      </c>
      <c r="M2207">
        <v>1.9142871541382377E-3</v>
      </c>
      <c r="N2207">
        <v>0.19912545685956179</v>
      </c>
      <c r="O2207">
        <v>2.4745214434574402E-2</v>
      </c>
      <c r="P2207">
        <v>2.122903959838713E-2</v>
      </c>
      <c r="Q2207">
        <v>2.938457103555954E-3</v>
      </c>
      <c r="R2207">
        <v>1.9030539497348596E-3</v>
      </c>
      <c r="S2207">
        <v>0.20534115838651829</v>
      </c>
      <c r="T2207">
        <v>1.0574345953872628</v>
      </c>
      <c r="U2207">
        <v>3.6852482288021904E-2</v>
      </c>
      <c r="V2207">
        <v>0.24515524829203408</v>
      </c>
      <c r="W2207">
        <v>0.11819889154141366</v>
      </c>
      <c r="X2207">
        <v>2.1115306857168011E-2</v>
      </c>
      <c r="Y2207">
        <v>5.1794855096123612E-3</v>
      </c>
    </row>
    <row r="2208" spans="1:25" x14ac:dyDescent="0.25">
      <c r="A2208" s="881"/>
      <c r="B2208" s="1131">
        <v>1958</v>
      </c>
      <c r="C2208" s="885">
        <v>0.99064335344302545</v>
      </c>
      <c r="D2208" s="885">
        <v>1.025049224774268</v>
      </c>
      <c r="E2208" s="885">
        <v>1.0047522452243123</v>
      </c>
      <c r="F2208" s="885">
        <v>1.0196075075540938</v>
      </c>
      <c r="G2208" s="885">
        <v>1.0342139717398191</v>
      </c>
      <c r="H2208" s="885">
        <v>0.98966893928435118</v>
      </c>
      <c r="I2208" s="885">
        <v>0.99772420625862235</v>
      </c>
      <c r="K2208">
        <v>1.93213021593942</v>
      </c>
      <c r="L2208">
        <v>0</v>
      </c>
      <c r="M2208">
        <v>1.9084193652985583E-3</v>
      </c>
      <c r="N2208">
        <v>0.19512792354545391</v>
      </c>
      <c r="O2208">
        <v>2.5077932224511983E-2</v>
      </c>
      <c r="P2208">
        <v>2.1154362170748144E-2</v>
      </c>
      <c r="Q2208">
        <v>2.9652765209429405E-3</v>
      </c>
      <c r="R2208">
        <v>1.8968888781167852E-3</v>
      </c>
      <c r="S2208">
        <v>0.20393009757749347</v>
      </c>
      <c r="T2208">
        <v>1.0579362389951705</v>
      </c>
      <c r="U2208">
        <v>3.7672801691151968E-2</v>
      </c>
      <c r="V2208">
        <v>0.24607433512383145</v>
      </c>
      <c r="W2208">
        <v>0.116258728911044</v>
      </c>
      <c r="X2208">
        <v>2.0781343449271825E-2</v>
      </c>
      <c r="Y2208">
        <v>5.162706216983272E-3</v>
      </c>
    </row>
    <row r="2209" spans="1:25" x14ac:dyDescent="0.25">
      <c r="A2209" s="881"/>
      <c r="B2209" s="1131">
        <v>1959</v>
      </c>
      <c r="C2209" s="885">
        <v>1.0126008303185883</v>
      </c>
      <c r="D2209" s="885">
        <v>0.98263225786315322</v>
      </c>
      <c r="E2209" s="885">
        <v>0.99073194780445828</v>
      </c>
      <c r="F2209" s="885">
        <v>1.0023520544561189</v>
      </c>
      <c r="G2209" s="885">
        <v>1.0071844203675484</v>
      </c>
      <c r="H2209" s="885">
        <v>1.0020072404078888</v>
      </c>
      <c r="I2209" s="885">
        <v>0.95928223214006902</v>
      </c>
      <c r="K2209">
        <v>1.9270608120178019</v>
      </c>
      <c r="L2209">
        <v>0</v>
      </c>
      <c r="M2209">
        <v>1.9880392987743308E-3</v>
      </c>
      <c r="N2209">
        <v>0.19460955437442568</v>
      </c>
      <c r="O2209">
        <v>2.5052507565386094E-2</v>
      </c>
      <c r="P2209">
        <v>2.087212037205043E-2</v>
      </c>
      <c r="Q2209">
        <v>2.9121858705301916E-3</v>
      </c>
      <c r="R2209">
        <v>1.9762102974206319E-3</v>
      </c>
      <c r="S2209">
        <v>0.19676856796233774</v>
      </c>
      <c r="T2209">
        <v>1.0592253383990526</v>
      </c>
      <c r="U2209">
        <v>3.6855895712800346E-2</v>
      </c>
      <c r="V2209">
        <v>0.2482189760005595</v>
      </c>
      <c r="W2209">
        <v>0.11706934950551277</v>
      </c>
      <c r="X2209">
        <v>2.0109552284468805E-2</v>
      </c>
      <c r="Y2209">
        <v>5.3785929720294983E-3</v>
      </c>
    </row>
    <row r="2210" spans="1:25" x14ac:dyDescent="0.25">
      <c r="A2210" s="881"/>
      <c r="B2210" s="1131">
        <v>1960</v>
      </c>
      <c r="C2210" s="885">
        <v>1.0047943082848272</v>
      </c>
      <c r="D2210" s="885">
        <v>0.99956073933151579</v>
      </c>
      <c r="E2210" s="885">
        <v>0.97881492218666033</v>
      </c>
      <c r="F2210" s="885">
        <v>0.97377145911948404</v>
      </c>
      <c r="G2210" s="885">
        <v>0.99927198883099377</v>
      </c>
      <c r="H2210" s="885">
        <v>1.001171582858073</v>
      </c>
      <c r="I2210" s="885">
        <v>1.0335659410031266</v>
      </c>
      <c r="K2210">
        <v>1.9388134762800626</v>
      </c>
      <c r="L2210">
        <v>0</v>
      </c>
      <c r="M2210">
        <v>2.0352774833489462E-3</v>
      </c>
      <c r="N2210">
        <v>0.19197197129990623</v>
      </c>
      <c r="O2210">
        <v>2.503432092659609E-2</v>
      </c>
      <c r="P2210">
        <v>2.0892728129621504E-2</v>
      </c>
      <c r="Q2210">
        <v>2.8785676339260621E-3</v>
      </c>
      <c r="R2210">
        <v>2.0231428918088706E-3</v>
      </c>
      <c r="S2210">
        <v>0.21189470454991363</v>
      </c>
      <c r="T2210">
        <v>1.0603270614127025</v>
      </c>
      <c r="U2210">
        <v>3.714223925553705E-2</v>
      </c>
      <c r="V2210">
        <v>0.24718770021944525</v>
      </c>
      <c r="W2210">
        <v>0.11643836703599514</v>
      </c>
      <c r="X2210">
        <v>1.9551622385328305E-2</v>
      </c>
      <c r="Y2210">
        <v>5.5063280226287023E-3</v>
      </c>
    </row>
    <row r="2211" spans="1:25" x14ac:dyDescent="0.25">
      <c r="A2211" s="881"/>
      <c r="B2211" s="1131">
        <v>1961</v>
      </c>
      <c r="C2211" s="885">
        <v>0.9955032861729084</v>
      </c>
      <c r="D2211" s="885">
        <v>1.0438454444154817</v>
      </c>
      <c r="E2211" s="885">
        <v>0.98446442000036194</v>
      </c>
      <c r="F2211" s="885">
        <v>0.98695628889869735</v>
      </c>
      <c r="G2211" s="885">
        <v>0.96420415717579555</v>
      </c>
      <c r="H2211" s="885">
        <v>1.0249558734801039</v>
      </c>
      <c r="I2211" s="885">
        <v>1.0006752401932395</v>
      </c>
      <c r="K2211">
        <v>1.9329125623171772</v>
      </c>
      <c r="L2211">
        <v>0</v>
      </c>
      <c r="M2211">
        <v>2.0343160149108881E-3</v>
      </c>
      <c r="N2211">
        <v>0.19531208804661901</v>
      </c>
      <c r="O2211">
        <v>2.47330867461064E-2</v>
      </c>
      <c r="P2211">
        <v>2.0838130530800386E-2</v>
      </c>
      <c r="Q2211">
        <v>2.8688688520877902E-3</v>
      </c>
      <c r="R2211">
        <v>2.0224332974599882E-3</v>
      </c>
      <c r="S2211">
        <v>0.20536741330250374</v>
      </c>
      <c r="T2211">
        <v>1.0598040808153451</v>
      </c>
      <c r="U2211">
        <v>3.7488887399247398E-2</v>
      </c>
      <c r="V2211">
        <v>0.24319032114082592</v>
      </c>
      <c r="W2211">
        <v>0.11800132120976208</v>
      </c>
      <c r="X2211">
        <v>1.9815850250600564E-2</v>
      </c>
      <c r="Y2211">
        <v>5.5043967407287587E-3</v>
      </c>
    </row>
    <row r="2212" spans="1:25" x14ac:dyDescent="0.25">
      <c r="A2212" s="881"/>
      <c r="B2212" s="1131">
        <v>1962</v>
      </c>
      <c r="C2212" s="885">
        <v>0.97967052352162987</v>
      </c>
      <c r="D2212" s="885">
        <v>0.99921760139611127</v>
      </c>
      <c r="E2212" s="885">
        <v>0.9853664169660914</v>
      </c>
      <c r="F2212" s="885">
        <v>1.0279371868865421</v>
      </c>
      <c r="G2212" s="885">
        <v>1.023983932567424</v>
      </c>
      <c r="H2212" s="885">
        <v>1.0001435963534828</v>
      </c>
      <c r="I2212" s="885">
        <v>1.0036272774272339</v>
      </c>
      <c r="K2212">
        <v>1.9526912685833617</v>
      </c>
      <c r="L2212">
        <v>0</v>
      </c>
      <c r="M2212">
        <v>2.057184259202417E-3</v>
      </c>
      <c r="N2212">
        <v>0.19803798961497912</v>
      </c>
      <c r="O2212">
        <v>2.5680694057673384E-2</v>
      </c>
      <c r="P2212">
        <v>2.1038136621022024E-2</v>
      </c>
      <c r="Q2212">
        <v>2.9725252855704932E-3</v>
      </c>
      <c r="R2212">
        <v>2.0449067421271843E-3</v>
      </c>
      <c r="S2212">
        <v>0.21096019892923928</v>
      </c>
      <c r="T2212">
        <v>1.0597206965748533</v>
      </c>
      <c r="U2212">
        <v>3.8094757068694175E-2</v>
      </c>
      <c r="V2212">
        <v>0.25083769530060118</v>
      </c>
      <c r="W2212">
        <v>0.11957361865020351</v>
      </c>
      <c r="X2212">
        <v>2.0221671948852979E-2</v>
      </c>
      <c r="Y2212">
        <v>5.5655620487438237E-3</v>
      </c>
    </row>
    <row r="2213" spans="1:25" x14ac:dyDescent="0.25">
      <c r="A2213" s="881"/>
      <c r="B2213" s="1131">
        <v>1963</v>
      </c>
      <c r="C2213" s="885">
        <v>1.0354962072360252</v>
      </c>
      <c r="D2213" s="885">
        <v>0.98350893003443884</v>
      </c>
      <c r="E2213" s="885">
        <v>1.0068202486326112</v>
      </c>
      <c r="F2213" s="885">
        <v>1.0122282209377043</v>
      </c>
      <c r="G2213" s="885">
        <v>0.99241572753903806</v>
      </c>
      <c r="H2213" s="885">
        <v>0.97229643116890618</v>
      </c>
      <c r="I2213" s="885">
        <v>1.0135643441554296</v>
      </c>
      <c r="K2213">
        <v>1.9119645895143189</v>
      </c>
      <c r="L2213">
        <v>0</v>
      </c>
      <c r="M2213">
        <v>1.822800397529013E-3</v>
      </c>
      <c r="N2213">
        <v>0.18755912255715795</v>
      </c>
      <c r="O2213">
        <v>2.4487745866839127E-2</v>
      </c>
      <c r="P2213">
        <v>2.1096435983822031E-2</v>
      </c>
      <c r="Q2213">
        <v>2.8931565977947877E-3</v>
      </c>
      <c r="R2213">
        <v>1.8116224661774995E-3</v>
      </c>
      <c r="S2213">
        <v>0.20025530328448912</v>
      </c>
      <c r="T2213">
        <v>1.0577467440724344</v>
      </c>
      <c r="U2213">
        <v>3.6040992077154249E-2</v>
      </c>
      <c r="V2213">
        <v>0.24497786100071531</v>
      </c>
      <c r="W2213">
        <v>0.1115918001116878</v>
      </c>
      <c r="X2213">
        <v>2.0395966741826303E-2</v>
      </c>
      <c r="Y2213">
        <v>4.9306391517496802E-3</v>
      </c>
    </row>
    <row r="2214" spans="1:25" x14ac:dyDescent="0.25">
      <c r="A2214" s="881"/>
      <c r="B2214" s="1131">
        <v>1964</v>
      </c>
      <c r="C2214" s="885">
        <v>1.0393798870532551</v>
      </c>
      <c r="D2214" s="885">
        <v>1.0088994547459353</v>
      </c>
      <c r="E2214" s="885">
        <v>1.022586726577368</v>
      </c>
      <c r="F2214" s="885">
        <v>1.0136295800997377</v>
      </c>
      <c r="G2214" s="885">
        <v>0.96894071656103775</v>
      </c>
      <c r="H2214" s="885">
        <v>0.98204384565671554</v>
      </c>
      <c r="I2214" s="885">
        <v>1.0258059249616576</v>
      </c>
      <c r="K2214">
        <v>1.9089494574539951</v>
      </c>
      <c r="L2214">
        <v>0</v>
      </c>
      <c r="M2214">
        <v>1.7519246214695115E-3</v>
      </c>
      <c r="N2214">
        <v>0.18932846422731467</v>
      </c>
      <c r="O2214">
        <v>2.4090217064960912E-2</v>
      </c>
      <c r="P2214">
        <v>2.1275219345916384E-2</v>
      </c>
      <c r="Q2214">
        <v>2.8964361001932583E-3</v>
      </c>
      <c r="R2214">
        <v>1.7412691191236492E-3</v>
      </c>
      <c r="S2214">
        <v>0.20053821367017055</v>
      </c>
      <c r="T2214">
        <v>1.0563075214073456</v>
      </c>
      <c r="U2214">
        <v>3.5906323631799041E-2</v>
      </c>
      <c r="V2214">
        <v>0.24139389651188345</v>
      </c>
      <c r="W2214">
        <v>0.11144806422784714</v>
      </c>
      <c r="X2214">
        <v>2.1036596235865582E-2</v>
      </c>
      <c r="Y2214">
        <v>4.7391605330437238E-3</v>
      </c>
    </row>
    <row r="2215" spans="1:25" x14ac:dyDescent="0.25">
      <c r="A2215" s="881"/>
      <c r="B2215" s="1131">
        <v>1965</v>
      </c>
      <c r="C2215" s="885">
        <v>0.98469272057970791</v>
      </c>
      <c r="D2215" s="885">
        <v>0.99293950275560283</v>
      </c>
      <c r="E2215" s="885">
        <v>1.0109352946337147</v>
      </c>
      <c r="F2215" s="885">
        <v>1.0222152348390678</v>
      </c>
      <c r="G2215" s="885">
        <v>1.02445087621745</v>
      </c>
      <c r="H2215" s="885">
        <v>0.97767795144265879</v>
      </c>
      <c r="I2215" s="885">
        <v>1.0131495443698622</v>
      </c>
      <c r="K2215">
        <v>1.9486793752214637</v>
      </c>
      <c r="L2215">
        <v>0</v>
      </c>
      <c r="M2215">
        <v>1.9017882966492732E-3</v>
      </c>
      <c r="N2215">
        <v>0.1982122851955655</v>
      </c>
      <c r="O2215">
        <v>2.5629594946657053E-2</v>
      </c>
      <c r="P2215">
        <v>2.1398695268911781E-2</v>
      </c>
      <c r="Q2215">
        <v>3.0425862650125747E-3</v>
      </c>
      <c r="R2215">
        <v>1.8901824706674055E-3</v>
      </c>
      <c r="S2215">
        <v>0.21014246280120566</v>
      </c>
      <c r="T2215">
        <v>1.0573701711932046</v>
      </c>
      <c r="U2215">
        <v>3.7900463587204863E-2</v>
      </c>
      <c r="V2215">
        <v>0.25089707247009618</v>
      </c>
      <c r="W2215">
        <v>0.11760055488504056</v>
      </c>
      <c r="X2215">
        <v>2.1352640847871609E-2</v>
      </c>
      <c r="Y2215">
        <v>5.1444535866726846E-3</v>
      </c>
    </row>
    <row r="2216" spans="1:25" x14ac:dyDescent="0.25">
      <c r="A2216" s="881"/>
      <c r="B2216" s="1131">
        <v>1966</v>
      </c>
      <c r="C2216" s="885">
        <v>0.98218752079273619</v>
      </c>
      <c r="D2216" s="885">
        <v>1.0345340041563416</v>
      </c>
      <c r="E2216" s="885">
        <v>0.98204639610097211</v>
      </c>
      <c r="F2216" s="885">
        <v>1.018338248317695</v>
      </c>
      <c r="G2216" s="885">
        <v>0.99770730731923185</v>
      </c>
      <c r="H2216" s="885">
        <v>0.98706823431840873</v>
      </c>
      <c r="I2216" s="885">
        <v>1.0076760761718655</v>
      </c>
      <c r="K2216">
        <v>1.9313427294222811</v>
      </c>
      <c r="L2216">
        <v>0</v>
      </c>
      <c r="M2216">
        <v>2.0046053198014432E-3</v>
      </c>
      <c r="N2216">
        <v>0.19097305867911715</v>
      </c>
      <c r="O2216">
        <v>2.5179241992106381E-2</v>
      </c>
      <c r="P2216">
        <v>2.0866162395649569E-2</v>
      </c>
      <c r="Q2216">
        <v>2.9116749250519595E-3</v>
      </c>
      <c r="R2216">
        <v>1.9924541216264084E-3</v>
      </c>
      <c r="S2216">
        <v>0.20659944921146067</v>
      </c>
      <c r="T2216">
        <v>1.0600277685228343</v>
      </c>
      <c r="U2216">
        <v>3.7997133755879105E-2</v>
      </c>
      <c r="V2216">
        <v>0.24614090705423303</v>
      </c>
      <c r="W2216">
        <v>0.11557312760842396</v>
      </c>
      <c r="X2216">
        <v>1.9663553168955645E-2</v>
      </c>
      <c r="Y2216">
        <v>5.4228033067424148E-3</v>
      </c>
    </row>
    <row r="2217" spans="1:25" x14ac:dyDescent="0.25">
      <c r="A2217" s="881"/>
      <c r="B2217" s="1131">
        <v>1967</v>
      </c>
      <c r="C2217" s="885">
        <v>0.97358706116296034</v>
      </c>
      <c r="D2217" s="885">
        <v>0.98766684953349371</v>
      </c>
      <c r="E2217" s="885">
        <v>1.0065953621113382</v>
      </c>
      <c r="F2217" s="885">
        <v>1.0068350951750915</v>
      </c>
      <c r="G2217" s="885">
        <v>0.99784443157073544</v>
      </c>
      <c r="H2217" s="885">
        <v>0.97863644817182682</v>
      </c>
      <c r="I2217" s="885">
        <v>1.0044530186685274</v>
      </c>
      <c r="K2217">
        <v>1.9572463399515896</v>
      </c>
      <c r="L2217">
        <v>0</v>
      </c>
      <c r="M2217">
        <v>1.9481996231621025E-3</v>
      </c>
      <c r="N2217">
        <v>0.20032973061273054</v>
      </c>
      <c r="O2217">
        <v>2.5990449821528445E-2</v>
      </c>
      <c r="P2217">
        <v>2.138962535941432E-2</v>
      </c>
      <c r="Q2217">
        <v>3.0709140148192822E-3</v>
      </c>
      <c r="R2217">
        <v>1.9363266125737432E-3</v>
      </c>
      <c r="S2217">
        <v>0.2113318361066181</v>
      </c>
      <c r="T2217">
        <v>1.05776734275169</v>
      </c>
      <c r="U2217">
        <v>3.8332792299373149E-2</v>
      </c>
      <c r="V2217">
        <v>0.25322290265426178</v>
      </c>
      <c r="W2217">
        <v>0.11920816800433286</v>
      </c>
      <c r="X2217">
        <v>2.1344408607881227E-2</v>
      </c>
      <c r="Y2217">
        <v>5.2700427295294438E-3</v>
      </c>
    </row>
    <row r="2218" spans="1:25" x14ac:dyDescent="0.25">
      <c r="A2218" s="881"/>
      <c r="B2218" s="1131">
        <v>1968</v>
      </c>
      <c r="C2218" s="885">
        <v>1.0267388021938086</v>
      </c>
      <c r="D2218" s="885">
        <v>1.0125627759205729</v>
      </c>
      <c r="E2218" s="885">
        <v>0.96356216940928285</v>
      </c>
      <c r="F2218" s="885">
        <v>0.98533261986408271</v>
      </c>
      <c r="G2218" s="885">
        <v>0.95550866847101523</v>
      </c>
      <c r="H2218" s="885">
        <v>1.0256725151024164</v>
      </c>
      <c r="I2218" s="885">
        <v>1.0264652564760302</v>
      </c>
      <c r="K2218">
        <v>1.9235106239597248</v>
      </c>
      <c r="L2218">
        <v>0</v>
      </c>
      <c r="M2218">
        <v>2.093408959632153E-3</v>
      </c>
      <c r="N2218">
        <v>0.18831094565150697</v>
      </c>
      <c r="O2218">
        <v>2.4343164986098689E-2</v>
      </c>
      <c r="P2218">
        <v>2.0535201901854577E-2</v>
      </c>
      <c r="Q2218">
        <v>2.7583027512890685E-3</v>
      </c>
      <c r="R2218">
        <v>2.0812150403631546E-3</v>
      </c>
      <c r="S2218">
        <v>0.20718762271710767</v>
      </c>
      <c r="T2218">
        <v>1.0617452018755245</v>
      </c>
      <c r="U2218">
        <v>3.6348397977338964E-2</v>
      </c>
      <c r="V2218">
        <v>0.24262238227028335</v>
      </c>
      <c r="W2218">
        <v>0.11544068472229989</v>
      </c>
      <c r="X2218">
        <v>1.8566531758175013E-2</v>
      </c>
      <c r="Y2218">
        <v>5.664381267514838E-3</v>
      </c>
    </row>
    <row r="2219" spans="1:25" x14ac:dyDescent="0.25">
      <c r="A2219" s="881"/>
      <c r="B2219" s="1131">
        <v>1969</v>
      </c>
      <c r="C2219" s="885">
        <v>0.9843678260314157</v>
      </c>
      <c r="D2219" s="885">
        <v>0.98882987295093905</v>
      </c>
      <c r="E2219" s="885">
        <v>1.0000235525817041</v>
      </c>
      <c r="F2219" s="885">
        <v>0.97253522196269404</v>
      </c>
      <c r="G2219" s="885">
        <v>0.9975803207497308</v>
      </c>
      <c r="H2219" s="885">
        <v>1.0057299479993083</v>
      </c>
      <c r="I2219" s="885">
        <v>1.017094204911412</v>
      </c>
      <c r="K2219">
        <v>1.9616921743143076</v>
      </c>
      <c r="L2219">
        <v>0</v>
      </c>
      <c r="M2219">
        <v>2.0066482641442522E-3</v>
      </c>
      <c r="N2219">
        <v>0.20219828957678374</v>
      </c>
      <c r="O2219">
        <v>2.5690808642123506E-2</v>
      </c>
      <c r="P2219">
        <v>2.1305533516156178E-2</v>
      </c>
      <c r="Q2219">
        <v>3.0158088548513364E-3</v>
      </c>
      <c r="R2219">
        <v>1.9947475161508012E-3</v>
      </c>
      <c r="S2219">
        <v>0.21438223297175926</v>
      </c>
      <c r="T2219">
        <v>1.0583701641904049</v>
      </c>
      <c r="U2219">
        <v>3.791297278719253E-2</v>
      </c>
      <c r="V2219">
        <v>0.25147319661862272</v>
      </c>
      <c r="W2219">
        <v>0.12086108080235927</v>
      </c>
      <c r="X2219">
        <v>2.1064941931425659E-2</v>
      </c>
      <c r="Y2219">
        <v>5.429045170620506E-3</v>
      </c>
    </row>
    <row r="2220" spans="1:25" x14ac:dyDescent="0.25">
      <c r="A2220" s="881"/>
      <c r="B2220" s="1131">
        <v>1970</v>
      </c>
      <c r="C2220" s="885">
        <v>1.0019236134258083</v>
      </c>
      <c r="D2220" s="885">
        <v>1.0027794130492258</v>
      </c>
      <c r="E2220" s="885">
        <v>0.99491064400660367</v>
      </c>
      <c r="F2220" s="885">
        <v>0.99909693934380828</v>
      </c>
      <c r="G2220" s="885">
        <v>0.98329239080398056</v>
      </c>
      <c r="H2220" s="885">
        <v>1.0204719273505012</v>
      </c>
      <c r="I2220" s="885">
        <v>0.99169229022021455</v>
      </c>
      <c r="K2220">
        <v>1.9424103358158962</v>
      </c>
      <c r="L2220">
        <v>0</v>
      </c>
      <c r="M2220">
        <v>2.0080635819205313E-3</v>
      </c>
      <c r="N2220">
        <v>0.19916319496220741</v>
      </c>
      <c r="O2220">
        <v>2.5066134381526176E-2</v>
      </c>
      <c r="P2220">
        <v>2.1042931673768115E-2</v>
      </c>
      <c r="Q2220">
        <v>2.9302397602761327E-3</v>
      </c>
      <c r="R2220">
        <v>1.9963150622793616E-3</v>
      </c>
      <c r="S2220">
        <v>0.20552250161045063</v>
      </c>
      <c r="T2220">
        <v>1.0588403267560524</v>
      </c>
      <c r="U2220">
        <v>3.7248658581176791E-2</v>
      </c>
      <c r="V2220">
        <v>0.24719428758050982</v>
      </c>
      <c r="W2220">
        <v>0.11946484797766171</v>
      </c>
      <c r="X2220">
        <v>2.0515649537467054E-2</v>
      </c>
      <c r="Y2220">
        <v>5.4333115144410042E-3</v>
      </c>
    </row>
    <row r="2221" spans="1:25" x14ac:dyDescent="0.25">
      <c r="A2221" s="881"/>
      <c r="B2221" s="1131">
        <v>1971</v>
      </c>
      <c r="C2221" s="885">
        <v>1.0033051705670122</v>
      </c>
      <c r="D2221" s="885">
        <v>0.98375941752706486</v>
      </c>
      <c r="E2221" s="885">
        <v>1.010362665319871</v>
      </c>
      <c r="F2221" s="885">
        <v>0.99290245025148582</v>
      </c>
      <c r="G2221" s="885">
        <v>0.99765713482942775</v>
      </c>
      <c r="H2221" s="885">
        <v>0.99414087885999858</v>
      </c>
      <c r="I2221" s="885">
        <v>1.0202573481749122</v>
      </c>
      <c r="K2221">
        <v>1.9468601670804664</v>
      </c>
      <c r="L2221">
        <v>0</v>
      </c>
      <c r="M2221">
        <v>1.9089952009339766E-3</v>
      </c>
      <c r="N2221">
        <v>0.19863052722239746</v>
      </c>
      <c r="O2221">
        <v>2.5270242103019185E-2</v>
      </c>
      <c r="P2221">
        <v>2.1361945427175615E-2</v>
      </c>
      <c r="Q2221">
        <v>2.9962592874555869E-3</v>
      </c>
      <c r="R2221">
        <v>1.8975457242014408E-3</v>
      </c>
      <c r="S2221">
        <v>0.21028724053790337</v>
      </c>
      <c r="T2221">
        <v>1.0574225336199659</v>
      </c>
      <c r="U2221">
        <v>3.719736695847542E-2</v>
      </c>
      <c r="V2221">
        <v>0.24938942530936611</v>
      </c>
      <c r="W2221">
        <v>0.11789454283002543</v>
      </c>
      <c r="X2221">
        <v>2.1257039325916088E-2</v>
      </c>
      <c r="Y2221">
        <v>5.1644939354964538E-3</v>
      </c>
    </row>
    <row r="2222" spans="1:25" x14ac:dyDescent="0.25">
      <c r="A2222" s="881"/>
      <c r="B2222" s="1131">
        <v>1972</v>
      </c>
      <c r="C2222" s="885">
        <v>1.0192982352157591</v>
      </c>
      <c r="D2222" s="885">
        <v>1.0171791640906045</v>
      </c>
      <c r="E2222" s="885">
        <v>1.0294273046620093</v>
      </c>
      <c r="F2222" s="885">
        <v>1.0154344065634131</v>
      </c>
      <c r="G2222" s="885">
        <v>1.0413294957164689</v>
      </c>
      <c r="H2222" s="885">
        <v>1.0028850563418843</v>
      </c>
      <c r="I2222" s="885">
        <v>0.97286845556559665</v>
      </c>
      <c r="K2222">
        <v>1.9195236485146931</v>
      </c>
      <c r="L2222">
        <v>0</v>
      </c>
      <c r="M2222">
        <v>1.7909160501427455E-3</v>
      </c>
      <c r="N2222">
        <v>0.1977216748368851</v>
      </c>
      <c r="O2222">
        <v>2.4465825904415026E-2</v>
      </c>
      <c r="P2222">
        <v>2.1331816951995694E-2</v>
      </c>
      <c r="Q2222">
        <v>2.9632810761455325E-3</v>
      </c>
      <c r="R2222">
        <v>1.7802437500626677E-3</v>
      </c>
      <c r="S2222">
        <v>0.19520805149453826</v>
      </c>
      <c r="T2222">
        <v>1.055686110692091</v>
      </c>
      <c r="U2222">
        <v>3.6613730222948074E-2</v>
      </c>
      <c r="V2222">
        <v>0.24306716763925271</v>
      </c>
      <c r="W2222">
        <v>0.11585494735992014</v>
      </c>
      <c r="X2222">
        <v>2.177647800610423E-2</v>
      </c>
      <c r="Y2222">
        <v>4.8452366304760925E-3</v>
      </c>
    </row>
    <row r="2223" spans="1:25" x14ac:dyDescent="0.25">
      <c r="A2223" s="881"/>
      <c r="B2223" s="1131">
        <v>1973</v>
      </c>
      <c r="C2223" s="885">
        <v>1.0021825731252019</v>
      </c>
      <c r="D2223" s="885">
        <v>1.0014363879701178</v>
      </c>
      <c r="E2223" s="885">
        <v>0.97831516863553347</v>
      </c>
      <c r="F2223" s="885">
        <v>0.97781498724047577</v>
      </c>
      <c r="G2223" s="885">
        <v>0.99221174559941339</v>
      </c>
      <c r="H2223" s="885">
        <v>0.99034000615560802</v>
      </c>
      <c r="I2223" s="885">
        <v>1.0141318009507805</v>
      </c>
      <c r="K2223">
        <v>1.9312275740891445</v>
      </c>
      <c r="L2223">
        <v>0</v>
      </c>
      <c r="M2223">
        <v>2.0187504960345174E-3</v>
      </c>
      <c r="N2223">
        <v>0.19010419483276395</v>
      </c>
      <c r="O2223">
        <v>2.5076282355796783E-2</v>
      </c>
      <c r="P2223">
        <v>2.0824951549267619E-2</v>
      </c>
      <c r="Q2223">
        <v>2.8823037254067482E-3</v>
      </c>
      <c r="R2223">
        <v>2.0065812190167413E-3</v>
      </c>
      <c r="S2223">
        <v>0.2071645214203979</v>
      </c>
      <c r="T2223">
        <v>1.0603733837801947</v>
      </c>
      <c r="U2223">
        <v>3.7239033686783642E-2</v>
      </c>
      <c r="V2223">
        <v>0.24731860444561848</v>
      </c>
      <c r="W2223">
        <v>0.11534552115853586</v>
      </c>
      <c r="X2223">
        <v>1.9449693802552806E-2</v>
      </c>
      <c r="Y2223">
        <v>5.4612526088424944E-3</v>
      </c>
    </row>
    <row r="2224" spans="1:25" x14ac:dyDescent="0.25">
      <c r="A2224" s="881"/>
      <c r="B2224" s="1131">
        <v>1974</v>
      </c>
      <c r="C2224" s="885">
        <v>0.9967144621269336</v>
      </c>
      <c r="D2224" s="885">
        <v>0.98211099357998588</v>
      </c>
      <c r="E2224" s="885">
        <v>1.0278174765845902</v>
      </c>
      <c r="F2224" s="885">
        <v>0.95266804864378307</v>
      </c>
      <c r="G2224" s="885">
        <v>1.0159890634177071</v>
      </c>
      <c r="H2224" s="885">
        <v>1.0047572132092411</v>
      </c>
      <c r="I2224" s="885">
        <v>1.0078227376769671</v>
      </c>
      <c r="K2224">
        <v>1.9583188587368232</v>
      </c>
      <c r="L2224">
        <v>0</v>
      </c>
      <c r="M2224">
        <v>1.8734011798477105E-3</v>
      </c>
      <c r="N2224">
        <v>0.20580243326306802</v>
      </c>
      <c r="O2224">
        <v>2.5458515173453853E-2</v>
      </c>
      <c r="P2224">
        <v>2.1635568344477569E-2</v>
      </c>
      <c r="Q2224">
        <v>3.0710851633742368E-3</v>
      </c>
      <c r="R2224">
        <v>1.8622852054179624E-3</v>
      </c>
      <c r="S2224">
        <v>0.21035539277486087</v>
      </c>
      <c r="T2224">
        <v>1.0558321856740169</v>
      </c>
      <c r="U2224">
        <v>3.7443332086581134E-2</v>
      </c>
      <c r="V2224">
        <v>0.25054202986451779</v>
      </c>
      <c r="W2224">
        <v>0.12072014832929971</v>
      </c>
      <c r="X2224">
        <v>2.2400757610608918E-2</v>
      </c>
      <c r="Y2224">
        <v>5.0685264269947176E-3</v>
      </c>
    </row>
    <row r="2225" spans="1:25" x14ac:dyDescent="0.25">
      <c r="A2225" s="881"/>
      <c r="B2225" s="1131">
        <v>1975</v>
      </c>
      <c r="C2225" s="885">
        <v>1.0232057002066612</v>
      </c>
      <c r="D2225" s="885">
        <v>0.98817045638315393</v>
      </c>
      <c r="E2225" s="885">
        <v>0.98370525438672574</v>
      </c>
      <c r="F2225" s="885">
        <v>0.99316632641398483</v>
      </c>
      <c r="G2225" s="885">
        <v>1.0027090373076859</v>
      </c>
      <c r="H2225" s="885">
        <v>1.0163890602140226</v>
      </c>
      <c r="I2225" s="885">
        <v>0.96351675372455103</v>
      </c>
      <c r="K2225">
        <v>1.9226950632954893</v>
      </c>
      <c r="L2225">
        <v>0</v>
      </c>
      <c r="M2225">
        <v>2.0197310021874463E-3</v>
      </c>
      <c r="N2225">
        <v>0.19344854587455662</v>
      </c>
      <c r="O2225">
        <v>2.4723836834688397E-2</v>
      </c>
      <c r="P2225">
        <v>2.0732073561214835E-2</v>
      </c>
      <c r="Q2225">
        <v>2.8547345810511575E-3</v>
      </c>
      <c r="R2225">
        <v>2.0078788352566389E-3</v>
      </c>
      <c r="S2225">
        <v>0.19646228568293864</v>
      </c>
      <c r="T2225">
        <v>1.0598742856296097</v>
      </c>
      <c r="U2225">
        <v>3.6473908025902425E-2</v>
      </c>
      <c r="V2225">
        <v>0.2460618105120074</v>
      </c>
      <c r="W2225">
        <v>0.11693683585499003</v>
      </c>
      <c r="X2225">
        <v>1.9673814612972566E-2</v>
      </c>
      <c r="Y2225">
        <v>5.4647842924884183E-3</v>
      </c>
    </row>
    <row r="2226" spans="1:25" x14ac:dyDescent="0.25">
      <c r="A2226" s="881"/>
      <c r="B2226" s="1131">
        <v>1976</v>
      </c>
      <c r="C2226" s="885">
        <v>1.0430325140146002</v>
      </c>
      <c r="D2226" s="885">
        <v>0.99808438488795415</v>
      </c>
      <c r="E2226" s="885">
        <v>0.96740926376741665</v>
      </c>
      <c r="F2226" s="885">
        <v>1.015019093562034</v>
      </c>
      <c r="G2226" s="885">
        <v>0.99151942349522071</v>
      </c>
      <c r="H2226" s="885">
        <v>0.97813084034060482</v>
      </c>
      <c r="I2226" s="885">
        <v>1.0357904076627524</v>
      </c>
      <c r="K2226">
        <v>1.9007237167746402</v>
      </c>
      <c r="L2226">
        <v>0</v>
      </c>
      <c r="M2226">
        <v>1.9633435268143718E-3</v>
      </c>
      <c r="N2226">
        <v>0.17869319846147716</v>
      </c>
      <c r="O2226">
        <v>2.4134201594572326E-2</v>
      </c>
      <c r="P2226">
        <v>2.0514324378805144E-2</v>
      </c>
      <c r="Q2226">
        <v>2.7426777478264434E-3</v>
      </c>
      <c r="R2226">
        <v>1.9513633042684178E-3</v>
      </c>
      <c r="S2226">
        <v>0.20238700725621775</v>
      </c>
      <c r="T2226">
        <v>1.0613866656339537</v>
      </c>
      <c r="U2226">
        <v>3.5780582196112139E-2</v>
      </c>
      <c r="V2226">
        <v>0.2422056565661164</v>
      </c>
      <c r="W2226">
        <v>0.10924966679753433</v>
      </c>
      <c r="X2226">
        <v>1.833074871709197E-2</v>
      </c>
      <c r="Y2226">
        <v>5.3109676474782635E-3</v>
      </c>
    </row>
    <row r="2227" spans="1:25" x14ac:dyDescent="0.25">
      <c r="A2227" s="881"/>
      <c r="B2227" s="1131">
        <v>1977</v>
      </c>
      <c r="C2227" s="885">
        <v>0.99956223722568749</v>
      </c>
      <c r="D2227" s="885">
        <v>1.002782828432631</v>
      </c>
      <c r="E2227" s="885">
        <v>1.0025809653367954</v>
      </c>
      <c r="F2227" s="885">
        <v>0.96460507962433772</v>
      </c>
      <c r="G2227" s="885">
        <v>1.0260723590593692</v>
      </c>
      <c r="H2227" s="885">
        <v>0.97629260638683912</v>
      </c>
      <c r="I2227" s="885">
        <v>0.98940621244993077</v>
      </c>
      <c r="K2227">
        <v>1.9262153703862956</v>
      </c>
      <c r="L2227">
        <v>0</v>
      </c>
      <c r="M2227">
        <v>1.894813936421153E-3</v>
      </c>
      <c r="N2227">
        <v>0.19241864378396809</v>
      </c>
      <c r="O2227">
        <v>2.5125308534967538E-2</v>
      </c>
      <c r="P2227">
        <v>2.1099628792952331E-2</v>
      </c>
      <c r="Q2227">
        <v>2.9599069621294243E-3</v>
      </c>
      <c r="R2227">
        <v>1.8832263383784392E-3</v>
      </c>
      <c r="S2227">
        <v>0.20111338794883796</v>
      </c>
      <c r="T2227">
        <v>1.0581353767780768</v>
      </c>
      <c r="U2227">
        <v>3.7336655198680242E-2</v>
      </c>
      <c r="V2227">
        <v>0.24752203971878639</v>
      </c>
      <c r="W2227">
        <v>0.11481453461687686</v>
      </c>
      <c r="X2227">
        <v>2.0575954361389329E-2</v>
      </c>
      <c r="Y2227">
        <v>5.1255212876705099E-3</v>
      </c>
    </row>
    <row r="2228" spans="1:25" x14ac:dyDescent="0.25">
      <c r="A2228" s="881"/>
      <c r="B2228" s="1131">
        <v>1978</v>
      </c>
      <c r="C2228" s="885">
        <v>0.99536537088689514</v>
      </c>
      <c r="D2228" s="885">
        <v>0.97773375692924025</v>
      </c>
      <c r="E2228" s="885">
        <v>1.0105114075845307</v>
      </c>
      <c r="F2228" s="885">
        <v>1.0415529068505223</v>
      </c>
      <c r="G2228" s="885">
        <v>1.0069427292707802</v>
      </c>
      <c r="H2228" s="885">
        <v>0.99372584281764031</v>
      </c>
      <c r="I2228" s="885">
        <v>0.9796256836529198</v>
      </c>
      <c r="K2228">
        <v>1.9466789218568055</v>
      </c>
      <c r="L2228">
        <v>0</v>
      </c>
      <c r="M2228">
        <v>1.9286835598181426E-3</v>
      </c>
      <c r="N2228">
        <v>0.20077192563467594</v>
      </c>
      <c r="O2228">
        <v>2.5549609580028547E-2</v>
      </c>
      <c r="P2228">
        <v>2.1308847360002527E-2</v>
      </c>
      <c r="Q2228">
        <v>3.0285253717147252E-3</v>
      </c>
      <c r="R2228">
        <v>1.9171161360556535E-3</v>
      </c>
      <c r="S2228">
        <v>0.20405774696649381</v>
      </c>
      <c r="T2228">
        <v>1.0574089310844705</v>
      </c>
      <c r="U2228">
        <v>3.7494081763828672E-2</v>
      </c>
      <c r="V2228">
        <v>0.25130464085081405</v>
      </c>
      <c r="W2228">
        <v>0.11915350216378348</v>
      </c>
      <c r="X2228">
        <v>2.1394920359575225E-2</v>
      </c>
      <c r="Y2228">
        <v>5.2177581451790869E-3</v>
      </c>
    </row>
    <row r="2229" spans="1:25" x14ac:dyDescent="0.25">
      <c r="A2229" s="881"/>
      <c r="B2229" s="1131">
        <v>1979</v>
      </c>
      <c r="C2229" s="885">
        <v>1.0106756541075272</v>
      </c>
      <c r="D2229" s="885">
        <v>0.96934978306602371</v>
      </c>
      <c r="E2229" s="885">
        <v>0.98837119599886725</v>
      </c>
      <c r="F2229" s="885">
        <v>0.99212286535068128</v>
      </c>
      <c r="G2229" s="885">
        <v>0.9933777594020039</v>
      </c>
      <c r="H2229" s="885">
        <v>0.98545435916104074</v>
      </c>
      <c r="I2229" s="885">
        <v>0.99855862130163642</v>
      </c>
      <c r="K2229">
        <v>1.9345600333464767</v>
      </c>
      <c r="L2229">
        <v>0</v>
      </c>
      <c r="M2229">
        <v>1.9820095708093862E-3</v>
      </c>
      <c r="N2229">
        <v>0.1925801933431355</v>
      </c>
      <c r="O2229">
        <v>2.5270462737596124E-2</v>
      </c>
      <c r="P2229">
        <v>2.0974796114414593E-2</v>
      </c>
      <c r="Q2229">
        <v>2.9277101960459035E-3</v>
      </c>
      <c r="R2229">
        <v>1.9700297795918168E-3</v>
      </c>
      <c r="S2229">
        <v>0.20482517998530944</v>
      </c>
      <c r="T2229">
        <v>1.0594431506324025</v>
      </c>
      <c r="U2229">
        <v>3.6926100326293572E-2</v>
      </c>
      <c r="V2229">
        <v>0.25020469162224618</v>
      </c>
      <c r="W2229">
        <v>0.11603722539260532</v>
      </c>
      <c r="X2229">
        <v>2.0020731147736375E-2</v>
      </c>
      <c r="Y2229">
        <v>5.3617716399066186E-3</v>
      </c>
    </row>
    <row r="2230" spans="1:25" x14ac:dyDescent="0.25">
      <c r="A2230" s="881"/>
      <c r="B2230" s="1131">
        <v>1980</v>
      </c>
      <c r="C2230" s="885">
        <v>1.0080885335057435</v>
      </c>
      <c r="D2230" s="885">
        <v>1.0135964968675166</v>
      </c>
      <c r="E2230" s="885">
        <v>0.98068086809233013</v>
      </c>
      <c r="F2230" s="885">
        <v>0.96538568010252557</v>
      </c>
      <c r="G2230" s="885">
        <v>1.036395311986444</v>
      </c>
      <c r="H2230" s="885">
        <v>0.9979251088833565</v>
      </c>
      <c r="I2230" s="885">
        <v>1.0397177919867129</v>
      </c>
      <c r="K2230">
        <v>1.9310808114121203</v>
      </c>
      <c r="L2230">
        <v>0</v>
      </c>
      <c r="M2230">
        <v>2.0003131097789451E-3</v>
      </c>
      <c r="N2230">
        <v>0.18976937330652047</v>
      </c>
      <c r="O2230">
        <v>2.4781031729573043E-2</v>
      </c>
      <c r="P2230">
        <v>2.0874097333236689E-2</v>
      </c>
      <c r="Q2230">
        <v>2.857621685339734E-3</v>
      </c>
      <c r="R2230">
        <v>1.9883366484032623E-3</v>
      </c>
      <c r="S2230">
        <v>0.21076830582240472</v>
      </c>
      <c r="T2230">
        <v>1.0601541916819974</v>
      </c>
      <c r="U2230">
        <v>3.7020866085175345E-2</v>
      </c>
      <c r="V2230">
        <v>0.24501873344498823</v>
      </c>
      <c r="W2230">
        <v>0.11495344671928717</v>
      </c>
      <c r="X2230">
        <v>1.9483523163017928E-2</v>
      </c>
      <c r="Y2230">
        <v>5.4115969019536908E-3</v>
      </c>
    </row>
    <row r="2231" spans="1:25" x14ac:dyDescent="0.25">
      <c r="A2231" s="881"/>
      <c r="B2231" s="1131">
        <v>1981</v>
      </c>
      <c r="C2231" s="885">
        <v>0.99067750078957528</v>
      </c>
      <c r="D2231" s="885">
        <v>0.98961814387966973</v>
      </c>
      <c r="E2231" s="885">
        <v>0.99904094452369963</v>
      </c>
      <c r="F2231" s="885">
        <v>1.0054689545920121</v>
      </c>
      <c r="G2231" s="885">
        <v>0.97595901583291822</v>
      </c>
      <c r="H2231" s="885">
        <v>0.9706893034874936</v>
      </c>
      <c r="I2231" s="885">
        <v>0.99588947111541848</v>
      </c>
      <c r="K2231">
        <v>1.9363426785194242</v>
      </c>
      <c r="L2231">
        <v>0</v>
      </c>
      <c r="M2231">
        <v>1.9276244845925171E-3</v>
      </c>
      <c r="N2231">
        <v>0.19360085939765742</v>
      </c>
      <c r="O2231">
        <v>2.5517100587956823E-2</v>
      </c>
      <c r="P2231">
        <v>2.1144800261299921E-2</v>
      </c>
      <c r="Q2231">
        <v>2.9926266607384106E-3</v>
      </c>
      <c r="R2231">
        <v>1.9157790588943692E-3</v>
      </c>
      <c r="S2231">
        <v>0.20491613383463531</v>
      </c>
      <c r="T2231">
        <v>1.0584604418702399</v>
      </c>
      <c r="U2231">
        <v>3.7671503159375667E-2</v>
      </c>
      <c r="V2231">
        <v>0.25045059597703845</v>
      </c>
      <c r="W2231">
        <v>0.11579994847685753</v>
      </c>
      <c r="X2231">
        <v>2.0586394657408837E-2</v>
      </c>
      <c r="Y2231">
        <v>5.2141190619134367E-3</v>
      </c>
    </row>
    <row r="2232" spans="1:25" x14ac:dyDescent="0.25">
      <c r="A2232" s="881"/>
      <c r="B2232" s="1131">
        <v>1982</v>
      </c>
      <c r="C2232" s="885">
        <v>0.99998175763393382</v>
      </c>
      <c r="D2232" s="885">
        <v>1.0160212048507538</v>
      </c>
      <c r="E2232" s="885">
        <v>0.98554816958612335</v>
      </c>
      <c r="F2232" s="885">
        <v>0.96578244467733254</v>
      </c>
      <c r="G2232" s="885">
        <v>0.98530269067070153</v>
      </c>
      <c r="H2232" s="885">
        <v>1.0023652587829368</v>
      </c>
      <c r="I2232" s="885">
        <v>1.031047040404184</v>
      </c>
      <c r="K2232">
        <v>1.937209818605196</v>
      </c>
      <c r="L2232">
        <v>0</v>
      </c>
      <c r="M2232">
        <v>2.0025373280289729E-3</v>
      </c>
      <c r="N2232">
        <v>0.19288770918946432</v>
      </c>
      <c r="O2232">
        <v>2.4952460927402283E-2</v>
      </c>
      <c r="P2232">
        <v>2.0962613382161929E-2</v>
      </c>
      <c r="Q2232">
        <v>2.8921138890853925E-3</v>
      </c>
      <c r="R2232">
        <v>1.9905986966617332E-3</v>
      </c>
      <c r="S2232">
        <v>0.21093423366383271</v>
      </c>
      <c r="T2232">
        <v>1.0597038984532243</v>
      </c>
      <c r="U2232">
        <v>3.7320991424104381E-2</v>
      </c>
      <c r="V2232">
        <v>0.24584605904967594</v>
      </c>
      <c r="W2232">
        <v>0.11644929308751907</v>
      </c>
      <c r="X2232">
        <v>1.9854630718464203E-2</v>
      </c>
      <c r="Y2232">
        <v>5.4177534516292418E-3</v>
      </c>
    </row>
    <row r="2233" spans="1:25" x14ac:dyDescent="0.25">
      <c r="A2233" s="881"/>
      <c r="B2233" s="1131">
        <v>1983</v>
      </c>
      <c r="C2233" s="885">
        <v>1.0042314148810618</v>
      </c>
      <c r="D2233" s="885">
        <v>0.99491458538556388</v>
      </c>
      <c r="E2233" s="885">
        <v>1.0165303089337316</v>
      </c>
      <c r="F2233" s="885">
        <v>0.98106103406685941</v>
      </c>
      <c r="G2233" s="885">
        <v>0.99313628084390204</v>
      </c>
      <c r="H2233" s="885">
        <v>1.0053249026513771</v>
      </c>
      <c r="I2233" s="885">
        <v>1.0259025070655525</v>
      </c>
      <c r="K2233">
        <v>1.9489291376189817</v>
      </c>
      <c r="L2233">
        <v>0</v>
      </c>
      <c r="M2233">
        <v>1.8931480826653467E-3</v>
      </c>
      <c r="N2233">
        <v>0.20080656585165257</v>
      </c>
      <c r="O2233">
        <v>2.510620811828802E-2</v>
      </c>
      <c r="P2233">
        <v>2.1444007529454578E-2</v>
      </c>
      <c r="Q2233">
        <v>2.9975512373553218E-3</v>
      </c>
      <c r="R2233">
        <v>1.8819111491125216E-3</v>
      </c>
      <c r="S2233">
        <v>0.21132274328991929</v>
      </c>
      <c r="T2233">
        <v>1.0568592250506526</v>
      </c>
      <c r="U2233">
        <v>3.7163058283072113E-2</v>
      </c>
      <c r="V2233">
        <v>0.24784308905929078</v>
      </c>
      <c r="W2233">
        <v>0.11868884958899624</v>
      </c>
      <c r="X2233">
        <v>2.1587134767812363E-2</v>
      </c>
      <c r="Y2233">
        <v>5.1219417760407079E-3</v>
      </c>
    </row>
    <row r="2234" spans="1:25" x14ac:dyDescent="0.25">
      <c r="A2234" s="881"/>
      <c r="B2234" s="1131">
        <v>1984</v>
      </c>
      <c r="C2234" s="885">
        <v>0.99436053662670154</v>
      </c>
      <c r="D2234" s="885">
        <v>1.013633608125136</v>
      </c>
      <c r="E2234" s="885">
        <v>1.035301959163679</v>
      </c>
      <c r="F2234" s="885">
        <v>1.015970493479283</v>
      </c>
      <c r="G2234" s="885">
        <v>1.0264088092177077</v>
      </c>
      <c r="H2234" s="885">
        <v>0.97240872674177903</v>
      </c>
      <c r="I2234" s="885">
        <v>0.99249528771744266</v>
      </c>
      <c r="K2234">
        <v>1.9312755140608349</v>
      </c>
      <c r="L2234">
        <v>0</v>
      </c>
      <c r="M2234">
        <v>1.7610815186886114E-3</v>
      </c>
      <c r="N2234">
        <v>0.19796847581678273</v>
      </c>
      <c r="O2234">
        <v>2.5122700593897963E-2</v>
      </c>
      <c r="P2234">
        <v>2.1569158791741601E-2</v>
      </c>
      <c r="Q2234">
        <v>3.0598032481252051E-3</v>
      </c>
      <c r="R2234">
        <v>1.7502606981570766E-3</v>
      </c>
      <c r="S2234">
        <v>0.20140954819372223</v>
      </c>
      <c r="T2234">
        <v>1.0551539083805157</v>
      </c>
      <c r="U2234">
        <v>3.7531970775432695E-2</v>
      </c>
      <c r="V2234">
        <v>0.24692287702572804</v>
      </c>
      <c r="W2234">
        <v>0.11554454618382175</v>
      </c>
      <c r="X2234">
        <v>2.2239713224496322E-2</v>
      </c>
      <c r="Y2234">
        <v>4.7636326470994819E-3</v>
      </c>
    </row>
    <row r="2235" spans="1:25" x14ac:dyDescent="0.25">
      <c r="A2235" s="881"/>
      <c r="B2235" s="1131">
        <v>1985</v>
      </c>
      <c r="C2235" s="885">
        <v>0.96380288144298765</v>
      </c>
      <c r="D2235" s="885">
        <v>1.0090183793214202</v>
      </c>
      <c r="E2235" s="885">
        <v>0.98020993754861441</v>
      </c>
      <c r="F2235" s="885">
        <v>0.97100619069812721</v>
      </c>
      <c r="G2235" s="885">
        <v>0.98913011078042234</v>
      </c>
      <c r="H2235" s="885">
        <v>1.0073347830891188</v>
      </c>
      <c r="I2235" s="885">
        <v>1.0417669733221764</v>
      </c>
      <c r="K2235">
        <v>1.9716409158570209</v>
      </c>
      <c r="L2235">
        <v>0</v>
      </c>
      <c r="M2235">
        <v>2.1187735745789166E-3</v>
      </c>
      <c r="N2235">
        <v>0.20072465412230725</v>
      </c>
      <c r="O2235">
        <v>2.5977747677297394E-2</v>
      </c>
      <c r="P2235">
        <v>2.1139337032997606E-2</v>
      </c>
      <c r="Q2235">
        <v>2.9932475878642392E-3</v>
      </c>
      <c r="R2235">
        <v>2.1062102771421216E-3</v>
      </c>
      <c r="S2235">
        <v>0.22237081898365782</v>
      </c>
      <c r="T2235">
        <v>1.0601978080944894</v>
      </c>
      <c r="U2235">
        <v>3.8721933000492391E-2</v>
      </c>
      <c r="V2235">
        <v>0.25195253028703901</v>
      </c>
      <c r="W2235">
        <v>0.12162937194650111</v>
      </c>
      <c r="X2235">
        <v>2.0213620359460536E-2</v>
      </c>
      <c r="Y2235">
        <v>5.7324100623495954E-3</v>
      </c>
    </row>
    <row r="2236" spans="1:25" x14ac:dyDescent="0.25">
      <c r="A2236" s="881"/>
      <c r="B2236" s="1131">
        <v>1986</v>
      </c>
      <c r="C2236" s="885">
        <v>1.0141533773945641</v>
      </c>
      <c r="D2236" s="885">
        <v>0.98765579267135561</v>
      </c>
      <c r="E2236" s="885">
        <v>0.99456477589089998</v>
      </c>
      <c r="F2236" s="885">
        <v>1.0324415211211879</v>
      </c>
      <c r="G2236" s="885">
        <v>0.97664988699939626</v>
      </c>
      <c r="H2236" s="885">
        <v>0.98773528764173812</v>
      </c>
      <c r="I2236" s="885">
        <v>0.98555830320279325</v>
      </c>
      <c r="K2236">
        <v>1.9240588412020505</v>
      </c>
      <c r="L2236">
        <v>0</v>
      </c>
      <c r="M2236">
        <v>1.9361111328082628E-3</v>
      </c>
      <c r="N2236">
        <v>0.19178404613935807</v>
      </c>
      <c r="O2236">
        <v>2.4950965687880036E-2</v>
      </c>
      <c r="P2236">
        <v>2.0958623293787629E-2</v>
      </c>
      <c r="Q2236">
        <v>2.9126659063476602E-3</v>
      </c>
      <c r="R2236">
        <v>1.9244204962164508E-3</v>
      </c>
      <c r="S2236">
        <v>0.19996356588771694</v>
      </c>
      <c r="T2236">
        <v>1.0588721681480973</v>
      </c>
      <c r="U2236">
        <v>3.6799473760858105E-2</v>
      </c>
      <c r="V2236">
        <v>0.2473695088631287</v>
      </c>
      <c r="W2236">
        <v>0.11506591215426698</v>
      </c>
      <c r="X2236">
        <v>2.0155963791544221E-2</v>
      </c>
      <c r="Y2236">
        <v>5.2376382056550964E-3</v>
      </c>
    </row>
    <row r="2237" spans="1:25" x14ac:dyDescent="0.25">
      <c r="A2237" s="881"/>
      <c r="B2237" s="1131">
        <v>1987</v>
      </c>
      <c r="C2237" s="885">
        <v>0.97028184082207047</v>
      </c>
      <c r="D2237" s="885">
        <v>0.98666549409707827</v>
      </c>
      <c r="E2237" s="885">
        <v>1.0135649641465405</v>
      </c>
      <c r="F2237" s="885">
        <v>0.9918379170443864</v>
      </c>
      <c r="G2237" s="885">
        <v>1.0011896760854759</v>
      </c>
      <c r="H2237" s="885">
        <v>1.0172111500679539</v>
      </c>
      <c r="I2237" s="885">
        <v>1.0053148791264646</v>
      </c>
      <c r="K2237">
        <v>1.9794206736167532</v>
      </c>
      <c r="L2237">
        <v>0</v>
      </c>
      <c r="M2237">
        <v>2.0032451635515823E-3</v>
      </c>
      <c r="N2237">
        <v>0.2105508894623164</v>
      </c>
      <c r="O2237">
        <v>2.6092106242975126E-2</v>
      </c>
      <c r="P2237">
        <v>2.1571789659657375E-2</v>
      </c>
      <c r="Q2237">
        <v>3.1042575727039954E-3</v>
      </c>
      <c r="R2237">
        <v>1.9915004865621072E-3</v>
      </c>
      <c r="S2237">
        <v>0.2164042982535456</v>
      </c>
      <c r="T2237">
        <v>1.0571298730692573</v>
      </c>
      <c r="U2237">
        <v>3.8463371188413996E-2</v>
      </c>
      <c r="V2237">
        <v>0.25385260238171964</v>
      </c>
      <c r="W2237">
        <v>0.12469845968806197</v>
      </c>
      <c r="X2237">
        <v>2.2144562948627232E-2</v>
      </c>
      <c r="Y2237">
        <v>5.4202078264630974E-3</v>
      </c>
    </row>
    <row r="2238" spans="1:25" x14ac:dyDescent="0.25">
      <c r="A2238" s="881"/>
      <c r="B2238" s="1131">
        <v>1988</v>
      </c>
      <c r="C2238" s="885">
        <v>0.99245903598140905</v>
      </c>
      <c r="D2238" s="885">
        <v>1.0124252325250584</v>
      </c>
      <c r="E2238" s="885">
        <v>0.98766536845132602</v>
      </c>
      <c r="F2238" s="885">
        <v>1.0104687610314818</v>
      </c>
      <c r="G2238" s="885">
        <v>1.0295165205490457</v>
      </c>
      <c r="H2238" s="885">
        <v>1.0192638664929752</v>
      </c>
      <c r="I2238" s="885">
        <v>1.000327294364092</v>
      </c>
      <c r="K2238">
        <v>1.945553265465136</v>
      </c>
      <c r="L2238">
        <v>0</v>
      </c>
      <c r="M2238">
        <v>2.0462018424437399E-3</v>
      </c>
      <c r="N2238">
        <v>0.19841736720747605</v>
      </c>
      <c r="O2238">
        <v>2.5185674168160678E-2</v>
      </c>
      <c r="P2238">
        <v>2.0981270633423251E-2</v>
      </c>
      <c r="Q2238">
        <v>2.9246914113144258E-3</v>
      </c>
      <c r="R2238">
        <v>2.0342080720177156E-3</v>
      </c>
      <c r="S2238">
        <v>0.20824916548772157</v>
      </c>
      <c r="T2238">
        <v>1.0595083151134412</v>
      </c>
      <c r="U2238">
        <v>3.7603880107768953E-2</v>
      </c>
      <c r="V2238">
        <v>0.24734230175607455</v>
      </c>
      <c r="W2238">
        <v>0.11961259437790975</v>
      </c>
      <c r="X2238">
        <v>2.0203555176749891E-2</v>
      </c>
      <c r="Y2238">
        <v>5.5364437955215031E-3</v>
      </c>
    </row>
    <row r="2239" spans="1:25" x14ac:dyDescent="0.25">
      <c r="A2239" s="881"/>
      <c r="B2239" s="1131">
        <v>1989</v>
      </c>
      <c r="C2239" s="885">
        <v>1.0176391889723104</v>
      </c>
      <c r="D2239" s="885">
        <v>0.97588312638284891</v>
      </c>
      <c r="E2239" s="885">
        <v>0.97423475822204852</v>
      </c>
      <c r="F2239" s="885">
        <v>0.98547645459750777</v>
      </c>
      <c r="G2239" s="885">
        <v>0.97744073101511075</v>
      </c>
      <c r="H2239" s="885">
        <v>0.98994453024997831</v>
      </c>
      <c r="I2239" s="885">
        <v>1.0079624757563881</v>
      </c>
      <c r="K2239">
        <v>1.9278957408938753</v>
      </c>
      <c r="L2239">
        <v>0</v>
      </c>
      <c r="M2239">
        <v>2.0302098255637747E-3</v>
      </c>
      <c r="N2239">
        <v>0.18876903714671367</v>
      </c>
      <c r="O2239">
        <v>2.501390966419844E-2</v>
      </c>
      <c r="P2239">
        <v>2.074513883338279E-2</v>
      </c>
      <c r="Q2239">
        <v>2.8580299226843736E-3</v>
      </c>
      <c r="R2239">
        <v>2.0179886013767002E-3</v>
      </c>
      <c r="S2239">
        <v>0.20516041971190305</v>
      </c>
      <c r="T2239">
        <v>1.0607519608855125</v>
      </c>
      <c r="U2239">
        <v>3.667342119421111E-2</v>
      </c>
      <c r="V2239">
        <v>0.24838028211444288</v>
      </c>
      <c r="W2239">
        <v>0.11486101807017855</v>
      </c>
      <c r="X2239">
        <v>1.9202444831648569E-2</v>
      </c>
      <c r="Y2239">
        <v>5.4922997431837194E-3</v>
      </c>
    </row>
    <row r="2240" spans="1:25" x14ac:dyDescent="0.25">
      <c r="A2240" s="881"/>
      <c r="B2240" s="1131">
        <v>1990</v>
      </c>
      <c r="C2240" s="885">
        <v>1.0121966946931682</v>
      </c>
      <c r="D2240" s="885">
        <v>1.0090058823847552</v>
      </c>
      <c r="E2240" s="885">
        <v>0.9999169879996056</v>
      </c>
      <c r="F2240" s="885">
        <v>1.0093733845214281</v>
      </c>
      <c r="G2240" s="885">
        <v>1.0234422218217105</v>
      </c>
      <c r="H2240" s="885">
        <v>1.0176417169901677</v>
      </c>
      <c r="I2240" s="885">
        <v>1.0130548614538712</v>
      </c>
      <c r="K2240">
        <v>1.9365310156532762</v>
      </c>
      <c r="L2240">
        <v>0</v>
      </c>
      <c r="M2240">
        <v>1.9553998283049173E-3</v>
      </c>
      <c r="N2240">
        <v>0.19698109714100831</v>
      </c>
      <c r="O2240">
        <v>2.4735885329041449E-2</v>
      </c>
      <c r="P2240">
        <v>2.1099981541719642E-2</v>
      </c>
      <c r="Q2240">
        <v>2.9074937726557577E-3</v>
      </c>
      <c r="R2240">
        <v>1.9439227003412718E-3</v>
      </c>
      <c r="S2240">
        <v>0.20694387782241866</v>
      </c>
      <c r="T2240">
        <v>1.0583799530544138</v>
      </c>
      <c r="U2240">
        <v>3.6870611015213758E-2</v>
      </c>
      <c r="V2240">
        <v>0.24500629175949198</v>
      </c>
      <c r="W2240">
        <v>0.11775116584968229</v>
      </c>
      <c r="X2240">
        <v>2.0575418719210068E-2</v>
      </c>
      <c r="Y2240">
        <v>5.2907167763829987E-3</v>
      </c>
    </row>
    <row r="2241" spans="1:25" x14ac:dyDescent="0.25">
      <c r="A2241" s="881"/>
      <c r="B2241" s="1131">
        <v>1991</v>
      </c>
      <c r="C2241" s="885">
        <v>1.0338242913916187</v>
      </c>
      <c r="D2241" s="885">
        <v>0.990066589376142</v>
      </c>
      <c r="E2241" s="885">
        <v>0.99090755731727576</v>
      </c>
      <c r="F2241" s="885">
        <v>0.99636070695713752</v>
      </c>
      <c r="G2241" s="885">
        <v>1.0419960430381023</v>
      </c>
      <c r="H2241" s="885">
        <v>0.99580025603496292</v>
      </c>
      <c r="I2241" s="885">
        <v>0.98949338981518897</v>
      </c>
      <c r="K2241">
        <v>1.9125555383250654</v>
      </c>
      <c r="L2241">
        <v>0</v>
      </c>
      <c r="M2241">
        <v>1.9272386069118411E-3</v>
      </c>
      <c r="N2241">
        <v>0.18875329236192578</v>
      </c>
      <c r="O2241">
        <v>2.4446650451293458E-2</v>
      </c>
      <c r="P2241">
        <v>2.0822578992072103E-2</v>
      </c>
      <c r="Q2241">
        <v>2.8437661127912917E-3</v>
      </c>
      <c r="R2241">
        <v>1.9156938330185719E-3</v>
      </c>
      <c r="S2241">
        <v>0.19750649654722585</v>
      </c>
      <c r="T2241">
        <v>1.0592091446328302</v>
      </c>
      <c r="U2241">
        <v>3.6099278099453874E-2</v>
      </c>
      <c r="V2241">
        <v>0.24439562809533852</v>
      </c>
      <c r="W2241">
        <v>0.1135327250736002</v>
      </c>
      <c r="X2241">
        <v>1.9743635627253019E-2</v>
      </c>
      <c r="Y2241">
        <v>5.2138871051742187E-3</v>
      </c>
    </row>
    <row r="2242" spans="1:25" x14ac:dyDescent="0.25">
      <c r="A2242" s="881"/>
      <c r="B2242" s="1131">
        <v>1992</v>
      </c>
      <c r="C2242" s="885">
        <v>1.0323480476956051</v>
      </c>
      <c r="D2242" s="885">
        <v>0.99674079397492288</v>
      </c>
      <c r="E2242" s="885">
        <v>0.98425774405078992</v>
      </c>
      <c r="F2242" s="885">
        <v>0.99717291966524446</v>
      </c>
      <c r="G2242" s="885">
        <v>1.0014075693302982</v>
      </c>
      <c r="H2242" s="885">
        <v>0.99912098963936435</v>
      </c>
      <c r="I2242" s="885">
        <v>1.0039091654246886</v>
      </c>
      <c r="K2242">
        <v>1.9140289668591044</v>
      </c>
      <c r="L2242">
        <v>0</v>
      </c>
      <c r="M2242">
        <v>1.9571658091693867E-3</v>
      </c>
      <c r="N2242">
        <v>0.18775912786883353</v>
      </c>
      <c r="O2242">
        <v>2.4400253019613436E-2</v>
      </c>
      <c r="P2242">
        <v>2.0757727784976903E-2</v>
      </c>
      <c r="Q2242">
        <v>2.8206542086308961E-3</v>
      </c>
      <c r="R2242">
        <v>1.9454752712468565E-3</v>
      </c>
      <c r="S2242">
        <v>0.20037933614691492</v>
      </c>
      <c r="T2242">
        <v>1.0598231912225837</v>
      </c>
      <c r="U2242">
        <v>3.6150899577156087E-2</v>
      </c>
      <c r="V2242">
        <v>0.24377773674004324</v>
      </c>
      <c r="W2242">
        <v>0.11345428372552488</v>
      </c>
      <c r="X2242">
        <v>1.9422504740162154E-2</v>
      </c>
      <c r="Y2242">
        <v>5.2949423625831375E-3</v>
      </c>
    </row>
    <row r="2243" spans="1:25" x14ac:dyDescent="0.25">
      <c r="A2243" s="881"/>
      <c r="B2243" s="1131">
        <v>1993</v>
      </c>
      <c r="C2243" s="885">
        <v>0.98614416126637194</v>
      </c>
      <c r="D2243" s="885">
        <v>1.0128040109879128</v>
      </c>
      <c r="E2243" s="885">
        <v>0.9876703823424392</v>
      </c>
      <c r="F2243" s="885">
        <v>1.0222759631927278</v>
      </c>
      <c r="G2243" s="885">
        <v>0.97496204625238492</v>
      </c>
      <c r="H2243" s="885">
        <v>0.99556294980786697</v>
      </c>
      <c r="I2243" s="885">
        <v>1.0036411742669438</v>
      </c>
      <c r="K2243">
        <v>1.9407025744118016</v>
      </c>
      <c r="L2243">
        <v>0</v>
      </c>
      <c r="M2243">
        <v>2.0110273092889324E-3</v>
      </c>
      <c r="N2243">
        <v>0.19498218322923475</v>
      </c>
      <c r="O2243">
        <v>2.5342268598259061E-2</v>
      </c>
      <c r="P2243">
        <v>2.0990306220611852E-2</v>
      </c>
      <c r="Q2243">
        <v>2.9429672220198911E-3</v>
      </c>
      <c r="R2243">
        <v>1.9989587806221393E-3</v>
      </c>
      <c r="S2243">
        <v>0.20781516832266902</v>
      </c>
      <c r="T2243">
        <v>1.0595078521451213</v>
      </c>
      <c r="U2243">
        <v>3.7844680389316987E-2</v>
      </c>
      <c r="V2243">
        <v>0.24819828396272237</v>
      </c>
      <c r="W2243">
        <v>0.11754134437235693</v>
      </c>
      <c r="X2243">
        <v>2.010908163388573E-2</v>
      </c>
      <c r="Y2243">
        <v>5.4405068442685322E-3</v>
      </c>
    </row>
    <row r="2244" spans="1:25" x14ac:dyDescent="0.25">
      <c r="A2244" s="881"/>
      <c r="B2244" s="1131">
        <v>1994</v>
      </c>
      <c r="C2244" s="885">
        <v>1.0040662747214157</v>
      </c>
      <c r="D2244" s="885">
        <v>0.99482930162766403</v>
      </c>
      <c r="E2244" s="885">
        <v>1.0281179815687145</v>
      </c>
      <c r="F2244" s="885">
        <v>1.0309034650452562</v>
      </c>
      <c r="G2244" s="885">
        <v>1.0289926261830189</v>
      </c>
      <c r="H2244" s="885">
        <v>0.98519560301836306</v>
      </c>
      <c r="I2244" s="885">
        <v>0.98867654350961853</v>
      </c>
      <c r="K2244">
        <v>1.9348564633830148</v>
      </c>
      <c r="L2244">
        <v>0</v>
      </c>
      <c r="M2244">
        <v>1.8107411330349275E-3</v>
      </c>
      <c r="N2244">
        <v>0.19907990378125739</v>
      </c>
      <c r="O2244">
        <v>2.5111403642021204E-2</v>
      </c>
      <c r="P2244">
        <v>2.1478161097290303E-2</v>
      </c>
      <c r="Q2244">
        <v>3.0328469125468546E-3</v>
      </c>
      <c r="R2244">
        <v>1.7997738011996693E-3</v>
      </c>
      <c r="S2244">
        <v>0.20168518682713646</v>
      </c>
      <c r="T2244">
        <v>1.0558049103035554</v>
      </c>
      <c r="U2244">
        <v>3.716917054232468E-2</v>
      </c>
      <c r="V2244">
        <v>0.24787667378840775</v>
      </c>
      <c r="W2244">
        <v>0.1167532823319393</v>
      </c>
      <c r="X2244">
        <v>2.1977500496776829E-2</v>
      </c>
      <c r="Y2244">
        <v>4.8983909915913861E-3</v>
      </c>
    </row>
    <row r="2245" spans="1:25" x14ac:dyDescent="0.25">
      <c r="A2245" s="881"/>
      <c r="B2245" s="1131">
        <v>1995</v>
      </c>
      <c r="C2245" s="885">
        <v>0.99984465987477211</v>
      </c>
      <c r="D2245" s="885">
        <v>1.002047733459321</v>
      </c>
      <c r="E2245" s="885">
        <v>0.96880449758998821</v>
      </c>
      <c r="F2245" s="885">
        <v>1.0199974311626794</v>
      </c>
      <c r="G2245" s="885">
        <v>0.99711257156986377</v>
      </c>
      <c r="H2245" s="885">
        <v>0.98682929950575804</v>
      </c>
      <c r="I2245" s="885">
        <v>0.97332838387334797</v>
      </c>
      <c r="K2245">
        <v>1.9208977366881594</v>
      </c>
      <c r="L2245">
        <v>0</v>
      </c>
      <c r="M2245">
        <v>2.0562968885361058E-3</v>
      </c>
      <c r="N2245">
        <v>0.18797926185993674</v>
      </c>
      <c r="O2245">
        <v>2.5127327733200065E-2</v>
      </c>
      <c r="P2245">
        <v>2.0580182076698501E-2</v>
      </c>
      <c r="Q2245">
        <v>2.8604087946699128E-3</v>
      </c>
      <c r="R2245">
        <v>2.0438566533982931E-3</v>
      </c>
      <c r="S2245">
        <v>0.19889290821147126</v>
      </c>
      <c r="T2245">
        <v>1.0612567758798874</v>
      </c>
      <c r="U2245">
        <v>3.7326108843338944E-2</v>
      </c>
      <c r="V2245">
        <v>0.24757418869663173</v>
      </c>
      <c r="W2245">
        <v>0.11481484654522991</v>
      </c>
      <c r="X2245">
        <v>1.8935464228843884E-2</v>
      </c>
      <c r="Y2245">
        <v>5.5627040533854383E-3</v>
      </c>
    </row>
    <row r="2246" spans="1:25" x14ac:dyDescent="0.25">
      <c r="A2246" s="881"/>
      <c r="B2246" s="1131">
        <v>1996</v>
      </c>
      <c r="C2246" s="885">
        <v>0.96521679614192846</v>
      </c>
      <c r="D2246" s="885">
        <v>0.98103797409539439</v>
      </c>
      <c r="E2246" s="885">
        <v>0.96748687778153841</v>
      </c>
      <c r="F2246" s="885">
        <v>1.0008784937112787</v>
      </c>
      <c r="G2246" s="885">
        <v>0.99657947205114317</v>
      </c>
      <c r="H2246" s="885">
        <v>0.97764718695919661</v>
      </c>
      <c r="I2246" s="885">
        <v>0.95635080741756229</v>
      </c>
      <c r="K2246">
        <v>1.9478172381719505</v>
      </c>
      <c r="L2246">
        <v>0</v>
      </c>
      <c r="M2246">
        <v>2.1384021409365022E-3</v>
      </c>
      <c r="N2246">
        <v>0.19467406926665645</v>
      </c>
      <c r="O2246">
        <v>2.6303562030307721E-2</v>
      </c>
      <c r="P2246">
        <v>2.0743885662359473E-2</v>
      </c>
      <c r="Q2246">
        <v>2.9858429338308519E-3</v>
      </c>
      <c r="R2246">
        <v>2.1253629111020488E-3</v>
      </c>
      <c r="S2246">
        <v>0.20348547703638661</v>
      </c>
      <c r="T2246">
        <v>1.0613794381547601</v>
      </c>
      <c r="U2246">
        <v>3.8665210499952002E-2</v>
      </c>
      <c r="V2246">
        <v>0.25537675827286749</v>
      </c>
      <c r="W2246">
        <v>0.1190136046278443</v>
      </c>
      <c r="X2246">
        <v>1.9417891698493207E-2</v>
      </c>
      <c r="Y2246">
        <v>5.784537218324429E-3</v>
      </c>
    </row>
    <row r="2247" spans="1:25" x14ac:dyDescent="0.25">
      <c r="A2247" s="881"/>
      <c r="B2247" s="1131">
        <v>1997</v>
      </c>
      <c r="C2247" s="885">
        <v>0.96187403190913634</v>
      </c>
      <c r="D2247" s="885">
        <v>0.9862330048469059</v>
      </c>
      <c r="E2247" s="885">
        <v>1.0131828652197132</v>
      </c>
      <c r="F2247" s="885">
        <v>0.99199620547405976</v>
      </c>
      <c r="G2247" s="885">
        <v>0.98808929523242794</v>
      </c>
      <c r="H2247" s="885">
        <v>0.99390212693543578</v>
      </c>
      <c r="I2247" s="885">
        <v>0.99201576639455535</v>
      </c>
      <c r="K2247">
        <v>1.9728991593309049</v>
      </c>
      <c r="L2247">
        <v>0</v>
      </c>
      <c r="M2247">
        <v>1.976472816332966E-3</v>
      </c>
      <c r="N2247">
        <v>0.20746176862167409</v>
      </c>
      <c r="O2247">
        <v>2.632590259157893E-2</v>
      </c>
      <c r="P2247">
        <v>2.1542496601542858E-2</v>
      </c>
      <c r="Q2247">
        <v>3.1307828982861776E-3</v>
      </c>
      <c r="R2247">
        <v>1.9646137079498602E-3</v>
      </c>
      <c r="S2247">
        <v>0.21300205014230128</v>
      </c>
      <c r="T2247">
        <v>1.0571647723464046</v>
      </c>
      <c r="U2247">
        <v>3.8799582235153153E-2</v>
      </c>
      <c r="V2247">
        <v>0.25519923749260687</v>
      </c>
      <c r="W2247">
        <v>0.12290076223022971</v>
      </c>
      <c r="X2247">
        <v>2.203663240120577E-2</v>
      </c>
      <c r="Y2247">
        <v>5.347030878304751E-3</v>
      </c>
    </row>
    <row r="2248" spans="1:25" x14ac:dyDescent="0.25">
      <c r="A2248" s="881"/>
      <c r="B2248" s="1131">
        <v>1998</v>
      </c>
      <c r="C2248" s="885">
        <v>1.0011018175410726</v>
      </c>
      <c r="D2248" s="885">
        <v>1.0264420617528389</v>
      </c>
      <c r="E2248" s="885">
        <v>0.97725173547096189</v>
      </c>
      <c r="F2248" s="885">
        <v>0.97945427384026684</v>
      </c>
      <c r="G2248" s="885">
        <v>0.99610012139359405</v>
      </c>
      <c r="H2248" s="885">
        <v>1.0230695958623917</v>
      </c>
      <c r="I2248" s="885">
        <v>1.0088106276289162</v>
      </c>
      <c r="K2248">
        <v>1.9348283440174103</v>
      </c>
      <c r="L2248">
        <v>0</v>
      </c>
      <c r="M2248">
        <v>2.067063999132306E-3</v>
      </c>
      <c r="N2248">
        <v>0.19404554759181306</v>
      </c>
      <c r="O2248">
        <v>2.4799328462455972E-2</v>
      </c>
      <c r="P2248">
        <v>2.077295805562606E-2</v>
      </c>
      <c r="Q2248">
        <v>2.8522572224475972E-3</v>
      </c>
      <c r="R2248">
        <v>2.0549816067197916E-3</v>
      </c>
      <c r="S2248">
        <v>0.20727791425187758</v>
      </c>
      <c r="T2248">
        <v>1.0604719860688303</v>
      </c>
      <c r="U2248">
        <v>3.7279235685121218E-2</v>
      </c>
      <c r="V2248">
        <v>0.2444474279279639</v>
      </c>
      <c r="W2248">
        <v>0.11782397911570733</v>
      </c>
      <c r="X2248">
        <v>1.9476809518993415E-2</v>
      </c>
      <c r="Y2248">
        <v>5.592982508986679E-3</v>
      </c>
    </row>
    <row r="2249" spans="1:25" x14ac:dyDescent="0.25">
      <c r="A2249" s="881"/>
      <c r="B2249" s="1131">
        <v>1999</v>
      </c>
      <c r="C2249" s="885">
        <v>0.99041142352203249</v>
      </c>
      <c r="D2249" s="885">
        <v>1.0001233921026698</v>
      </c>
      <c r="E2249" s="885">
        <v>0.9942225238313277</v>
      </c>
      <c r="F2249" s="885">
        <v>1.0432754140363925</v>
      </c>
      <c r="G2249" s="885">
        <v>0.99709937857700859</v>
      </c>
      <c r="H2249" s="885">
        <v>1.0118651501796332</v>
      </c>
      <c r="I2249" s="885">
        <v>0.97389702803324296</v>
      </c>
      <c r="K2249">
        <v>1.9445980914643235</v>
      </c>
      <c r="L2249">
        <v>0</v>
      </c>
      <c r="M2249">
        <v>2.0198372537352746E-3</v>
      </c>
      <c r="N2249">
        <v>0.19989255347625637</v>
      </c>
      <c r="O2249">
        <v>2.5390798811946117E-2</v>
      </c>
      <c r="P2249">
        <v>2.1038972744215293E-2</v>
      </c>
      <c r="Q2249">
        <v>2.9655866238854642E-3</v>
      </c>
      <c r="R2249">
        <v>2.0079215218016702E-3</v>
      </c>
      <c r="S2249">
        <v>0.20357305061353509</v>
      </c>
      <c r="T2249">
        <v>1.0589036812199284</v>
      </c>
      <c r="U2249">
        <v>3.7681623731884072E-2</v>
      </c>
      <c r="V2249">
        <v>0.24915502631663211</v>
      </c>
      <c r="W2249">
        <v>0.11995902495029905</v>
      </c>
      <c r="X2249">
        <v>2.0584788236481154E-2</v>
      </c>
      <c r="Y2249">
        <v>5.4649004711923767E-3</v>
      </c>
    </row>
    <row r="2250" spans="1:25" x14ac:dyDescent="0.25">
      <c r="A2250" s="881"/>
      <c r="B2250" s="1131">
        <v>2000</v>
      </c>
      <c r="C2250" s="885">
        <v>1.0029159760014112</v>
      </c>
      <c r="D2250" s="885">
        <v>1.0398933662294167</v>
      </c>
      <c r="E2250" s="885">
        <v>1.0377519166974327</v>
      </c>
      <c r="F2250" s="885">
        <v>0.99233985394060964</v>
      </c>
      <c r="G2250" s="885">
        <v>0.99973658003354904</v>
      </c>
      <c r="H2250" s="885">
        <v>1.0304169959538536</v>
      </c>
      <c r="I2250" s="885">
        <v>1.0019299676934619</v>
      </c>
      <c r="K2250">
        <v>1.9424409236661486</v>
      </c>
      <c r="L2250">
        <v>0</v>
      </c>
      <c r="M2250">
        <v>1.81759078711695E-3</v>
      </c>
      <c r="N2250">
        <v>0.20594946969677272</v>
      </c>
      <c r="O2250">
        <v>2.4596160404963409E-2</v>
      </c>
      <c r="P2250">
        <v>2.1589973231944608E-2</v>
      </c>
      <c r="Q2250">
        <v>3.0082097866091437E-3</v>
      </c>
      <c r="R2250">
        <v>1.8070329851113589E-3</v>
      </c>
      <c r="S2250">
        <v>0.20500061868992553</v>
      </c>
      <c r="T2250">
        <v>1.0549323589723705</v>
      </c>
      <c r="U2250">
        <v>3.7211801879666509E-2</v>
      </c>
      <c r="V2250">
        <v>0.24263325002341737</v>
      </c>
      <c r="W2250">
        <v>0.12000636924782007</v>
      </c>
      <c r="X2250">
        <v>2.2605121437454065E-2</v>
      </c>
      <c r="Y2250">
        <v>4.9181480972096715E-3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workbookViewId="0"/>
  </sheetViews>
  <sheetFormatPr defaultColWidth="11" defaultRowHeight="13.2" x14ac:dyDescent="0.25"/>
  <cols>
    <col min="1" max="1" width="27.33203125" style="51" customWidth="1"/>
    <col min="2" max="2" width="28.6640625" style="51" customWidth="1"/>
    <col min="3" max="3" width="25.33203125" style="51" customWidth="1"/>
    <col min="4" max="4" width="18.6640625" style="51" customWidth="1"/>
    <col min="5" max="5" width="49.6640625" style="51" customWidth="1"/>
    <col min="6" max="6" width="24.6640625" style="51" customWidth="1"/>
    <col min="7" max="7" width="25.6640625" style="51" customWidth="1"/>
    <col min="8" max="8" width="21.33203125" style="51" customWidth="1"/>
    <col min="9" max="9" width="29.6640625" style="51" customWidth="1"/>
    <col min="10" max="10" width="27.33203125" style="51" customWidth="1"/>
    <col min="11" max="11" width="25" style="51" customWidth="1"/>
    <col min="12" max="12" width="25.6640625" style="51" customWidth="1"/>
    <col min="13" max="13" width="21" style="51" customWidth="1"/>
    <col min="14" max="14" width="22.6640625" style="51" customWidth="1"/>
    <col min="15" max="15" width="28.33203125" style="51" customWidth="1"/>
    <col min="16" max="16" width="28.6640625" style="51" customWidth="1"/>
    <col min="17" max="17" width="26.6640625" style="51" customWidth="1"/>
    <col min="18" max="18" width="23.5546875" style="51" customWidth="1"/>
    <col min="19" max="19" width="22.33203125" style="51" customWidth="1"/>
    <col min="20" max="20" width="20.6640625" style="51" customWidth="1"/>
    <col min="21" max="21" width="21.44140625" style="51" customWidth="1"/>
    <col min="22" max="22" width="18.6640625" style="51" customWidth="1"/>
    <col min="23" max="23" width="20.44140625" style="51" customWidth="1"/>
    <col min="24" max="24" width="19.33203125" style="51" customWidth="1"/>
    <col min="25" max="25" width="14.6640625" style="51" customWidth="1"/>
    <col min="26" max="26" width="15.6640625" style="51" customWidth="1"/>
    <col min="27" max="27" width="15.5546875" style="51" customWidth="1"/>
    <col min="28" max="28" width="15.6640625" style="51" customWidth="1"/>
    <col min="29" max="29" width="16.6640625" style="51" customWidth="1"/>
    <col min="30" max="30" width="14.6640625" style="51" customWidth="1"/>
    <col min="31" max="31" width="15.44140625" style="51" customWidth="1"/>
    <col min="32" max="32" width="11" style="51"/>
    <col min="33" max="33" width="14.6640625" style="51" customWidth="1"/>
    <col min="34" max="16384" width="11" style="51"/>
  </cols>
  <sheetData>
    <row r="1" spans="1:23" ht="15" customHeight="1" thickBot="1" x14ac:dyDescent="0.3">
      <c r="D1" s="39"/>
    </row>
    <row r="2" spans="1:23" ht="15" customHeight="1" thickTop="1" x14ac:dyDescent="0.25">
      <c r="A2" s="505" t="s">
        <v>479</v>
      </c>
      <c r="B2" s="499"/>
      <c r="C2" s="500"/>
      <c r="D2" s="39"/>
    </row>
    <row r="3" spans="1:23" ht="15" customHeight="1" x14ac:dyDescent="0.25">
      <c r="A3" s="506" t="s">
        <v>480</v>
      </c>
      <c r="B3" s="501"/>
      <c r="C3" s="502"/>
      <c r="E3" s="146"/>
      <c r="F3" s="38"/>
      <c r="G3" s="39"/>
    </row>
    <row r="4" spans="1:23" ht="30.75" customHeight="1" x14ac:dyDescent="0.25">
      <c r="A4" s="506" t="s">
        <v>481</v>
      </c>
      <c r="B4" s="501"/>
      <c r="C4" s="502"/>
      <c r="T4" s="149"/>
      <c r="U4" s="132"/>
      <c r="V4" s="132"/>
      <c r="W4" s="132"/>
    </row>
    <row r="5" spans="1:23" ht="26.25" customHeight="1" x14ac:dyDescent="0.25">
      <c r="A5" s="506" t="s">
        <v>76</v>
      </c>
      <c r="B5" s="501"/>
      <c r="C5" s="502"/>
      <c r="T5" s="149"/>
      <c r="U5" s="132"/>
      <c r="V5" s="132"/>
      <c r="W5" s="132"/>
    </row>
    <row r="6" spans="1:23" ht="15" customHeight="1" thickBot="1" x14ac:dyDescent="0.3">
      <c r="A6" s="507" t="s">
        <v>482</v>
      </c>
      <c r="B6" s="503"/>
      <c r="C6" s="504"/>
      <c r="T6" s="149"/>
      <c r="U6" s="132"/>
      <c r="V6" s="132"/>
      <c r="W6" s="132"/>
    </row>
    <row r="7" spans="1:23" ht="15" customHeight="1" thickTop="1" x14ac:dyDescent="0.25">
      <c r="T7" s="149"/>
      <c r="U7" s="132"/>
      <c r="V7" s="132"/>
      <c r="W7" s="132"/>
    </row>
    <row r="8" spans="1:23" ht="15" customHeight="1" x14ac:dyDescent="0.25">
      <c r="T8" s="149"/>
      <c r="U8" s="132"/>
      <c r="V8" s="132"/>
      <c r="W8" s="132"/>
    </row>
    <row r="9" spans="1:23" ht="15" customHeight="1" x14ac:dyDescent="0.25">
      <c r="T9" s="149"/>
      <c r="U9" s="132"/>
      <c r="V9" s="132"/>
      <c r="W9" s="132"/>
    </row>
    <row r="10" spans="1:23" ht="15" customHeight="1" x14ac:dyDescent="0.25">
      <c r="T10" s="149"/>
      <c r="U10" s="132"/>
      <c r="V10" s="132"/>
      <c r="W10" s="132"/>
    </row>
    <row r="11" spans="1:23" ht="15" customHeight="1" x14ac:dyDescent="0.25">
      <c r="T11" s="149"/>
      <c r="U11" s="132"/>
      <c r="V11" s="132"/>
      <c r="W11" s="132"/>
    </row>
    <row r="12" spans="1:23" ht="29.25" customHeight="1" x14ac:dyDescent="0.25">
      <c r="T12" s="149"/>
      <c r="U12" s="132"/>
      <c r="V12" s="132"/>
      <c r="W12" s="132"/>
    </row>
    <row r="13" spans="1:23" ht="15" customHeight="1" x14ac:dyDescent="0.3">
      <c r="A13" s="135"/>
      <c r="B13" s="145"/>
      <c r="C13" s="145"/>
      <c r="D13" s="145"/>
      <c r="E13" s="145"/>
      <c r="F13" s="132"/>
      <c r="G13" s="38"/>
      <c r="H13" s="39"/>
    </row>
    <row r="14" spans="1:23" ht="15" customHeight="1" thickBot="1" x14ac:dyDescent="0.35">
      <c r="A14" s="131"/>
    </row>
    <row r="15" spans="1:23" ht="29.25" customHeight="1" thickTop="1" thickBot="1" x14ac:dyDescent="0.35">
      <c r="A15" s="153" t="s">
        <v>86</v>
      </c>
      <c r="B15" s="148"/>
      <c r="D15" s="1580" t="s">
        <v>62</v>
      </c>
      <c r="E15" s="1581"/>
    </row>
    <row r="16" spans="1:23" ht="40.200000000000003" thickTop="1" x14ac:dyDescent="0.25">
      <c r="A16" s="154" t="s">
        <v>87</v>
      </c>
      <c r="B16" s="155"/>
      <c r="D16" s="311" t="str">
        <f>"Hydrogen Cost (Year "&amp;TEXT(ref_year,"0")&amp;" Real $/kg)"</f>
        <v>Hydrogen Cost (Year 2016 Real $/kg)</v>
      </c>
      <c r="E16" s="994">
        <f ca="1">H2_price_nominal/INFLATION_FACTOR</f>
        <v>1.8556217638441923</v>
      </c>
    </row>
    <row r="17" spans="1:10" ht="39.6" x14ac:dyDescent="0.25">
      <c r="A17" s="156" t="s">
        <v>88</v>
      </c>
      <c r="B17" s="157">
        <f ca="1">output_kgyear</f>
        <v>158665500</v>
      </c>
      <c r="D17" s="136" t="s">
        <v>914</v>
      </c>
      <c r="E17" s="870">
        <f ca="1">+SUM(X57:AB57)/AC57*(1+inflation_rate)^construct</f>
        <v>1.8210223393956748</v>
      </c>
    </row>
    <row r="18" spans="1:10" ht="26.4" x14ac:dyDescent="0.25">
      <c r="A18" s="156" t="s">
        <v>89</v>
      </c>
      <c r="B18" s="157">
        <f ca="1">B17*H2_LHV_MJ_p_kg/1000/mmBTU_to_GJ</f>
        <v>18079089.759166688</v>
      </c>
      <c r="D18" s="137" t="s">
        <v>958</v>
      </c>
      <c r="E18" s="138">
        <f ca="1">((E20+1)/(1+B30))-1</f>
        <v>8.0000000000000737E-2</v>
      </c>
    </row>
    <row r="19" spans="1:10" ht="28.5" customHeight="1" x14ac:dyDescent="0.25">
      <c r="A19" s="156" t="s">
        <v>90</v>
      </c>
      <c r="B19" s="157">
        <f ca="1">B17*H2_LHV_MJ_p_kg</f>
        <v>19073439695.920856</v>
      </c>
      <c r="C19" s="134"/>
      <c r="D19" s="137" t="s">
        <v>966</v>
      </c>
      <c r="E19" s="138">
        <f ca="1">((E21+1)/(1+B30))-1</f>
        <v>9.0073997366207026E-2</v>
      </c>
    </row>
    <row r="20" spans="1:10" ht="15" customHeight="1" x14ac:dyDescent="0.25">
      <c r="A20" s="158" t="s">
        <v>91</v>
      </c>
      <c r="B20" s="157">
        <f ca="1">design_cap</f>
        <v>483000</v>
      </c>
      <c r="D20" s="139" t="s">
        <v>957</v>
      </c>
      <c r="E20" s="140">
        <f ca="1">IRR(AA65:AA113)</f>
        <v>0.10052000000000061</v>
      </c>
    </row>
    <row r="21" spans="1:10" ht="15" customHeight="1" x14ac:dyDescent="0.25">
      <c r="A21" s="158" t="s">
        <v>92</v>
      </c>
      <c r="B21" s="157">
        <f ca="1">B20*365</f>
        <v>176295000</v>
      </c>
      <c r="D21" s="139" t="s">
        <v>965</v>
      </c>
      <c r="E21" s="140">
        <f ca="1">IRR(AC65:AC113)</f>
        <v>0.11078540331616482</v>
      </c>
    </row>
    <row r="22" spans="1:10" ht="15" customHeight="1" x14ac:dyDescent="0.25">
      <c r="A22" s="159" t="s">
        <v>93</v>
      </c>
      <c r="B22" s="160">
        <f ca="1">cap_factor</f>
        <v>0.9</v>
      </c>
      <c r="D22" s="142" t="s">
        <v>63</v>
      </c>
      <c r="E22" s="143">
        <f ca="1">(real_irr*(1+real_irr)^anal_period)/(((1+real_irr)^anal_period)-1)</f>
        <v>8.3860161500585326E-2</v>
      </c>
    </row>
    <row r="23" spans="1:10" ht="15" customHeight="1" x14ac:dyDescent="0.25">
      <c r="A23" s="158"/>
      <c r="B23" s="161"/>
      <c r="D23" s="142" t="s">
        <v>73</v>
      </c>
      <c r="E23" s="143">
        <f ca="1">(nominal_irr*(1+nominal_irr)^anal_period)/(((1+nominal_irr)^anal_period)-1)</f>
        <v>0.10274768859314053</v>
      </c>
    </row>
    <row r="24" spans="1:10" ht="24.75" customHeight="1" x14ac:dyDescent="0.25">
      <c r="A24" s="154" t="s">
        <v>94</v>
      </c>
      <c r="B24" s="155"/>
      <c r="D24" s="139" t="s">
        <v>74</v>
      </c>
      <c r="E24" s="143">
        <f ca="1">(E22*(1-total_tax_rate*INDEX(Depreciation!B12:H37,MATCH("NPV - Real IRR",Depreciation!B12:B37,0),MATCH(depr_length,recovery_period,0))))/(1-total_tax_rate)</f>
        <v>9.8212531813322054E-2</v>
      </c>
    </row>
    <row r="25" spans="1:10" ht="15" customHeight="1" x14ac:dyDescent="0.25">
      <c r="A25" s="137" t="s">
        <v>95</v>
      </c>
      <c r="B25" s="162">
        <f>startup_year</f>
        <v>2015</v>
      </c>
      <c r="D25" s="142" t="s">
        <v>75</v>
      </c>
      <c r="E25" s="143">
        <f ca="1">(E23*(1-total_tax_rate*INDEX(Depreciation!B12:H37,MATCH("NPV - Nominal IRR",Depreciation!B12:B37,0),MATCH(depr_length,recovery_period,0))))/(1-total_tax_rate)</f>
        <v>0.12265813940348715</v>
      </c>
    </row>
    <row r="26" spans="1:10" ht="15" customHeight="1" thickBot="1" x14ac:dyDescent="0.3">
      <c r="A26" s="158" t="s">
        <v>96</v>
      </c>
      <c r="B26" s="152">
        <f ca="1">real_irr</f>
        <v>0.08</v>
      </c>
      <c r="C26" s="163"/>
      <c r="D26" s="144" t="s">
        <v>246</v>
      </c>
      <c r="E26" s="869">
        <f ca="1">NPV(nominal_irr,AA65:AA113)</f>
        <v>1.8990003429625394E-6</v>
      </c>
    </row>
    <row r="27" spans="1:10" ht="15" customHeight="1" thickTop="1" x14ac:dyDescent="0.25">
      <c r="A27" s="137" t="s">
        <v>963</v>
      </c>
      <c r="B27" s="152">
        <f ca="1">((1+B26)*(1+B30))-1</f>
        <v>0.10051999999999994</v>
      </c>
      <c r="C27" s="163"/>
      <c r="D27" s="164"/>
    </row>
    <row r="28" spans="1:10" ht="15" customHeight="1" x14ac:dyDescent="0.25">
      <c r="A28" s="158" t="s">
        <v>97</v>
      </c>
      <c r="B28" s="162">
        <f>anal_period</f>
        <v>40</v>
      </c>
      <c r="C28" s="163"/>
      <c r="D28" s="164"/>
      <c r="F28" s="164"/>
    </row>
    <row r="29" spans="1:10" ht="15" customHeight="1" x14ac:dyDescent="0.25">
      <c r="A29" s="158" t="s">
        <v>98</v>
      </c>
      <c r="B29" s="162">
        <f>plant_life</f>
        <v>40</v>
      </c>
      <c r="C29" s="163"/>
      <c r="D29" s="164"/>
    </row>
    <row r="30" spans="1:10" ht="15" customHeight="1" x14ac:dyDescent="0.25">
      <c r="A30" s="158" t="s">
        <v>99</v>
      </c>
      <c r="B30" s="152">
        <f>inflation_rate</f>
        <v>1.9E-2</v>
      </c>
      <c r="F30" s="868"/>
      <c r="G30" s="867"/>
      <c r="H30" s="867"/>
      <c r="I30" s="867"/>
      <c r="J30" s="867"/>
    </row>
    <row r="31" spans="1:10" ht="15" customHeight="1" x14ac:dyDescent="0.25">
      <c r="A31" s="158" t="s">
        <v>100</v>
      </c>
      <c r="B31" s="165">
        <f>100%-equity</f>
        <v>0.6</v>
      </c>
    </row>
    <row r="32" spans="1:10" ht="15" customHeight="1" x14ac:dyDescent="0.25">
      <c r="A32" s="137" t="s">
        <v>101</v>
      </c>
      <c r="B32" s="166">
        <f>equity</f>
        <v>0.4</v>
      </c>
    </row>
    <row r="33" spans="1:12" ht="15" customHeight="1" x14ac:dyDescent="0.25">
      <c r="A33" s="137" t="s">
        <v>102</v>
      </c>
      <c r="B33" s="152">
        <f>total_tax_rate</f>
        <v>0.25739999999999996</v>
      </c>
    </row>
    <row r="34" spans="1:12" ht="15" customHeight="1" x14ac:dyDescent="0.25">
      <c r="A34" s="137"/>
      <c r="B34" s="167"/>
    </row>
    <row r="35" spans="1:12" ht="28.5" customHeight="1" x14ac:dyDescent="0.25">
      <c r="A35" s="168" t="s">
        <v>103</v>
      </c>
      <c r="B35" s="169"/>
    </row>
    <row r="36" spans="1:12" ht="15" customHeight="1" x14ac:dyDescent="0.25">
      <c r="A36" s="158" t="s">
        <v>104</v>
      </c>
      <c r="B36" s="162">
        <f>debt_period</f>
        <v>0</v>
      </c>
    </row>
    <row r="37" spans="1:12" ht="15" customHeight="1" x14ac:dyDescent="0.25">
      <c r="A37" s="158" t="s">
        <v>105</v>
      </c>
      <c r="B37" s="170">
        <f>debt_interest</f>
        <v>3.6999999999999998E-2</v>
      </c>
      <c r="K37" s="867"/>
    </row>
    <row r="38" spans="1:12" ht="15" customHeight="1" x14ac:dyDescent="0.25">
      <c r="A38" s="137"/>
      <c r="B38" s="155"/>
      <c r="K38" s="867"/>
    </row>
    <row r="39" spans="1:12" ht="28.5" customHeight="1" x14ac:dyDescent="0.25">
      <c r="A39" s="168" t="s">
        <v>106</v>
      </c>
      <c r="B39" s="155"/>
      <c r="F39" s="867"/>
      <c r="G39" s="867"/>
      <c r="H39" s="867"/>
      <c r="I39" s="867"/>
      <c r="J39" s="867"/>
      <c r="K39" s="867"/>
      <c r="L39" s="867"/>
    </row>
    <row r="40" spans="1:12" ht="15" customHeight="1" x14ac:dyDescent="0.25">
      <c r="A40" s="137" t="s">
        <v>107</v>
      </c>
      <c r="B40" s="162">
        <f>construct</f>
        <v>3</v>
      </c>
      <c r="G40" s="867"/>
      <c r="H40" s="867"/>
    </row>
    <row r="41" spans="1:12" ht="15" customHeight="1" x14ac:dyDescent="0.25">
      <c r="A41" s="137" t="s">
        <v>108</v>
      </c>
      <c r="B41" s="160">
        <f>start_time</f>
        <v>1</v>
      </c>
    </row>
    <row r="42" spans="1:12" ht="15" customHeight="1" x14ac:dyDescent="0.25">
      <c r="A42" s="156" t="s">
        <v>109</v>
      </c>
      <c r="B42" s="165">
        <f>percnt_revs</f>
        <v>1</v>
      </c>
    </row>
    <row r="43" spans="1:12" ht="15" customHeight="1" x14ac:dyDescent="0.25">
      <c r="A43" s="156" t="s">
        <v>110</v>
      </c>
      <c r="B43" s="165">
        <f>percnt_var</f>
        <v>1</v>
      </c>
    </row>
    <row r="44" spans="1:12" ht="15" customHeight="1" x14ac:dyDescent="0.25">
      <c r="A44" s="156" t="s">
        <v>111</v>
      </c>
      <c r="B44" s="165">
        <f>percnt_fixed</f>
        <v>1</v>
      </c>
    </row>
    <row r="45" spans="1:12" ht="15" customHeight="1" x14ac:dyDescent="0.25">
      <c r="A45" s="137"/>
      <c r="B45" s="155"/>
    </row>
    <row r="46" spans="1:12" ht="28.5" customHeight="1" x14ac:dyDescent="0.25">
      <c r="A46" s="168" t="s">
        <v>112</v>
      </c>
      <c r="B46" s="155"/>
      <c r="F46" s="171"/>
    </row>
    <row r="47" spans="1:12" ht="15" customHeight="1" x14ac:dyDescent="0.25">
      <c r="A47" s="137" t="s">
        <v>384</v>
      </c>
      <c r="B47" s="172" t="str">
        <f>depr_type</f>
        <v>MACRS</v>
      </c>
      <c r="F47" s="171"/>
    </row>
    <row r="48" spans="1:12" ht="15" customHeight="1" x14ac:dyDescent="0.25">
      <c r="A48" s="137" t="s">
        <v>50</v>
      </c>
      <c r="B48" s="162">
        <f>depr_length</f>
        <v>20</v>
      </c>
      <c r="F48" s="171"/>
    </row>
    <row r="49" spans="1:32" ht="15" customHeight="1" x14ac:dyDescent="0.25">
      <c r="A49" s="137"/>
      <c r="B49" s="155"/>
      <c r="F49" s="171"/>
    </row>
    <row r="50" spans="1:32" ht="28.5" customHeight="1" x14ac:dyDescent="0.25">
      <c r="A50" s="168" t="s">
        <v>113</v>
      </c>
      <c r="B50" s="155"/>
    </row>
    <row r="51" spans="1:32" ht="30.75" customHeight="1" x14ac:dyDescent="0.25">
      <c r="A51" s="136" t="s">
        <v>954</v>
      </c>
      <c r="B51" s="173">
        <f ca="1">(total_cap-non_dep_cap)*INFLATION_FACTOR</f>
        <v>783171447.02922249</v>
      </c>
      <c r="F51" s="171"/>
    </row>
    <row r="52" spans="1:32" ht="30" customHeight="1" thickBot="1" x14ac:dyDescent="0.3">
      <c r="A52" s="136" t="s">
        <v>956</v>
      </c>
      <c r="B52" s="173">
        <f ca="1">non_dep_cap*INFLATION_FACTOR</f>
        <v>4703057.8307993943</v>
      </c>
      <c r="F52" s="171"/>
    </row>
    <row r="53" spans="1:32" ht="15" customHeight="1" thickBot="1" x14ac:dyDescent="0.35">
      <c r="A53" s="136" t="s">
        <v>114</v>
      </c>
      <c r="B53" s="173">
        <f ca="1">SUM(B51:B52)</f>
        <v>787874504.86002183</v>
      </c>
      <c r="F53" s="171"/>
      <c r="W53" s="1582" t="s">
        <v>1144</v>
      </c>
      <c r="X53" s="1583"/>
      <c r="Y53" s="917"/>
      <c r="Z53" s="917"/>
      <c r="AA53" s="917"/>
      <c r="AB53" s="917"/>
      <c r="AC53" s="918"/>
    </row>
    <row r="54" spans="1:32" ht="15" customHeight="1" thickTop="1" x14ac:dyDescent="0.25">
      <c r="A54" s="136" t="s">
        <v>959</v>
      </c>
      <c r="B54" s="173">
        <f ca="1">decom_percent*depr_cap_infl</f>
        <v>78317144.702922255</v>
      </c>
      <c r="F54" s="171"/>
      <c r="W54" s="919"/>
      <c r="X54" s="912" t="s">
        <v>80</v>
      </c>
      <c r="Y54" s="913" t="s">
        <v>1094</v>
      </c>
      <c r="Z54" s="913" t="s">
        <v>1095</v>
      </c>
      <c r="AA54" s="912" t="s">
        <v>1096</v>
      </c>
      <c r="AB54" s="913" t="s">
        <v>1101</v>
      </c>
      <c r="AC54" s="920" t="s">
        <v>1097</v>
      </c>
    </row>
    <row r="55" spans="1:32" ht="15" customHeight="1" x14ac:dyDescent="0.25">
      <c r="A55" s="136" t="s">
        <v>968</v>
      </c>
      <c r="B55" s="173">
        <f ca="1">salvage_perct*B53</f>
        <v>78787450.486002192</v>
      </c>
      <c r="F55" s="171"/>
      <c r="W55" s="921" t="s">
        <v>1092</v>
      </c>
      <c r="X55" s="914">
        <f ca="1">-SUM(H116:K116)</f>
        <v>368461138.21693575</v>
      </c>
      <c r="Y55" s="914">
        <f ca="1">-U116</f>
        <v>288376863.36046576</v>
      </c>
      <c r="Z55" s="914">
        <f ca="1">-Z116</f>
        <v>7950090.7320333738</v>
      </c>
      <c r="AA55" s="914">
        <f ca="1">-SUM(L116:S116)</f>
        <v>2384795347.5948095</v>
      </c>
      <c r="AB55" s="914">
        <f ca="1">+AF116</f>
        <v>0</v>
      </c>
      <c r="AC55" s="922">
        <f ca="1">+AE116</f>
        <v>1622106255.9203749</v>
      </c>
    </row>
    <row r="56" spans="1:32" ht="15" customHeight="1" x14ac:dyDescent="0.25">
      <c r="A56" s="158" t="s">
        <v>960</v>
      </c>
      <c r="B56" s="58">
        <f ca="1">fixed*INFLATION_FACTOR</f>
        <v>32050123.851952624</v>
      </c>
      <c r="F56" s="171"/>
      <c r="W56" s="921" t="s">
        <v>1102</v>
      </c>
      <c r="X56" s="915">
        <v>1</v>
      </c>
      <c r="Y56" s="915">
        <f>-total_tax_rate</f>
        <v>-0.25739999999999996</v>
      </c>
      <c r="Z56" s="915">
        <v>1</v>
      </c>
      <c r="AA56" s="915">
        <f>1-total_tax_rate</f>
        <v>0.74260000000000004</v>
      </c>
      <c r="AB56" s="915">
        <v>-1</v>
      </c>
      <c r="AC56" s="923">
        <f>1-total_tax_rate</f>
        <v>0.74260000000000004</v>
      </c>
    </row>
    <row r="57" spans="1:32" ht="15" customHeight="1" x14ac:dyDescent="0.25">
      <c r="A57" s="158" t="s">
        <v>961</v>
      </c>
      <c r="B57" s="58">
        <f ca="1">total_other_raw*INFLATION_FACTOR</f>
        <v>5811036.0565748541</v>
      </c>
      <c r="F57" s="171"/>
      <c r="W57" s="921" t="s">
        <v>1093</v>
      </c>
      <c r="X57" s="916">
        <f t="shared" ref="X57:Z57" ca="1" si="0">+X55*X56</f>
        <v>368461138.21693575</v>
      </c>
      <c r="Y57" s="916">
        <f t="shared" ca="1" si="0"/>
        <v>-74228204.62898387</v>
      </c>
      <c r="Z57" s="916">
        <f t="shared" ca="1" si="0"/>
        <v>7950090.7320333738</v>
      </c>
      <c r="AA57" s="916">
        <f ca="1">+AA55*AA56</f>
        <v>1770949025.1239057</v>
      </c>
      <c r="AB57" s="916">
        <f ca="1">+AB55*AB56</f>
        <v>0</v>
      </c>
      <c r="AC57" s="924">
        <f ca="1">+AC55*AC56</f>
        <v>1204576105.6464705</v>
      </c>
    </row>
    <row r="58" spans="1:32" ht="45.75" customHeight="1" thickBot="1" x14ac:dyDescent="0.3">
      <c r="A58" s="174" t="s">
        <v>962</v>
      </c>
      <c r="B58" s="60">
        <f ca="1">(var_misc+royalties+operator_profit+CO2_OandMcost+waste_treat+solidwaste_treat)*INFLATION_FACTOR</f>
        <v>35522359.961964332</v>
      </c>
      <c r="F58" s="171"/>
      <c r="W58" s="925"/>
      <c r="X58" s="926"/>
      <c r="Y58" s="926"/>
      <c r="Z58" s="926"/>
      <c r="AA58" s="926"/>
      <c r="AB58" s="926"/>
      <c r="AC58" s="927"/>
    </row>
    <row r="59" spans="1:32" ht="15" customHeight="1" thickTop="1" x14ac:dyDescent="0.25">
      <c r="F59" s="171"/>
      <c r="W59" s="928" t="s">
        <v>1091</v>
      </c>
      <c r="X59" s="870">
        <f ca="1">+(1+real_irr)*(1+inflation_rate)-1</f>
        <v>0.10051999999999994</v>
      </c>
      <c r="Y59" s="926"/>
      <c r="Z59" s="926"/>
      <c r="AA59" s="926"/>
      <c r="AB59" s="926"/>
      <c r="AC59" s="927"/>
    </row>
    <row r="60" spans="1:32" ht="15" customHeight="1" thickBot="1" x14ac:dyDescent="0.3">
      <c r="F60" s="171"/>
      <c r="W60" s="929" t="str">
        <f>+D16</f>
        <v>Hydrogen Cost (Year 2016 Real $/kg)</v>
      </c>
      <c r="X60" s="930">
        <f ca="1">+SUM(X57:AB57)/AC57*(1+inflation_rate)^construct/INFLATION_FACTOR</f>
        <v>1.8556217638441923</v>
      </c>
      <c r="Y60" s="931"/>
      <c r="Z60" s="931"/>
      <c r="AA60" s="931"/>
      <c r="AB60" s="931"/>
      <c r="AC60" s="932"/>
    </row>
    <row r="61" spans="1:32" ht="39.75" customHeight="1" x14ac:dyDescent="0.25">
      <c r="F61" s="171"/>
    </row>
    <row r="62" spans="1:32" ht="17.25" customHeight="1" thickBot="1" x14ac:dyDescent="0.3">
      <c r="F62" s="171"/>
    </row>
    <row r="63" spans="1:32" ht="29.25" customHeight="1" thickTop="1" thickBot="1" x14ac:dyDescent="0.35">
      <c r="A63" s="47" t="s">
        <v>115</v>
      </c>
      <c r="B63" s="175"/>
      <c r="C63" s="175"/>
      <c r="D63" s="175"/>
      <c r="E63" s="175"/>
      <c r="F63" s="175"/>
      <c r="G63" s="175"/>
      <c r="H63" s="956"/>
      <c r="I63" s="956"/>
      <c r="J63" s="956"/>
      <c r="K63" s="956"/>
      <c r="L63" s="956"/>
      <c r="M63" s="956"/>
      <c r="N63" s="956"/>
      <c r="O63" s="956"/>
      <c r="P63" s="956"/>
      <c r="Q63" s="956"/>
      <c r="R63" s="956"/>
      <c r="S63" s="956"/>
      <c r="T63" s="956"/>
      <c r="U63" s="956"/>
      <c r="V63" s="956"/>
      <c r="W63" s="956"/>
      <c r="X63" s="956"/>
      <c r="Y63" s="956"/>
      <c r="Z63" s="956"/>
      <c r="AA63" s="956"/>
      <c r="AB63" s="956"/>
      <c r="AC63" s="957"/>
    </row>
    <row r="64" spans="1:32" ht="67.2" thickTop="1" thickBot="1" x14ac:dyDescent="0.3">
      <c r="A64" s="933" t="s">
        <v>1099</v>
      </c>
      <c r="B64" s="934" t="s">
        <v>37</v>
      </c>
      <c r="C64" s="934" t="s">
        <v>53</v>
      </c>
      <c r="D64" s="934" t="s">
        <v>116</v>
      </c>
      <c r="E64" s="935" t="s">
        <v>117</v>
      </c>
      <c r="F64" s="935" t="s">
        <v>1104</v>
      </c>
      <c r="G64" s="936" t="s">
        <v>118</v>
      </c>
      <c r="H64" s="958" t="s">
        <v>119</v>
      </c>
      <c r="I64" s="959" t="s">
        <v>120</v>
      </c>
      <c r="J64" s="959" t="s">
        <v>1098</v>
      </c>
      <c r="K64" s="959" t="s">
        <v>132</v>
      </c>
      <c r="L64" s="959" t="s">
        <v>968</v>
      </c>
      <c r="M64" s="959" t="s">
        <v>81</v>
      </c>
      <c r="N64" s="959" t="s">
        <v>133</v>
      </c>
      <c r="O64" s="959" t="s">
        <v>1103</v>
      </c>
      <c r="P64" s="959" t="s">
        <v>134</v>
      </c>
      <c r="Q64" s="959" t="s">
        <v>1105</v>
      </c>
      <c r="R64" s="959" t="s">
        <v>135</v>
      </c>
      <c r="S64" s="959" t="s">
        <v>136</v>
      </c>
      <c r="T64" s="959" t="s">
        <v>137</v>
      </c>
      <c r="U64" s="959" t="s">
        <v>57</v>
      </c>
      <c r="V64" s="959" t="s">
        <v>138</v>
      </c>
      <c r="W64" s="959" t="s">
        <v>139</v>
      </c>
      <c r="X64" s="959" t="s">
        <v>141</v>
      </c>
      <c r="Y64" s="959" t="s">
        <v>142</v>
      </c>
      <c r="Z64" s="959" t="s">
        <v>42</v>
      </c>
      <c r="AA64" s="960" t="s">
        <v>143</v>
      </c>
      <c r="AB64" s="960" t="s">
        <v>144</v>
      </c>
      <c r="AC64" s="938" t="s">
        <v>145</v>
      </c>
      <c r="AD64" s="176"/>
      <c r="AE64" s="937" t="s">
        <v>1090</v>
      </c>
      <c r="AF64" s="938" t="s">
        <v>1100</v>
      </c>
    </row>
    <row r="65" spans="1:32" ht="13.8" thickTop="1" x14ac:dyDescent="0.25">
      <c r="A65" s="177">
        <f>startup_year-construct</f>
        <v>2012</v>
      </c>
      <c r="B65" s="178">
        <v>1</v>
      </c>
      <c r="C65" s="178">
        <f>IF(construct=0,1,-construct)</f>
        <v>-3</v>
      </c>
      <c r="D65" s="178">
        <f t="shared" ref="D65:D96" si="1">IF(C65="","",IF(C65&lt;=plant_life,C65,IF(D64=plant_life,1,D64+1)))</f>
        <v>-3</v>
      </c>
      <c r="E65" s="179">
        <f t="shared" ref="E65:E96" si="2">IF(C65="","",(1+inflation_rate)^(A65-$B$25))</f>
        <v>0.94509931410277337</v>
      </c>
      <c r="F65" s="180">
        <f t="shared" ref="F65:F96" si="3">IF(C65="","",IF(C65&lt;0,0,IF(AND(C65=1,start_time&lt;1),E65*(H2_price_nominal*output_kgyear*start_time*percnt_revs+H2_price_nominal*output_kgyear*(1-start_time)),IF(C65&lt;=start_time,H2_price_nominal*E65*output_kgyear*percnt_revs,H2_price_nominal*output_kgyear*E65))))</f>
        <v>0</v>
      </c>
      <c r="G65" s="952">
        <f ca="1">-$B$31*depr_cap_infl*E65</f>
        <v>-444104878.44731677</v>
      </c>
      <c r="H65" s="961">
        <f ca="1">IF(C65&lt;0,-E65*equity*depr_cap_infl*percent_cap1,IF(C65=1,-E65*equity*depr_cap_infl,0))</f>
        <v>-296069918.9648779</v>
      </c>
      <c r="I65" s="181" t="str">
        <f>IF(OR(C65&lt;0,C65=""),"",-E65*INDEX('Replacement Costs'!$A$16:$H$57,MATCH(C65,'Replacement Costs'!$C$16:$C$57,0),MATCH("Total Yearly Replacement Costs",'Replacement Costs'!$A$16:$H$16,0)))</f>
        <v/>
      </c>
      <c r="J65" s="181">
        <f>IF(AND(C65&gt;=1,C65&lt;anal_period),WorkingCap*SUM(N65:R65)-WorkingCap*SUM(N64:R64),0)</f>
        <v>0</v>
      </c>
      <c r="K65" s="181">
        <f t="shared" ref="K65:K96" ca="1" si="4">IF(C65=-construct,-E65*non_dep_infl,"")</f>
        <v>-4444856.7300741849</v>
      </c>
      <c r="L65" s="181" t="str">
        <f t="shared" ref="L65:L96" si="5">IF(C65=anal_period,salvage*E65,"")</f>
        <v/>
      </c>
      <c r="M65" s="181" t="str">
        <f t="shared" ref="M65:M96" si="6">IF(D65=plant_life,-E65*decom,"")</f>
        <v/>
      </c>
      <c r="N65" s="181">
        <f t="shared" ref="N65:N96" si="7">IF(C65="","",IF(C65&lt;0,0,IF(AND(C65=1,start_time&lt;1),-(inflated_fixed*percnt_fixed*start_time+(inflated_fixed*(1-start_time))),IF(C65&lt;=start_time,-inflated_fixed*percnt_fixed*E65,-inflated_fixed*E65))))</f>
        <v>0</v>
      </c>
      <c r="O65" s="181">
        <f t="shared" ref="O65:O96" si="8">IF(C65="","",IF(C65&lt;0,0,IF(AND(C65=1,start_time&lt;1),-(SUM(B139:E139)*output_kgyear*E65*percnt_var*start_time+SUM(B139:E139)*output_kgyear*E65*(1-start_time)),IF(C65&lt;=start_time,-SUM(B139:E139)*output_kgyear*E65*percnt_var,-SUM(B139:E139)*output_kgyear*E65))))</f>
        <v>0</v>
      </c>
      <c r="P65" s="181">
        <f t="shared" ref="P65:P96" si="9">IF(C65="","",IF(C65&lt;0,0,IF(AND(C65=1,start_time&lt;1),-(inflated_otherraw*E65*percnt_var*start_time+inflated_otherraw*E65*(1-start_time)),IF(C65&lt;=start_time,-inflated_otherraw*E65*percnt_var,-(inflated_otherraw*E65)))))</f>
        <v>0</v>
      </c>
      <c r="Q65" s="18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1">
        <f ca="1">IF(B65="","",IF($B$31=0,"",-'Debt Financing Calculations'!E14))</f>
        <v>-16431880.502550719</v>
      </c>
      <c r="T65" s="181">
        <f t="shared" ref="T65:T96" ca="1" si="12">IF(C65="","",F65+SUM(L65:S65))</f>
        <v>-16431880.502550719</v>
      </c>
      <c r="U65" s="181">
        <f>IF(C65="","",IF(C65&lt;-1,0,IF(C65=anal_period,-LOOKUP(C65,depr_yr,depr_cost)-Depreciation!$C$141-Depreciation!$B$166,-LOOKUP(C65,depr_yr,depr_cost))))</f>
        <v>0</v>
      </c>
      <c r="V65" s="181">
        <f t="shared" ref="V65:V96" ca="1" si="13">IF(C65="","",SUM(T65:U65))</f>
        <v>-16431880.502550719</v>
      </c>
      <c r="W65" s="182">
        <f t="shared" ref="W65:W96" si="14">IF(C65="","",$B$33)</f>
        <v>0.25739999999999996</v>
      </c>
      <c r="X65" s="181">
        <f t="shared" ref="X65:X96" ca="1" si="15">IF(C65="","",tax_credit-(V65*W65 +Upstream_CO2_taxpYear + Proc_CO2_taxpYear))</f>
        <v>4229566.0413565543</v>
      </c>
      <c r="Y65" s="181">
        <f t="shared" ref="Y65:Y96" ca="1" si="16">IF(C65="","",SUM(T65,X65))</f>
        <v>-12202314.461194165</v>
      </c>
      <c r="Z65" s="181">
        <f>IF(C65="","",IF($B$31=0,"",-'Debt Financing Calculations'!F14))</f>
        <v>0</v>
      </c>
      <c r="AA65" s="181">
        <f t="shared" ref="AA65:AA96" ca="1" si="17">IF(C65="","",SUM(H65,I65,J65,K65,T65,X65,Z65))</f>
        <v>-312717090.15614623</v>
      </c>
      <c r="AB65" s="181">
        <f ca="1">AA65</f>
        <v>-312717090.15614623</v>
      </c>
      <c r="AC65" s="939">
        <f t="shared" ref="AC65:AC96" ca="1" si="18">IF(C65="","",SUM(H65,I65,J65,K65,T65,Z65))</f>
        <v>-316946656.19750279</v>
      </c>
      <c r="AD65" s="132"/>
      <c r="AE65" s="943">
        <f t="shared" ref="AE65:AE96" si="19">IF(C65="","",IF(C65&lt;0,0,IF(AND(C65=1,start_time&lt;1),(output_kgyear*start_time*percnt_revs+output_kgyear*(1-start_time)),IF(C65&lt;=start_time,output_kgyear*percnt_revs,output_kgyear))))</f>
        <v>0</v>
      </c>
      <c r="AF65" s="939">
        <f t="shared" ref="AF65:AF96" si="20">IF(C65="","",tax_credit)</f>
        <v>0</v>
      </c>
    </row>
    <row r="66" spans="1:32" x14ac:dyDescent="0.25">
      <c r="A66" s="56">
        <f t="shared" ref="A66:A113" si="21">IF(B66&lt;&gt;"",A65+1,"")</f>
        <v>2013</v>
      </c>
      <c r="B66" s="183">
        <f>IF(MAX($B$65:B65)&lt;(construct+anal_period),B65+1,"")</f>
        <v>2</v>
      </c>
      <c r="C66" s="183">
        <f t="shared" ref="C66:C113" si="22">IF(B66="","",IF(C65=-1,1,C65+1))</f>
        <v>-2</v>
      </c>
      <c r="D66" s="183">
        <f t="shared" si="1"/>
        <v>-2</v>
      </c>
      <c r="E66" s="184">
        <f t="shared" si="2"/>
        <v>0.96305620107072598</v>
      </c>
      <c r="F66" s="57">
        <f t="shared" si="3"/>
        <v>0</v>
      </c>
      <c r="G66" s="953"/>
      <c r="H66" s="962">
        <f ca="1">IF(C66&lt;0,-E66*equity*depr_cap_infl*percent_cap2,0)</f>
        <v>0</v>
      </c>
      <c r="I66" s="185" t="str">
        <f>IF(OR(C66&lt;0,C66=""),"",-E66*INDEX('Replacement Costs'!$A$16:$H$57,MATCH(C66,'Replacement Costs'!$C$16:$C$57,0),MATCH("Total Yearly Replacement Costs",'Replacement Costs'!$A$16:$H$16,0)))</f>
        <v/>
      </c>
      <c r="J66" s="185">
        <f>IF(AND(C66&gt;=1,C66&lt;anal_period),WorkingCap*SUM(N66:R66)-WorkingCap*SUM(N65:R65),IF(C66&lt;0,0,IF(B66="","",-SUM(J$65:J65))))</f>
        <v>0</v>
      </c>
      <c r="K66" s="185" t="str">
        <f t="shared" si="4"/>
        <v/>
      </c>
      <c r="L66" s="185" t="str">
        <f t="shared" si="5"/>
        <v/>
      </c>
      <c r="M66" s="185" t="str">
        <f t="shared" si="6"/>
        <v/>
      </c>
      <c r="N66" s="185">
        <f t="shared" si="7"/>
        <v>0</v>
      </c>
      <c r="O66" s="185">
        <f t="shared" si="8"/>
        <v>0</v>
      </c>
      <c r="P66" s="185">
        <f t="shared" si="9"/>
        <v>0</v>
      </c>
      <c r="Q66" s="185">
        <f t="shared" si="10"/>
        <v>0</v>
      </c>
      <c r="R66" s="185">
        <f t="shared" si="11"/>
        <v>0</v>
      </c>
      <c r="S66" s="185">
        <f ca="1">IF(B66="","",IF($B$31=0,"",-'Debt Financing Calculations'!E15))</f>
        <v>-16431880.502550719</v>
      </c>
      <c r="T66" s="185">
        <f t="shared" ca="1" si="12"/>
        <v>-16431880.502550719</v>
      </c>
      <c r="U66" s="185">
        <f>IF(C66="","",IF(C66&lt;-1,0,IF(C66=anal_period,-LOOKUP(C66,depr_yr,depr_cost)-Depreciation!$C$141-Depreciation!$B$166,-LOOKUP(C66,depr_yr,depr_cost))))</f>
        <v>0</v>
      </c>
      <c r="V66" s="185">
        <f t="shared" ca="1" si="13"/>
        <v>-16431880.502550719</v>
      </c>
      <c r="W66" s="186">
        <f t="shared" si="14"/>
        <v>0.25739999999999996</v>
      </c>
      <c r="X66" s="185">
        <f t="shared" ca="1" si="15"/>
        <v>4229566.0413565543</v>
      </c>
      <c r="Y66" s="185">
        <f t="shared" ca="1" si="16"/>
        <v>-12202314.461194165</v>
      </c>
      <c r="Z66" s="185">
        <f>IF(C66="","",IF($B$31=0,"",-'Debt Financing Calculations'!F15))</f>
        <v>0</v>
      </c>
      <c r="AA66" s="185">
        <f t="shared" ca="1" si="17"/>
        <v>-12202314.461194165</v>
      </c>
      <c r="AB66" s="185">
        <f t="shared" ref="AB66:AB113" ca="1" si="23">IF(C66="","",AB65+AA66)</f>
        <v>-324919404.61734039</v>
      </c>
      <c r="AC66" s="940">
        <f t="shared" ca="1" si="18"/>
        <v>-16431880.502550719</v>
      </c>
      <c r="AD66" s="132"/>
      <c r="AE66" s="944">
        <f t="shared" si="19"/>
        <v>0</v>
      </c>
      <c r="AF66" s="940">
        <f t="shared" si="20"/>
        <v>0</v>
      </c>
    </row>
    <row r="67" spans="1:32" x14ac:dyDescent="0.25">
      <c r="A67" s="56">
        <f t="shared" si="21"/>
        <v>2014</v>
      </c>
      <c r="B67" s="183">
        <f>IF(MAX($B$65:B66)&lt;(construct+anal_period),B66+1,"")</f>
        <v>3</v>
      </c>
      <c r="C67" s="183">
        <f t="shared" si="22"/>
        <v>-1</v>
      </c>
      <c r="D67" s="183">
        <f t="shared" si="1"/>
        <v>-1</v>
      </c>
      <c r="E67" s="184">
        <f t="shared" si="2"/>
        <v>0.9813542688910698</v>
      </c>
      <c r="F67" s="57">
        <f t="shared" si="3"/>
        <v>0</v>
      </c>
      <c r="G67" s="953"/>
      <c r="H67" s="962">
        <f ca="1">IF(C67&lt;0,-E67*equity*depr_cap_infl*percent_cap3,0)</f>
        <v>0</v>
      </c>
      <c r="I67" s="185" t="str">
        <f>IF(OR(C67&lt;0,C67=""),"",-E67*INDEX('Replacement Costs'!$A$16:$H$57,MATCH(C67,'Replacement Costs'!$C$16:$C$57,0),MATCH("Total Yearly Replacement Costs",'Replacement Costs'!$A$16:$H$16,0)))</f>
        <v/>
      </c>
      <c r="J67" s="185">
        <f>IF(AND(C67&gt;=1,C67&lt;anal_period),WorkingCap*SUM(N67:R67)-WorkingCap*SUM(N66:R66),IF(C67&lt;0,0,IF(B67="","",-SUM(J$65:J66))))</f>
        <v>0</v>
      </c>
      <c r="K67" s="185" t="str">
        <f t="shared" si="4"/>
        <v/>
      </c>
      <c r="L67" s="185" t="str">
        <f t="shared" si="5"/>
        <v/>
      </c>
      <c r="M67" s="185" t="str">
        <f t="shared" si="6"/>
        <v/>
      </c>
      <c r="N67" s="185">
        <f t="shared" si="7"/>
        <v>0</v>
      </c>
      <c r="O67" s="185">
        <f t="shared" si="8"/>
        <v>0</v>
      </c>
      <c r="P67" s="185">
        <f t="shared" si="9"/>
        <v>0</v>
      </c>
      <c r="Q67" s="185">
        <f t="shared" si="10"/>
        <v>0</v>
      </c>
      <c r="R67" s="185">
        <f t="shared" si="11"/>
        <v>0</v>
      </c>
      <c r="S67" s="185">
        <f ca="1">IF(B67="","",IF($B$31=0,"",-'Debt Financing Calculations'!E16))</f>
        <v>-16431880.502550719</v>
      </c>
      <c r="T67" s="185">
        <f t="shared" ca="1" si="12"/>
        <v>-16431880.502550719</v>
      </c>
      <c r="U67" s="185">
        <f>IF(C67="","",IF(C67&lt;-1,0,IF(C67=anal_period,-LOOKUP(C67,depr_yr,depr_cost)-Depreciation!$C$141-Depreciation!$B$166,-LOOKUP(C67,depr_yr,depr_cost))))</f>
        <v>0</v>
      </c>
      <c r="V67" s="185">
        <f t="shared" ca="1" si="13"/>
        <v>-16431880.502550719</v>
      </c>
      <c r="W67" s="186">
        <f t="shared" si="14"/>
        <v>0.25739999999999996</v>
      </c>
      <c r="X67" s="185">
        <f t="shared" ca="1" si="15"/>
        <v>4229566.0413565543</v>
      </c>
      <c r="Y67" s="185">
        <f t="shared" ca="1" si="16"/>
        <v>-12202314.461194165</v>
      </c>
      <c r="Z67" s="185">
        <f>IF(C67="","",IF($B$31=0,"",-'Debt Financing Calculations'!F16))</f>
        <v>0</v>
      </c>
      <c r="AA67" s="185">
        <f t="shared" ca="1" si="17"/>
        <v>-12202314.461194165</v>
      </c>
      <c r="AB67" s="185">
        <f t="shared" ca="1" si="23"/>
        <v>-337121719.07853454</v>
      </c>
      <c r="AC67" s="940">
        <f t="shared" ca="1" si="18"/>
        <v>-16431880.502550719</v>
      </c>
      <c r="AD67" s="132"/>
      <c r="AE67" s="944">
        <f t="shared" si="19"/>
        <v>0</v>
      </c>
      <c r="AF67" s="940">
        <f t="shared" si="20"/>
        <v>0</v>
      </c>
    </row>
    <row r="68" spans="1:32" x14ac:dyDescent="0.25">
      <c r="A68" s="875">
        <f t="shared" si="21"/>
        <v>2015</v>
      </c>
      <c r="B68" s="876">
        <f>IF(MAX($B$65:B67)&lt;(construct+anal_period),B67+1,"")</f>
        <v>4</v>
      </c>
      <c r="C68" s="876">
        <f t="shared" si="22"/>
        <v>1</v>
      </c>
      <c r="D68" s="876">
        <f t="shared" si="1"/>
        <v>1</v>
      </c>
      <c r="E68" s="877">
        <f t="shared" si="2"/>
        <v>1</v>
      </c>
      <c r="F68" s="878">
        <f t="shared" ca="1" si="3"/>
        <v>288933419.99138445</v>
      </c>
      <c r="G68" s="954"/>
      <c r="H68" s="963">
        <f>IF(C68&lt;0,-E68*equity*depr_cap_infl*percent_cap4,0)</f>
        <v>0</v>
      </c>
      <c r="I68" s="879">
        <f ca="1">IF(OR(C68&lt;0,C68=""),"",-E68*INDEX('Replacement Costs'!$A$16:$H$57,MATCH(C68,'Replacement Costs'!$C$16:$C$57,0),MATCH("Total Yearly Replacement Costs",'Replacement Costs'!$A$16:$H$16,0)))</f>
        <v>-3915857.2351461123</v>
      </c>
      <c r="J68" s="879">
        <f ca="1">IF(AND(C68&gt;=1,C68&lt;anal_period),WorkingCap*SUM(N68:R68)-WorkingCap*SUM(N67:R67),IF(C68&lt;0,0,IF(B68="","",-SUM(J$65:J67))))</f>
        <v>-28545522.641234688</v>
      </c>
      <c r="K68" s="879" t="str">
        <f t="shared" si="4"/>
        <v/>
      </c>
      <c r="L68" s="879" t="str">
        <f t="shared" si="5"/>
        <v/>
      </c>
      <c r="M68" s="879" t="str">
        <f t="shared" si="6"/>
        <v/>
      </c>
      <c r="N68" s="879">
        <f t="shared" ca="1" si="7"/>
        <v>-32050123.851952624</v>
      </c>
      <c r="O68" s="879">
        <f t="shared" ca="1" si="8"/>
        <v>-113913448.60177587</v>
      </c>
      <c r="P68" s="879">
        <f t="shared" ca="1" si="9"/>
        <v>-5811036.0565748541</v>
      </c>
      <c r="Q68" s="879">
        <f t="shared" ca="1" si="10"/>
        <v>0</v>
      </c>
      <c r="R68" s="879">
        <f t="shared" ca="1" si="11"/>
        <v>-38528875.764594585</v>
      </c>
      <c r="S68" s="879">
        <f ca="1">IF(B68="","",IF($B$31=0,"",-'Debt Financing Calculations'!E17))</f>
        <v>-16431880.502550719</v>
      </c>
      <c r="T68" s="879">
        <f t="shared" ca="1" si="12"/>
        <v>82198055.213935792</v>
      </c>
      <c r="U68" s="879">
        <f ca="1">IF(C68="","",IF(C68&lt;-1,0,IF(C68=anal_period,-LOOKUP(C68,depr_yr,depr_cost)-Depreciation!$C$141-Depreciation!$B$166,-LOOKUP(C68,depr_yr,depr_cost))))</f>
        <v>-27903399.549275283</v>
      </c>
      <c r="V68" s="879">
        <f t="shared" ca="1" si="13"/>
        <v>54294655.664660513</v>
      </c>
      <c r="W68" s="880">
        <f t="shared" si="14"/>
        <v>0.25739999999999996</v>
      </c>
      <c r="X68" s="879">
        <f t="shared" ca="1" si="15"/>
        <v>-13975444.368083615</v>
      </c>
      <c r="Y68" s="879">
        <f ca="1">IF(C68="","",SUM(T68,X68))</f>
        <v>68222610.845852181</v>
      </c>
      <c r="Z68" s="879">
        <f>IF(C68="","",IF($B$31=0,"",-'Debt Financing Calculations'!F17))</f>
        <v>0</v>
      </c>
      <c r="AA68" s="879">
        <f t="shared" ca="1" si="17"/>
        <v>35761230.96947138</v>
      </c>
      <c r="AB68" s="879">
        <f t="shared" ca="1" si="23"/>
        <v>-301360488.10906315</v>
      </c>
      <c r="AC68" s="941">
        <f t="shared" ca="1" si="18"/>
        <v>49736675.337554991</v>
      </c>
      <c r="AD68" s="871"/>
      <c r="AE68" s="945">
        <f t="shared" ca="1" si="19"/>
        <v>158665500</v>
      </c>
      <c r="AF68" s="941">
        <f t="shared" si="20"/>
        <v>0</v>
      </c>
    </row>
    <row r="69" spans="1:32" x14ac:dyDescent="0.25">
      <c r="A69" s="56">
        <f t="shared" si="21"/>
        <v>2016</v>
      </c>
      <c r="B69" s="183">
        <f>IF(MAX($B$65:B68)&lt;(construct+anal_period),B68+1,"")</f>
        <v>5</v>
      </c>
      <c r="C69" s="183">
        <f t="shared" si="22"/>
        <v>2</v>
      </c>
      <c r="D69" s="183">
        <f t="shared" si="1"/>
        <v>2</v>
      </c>
      <c r="E69" s="184">
        <f t="shared" si="2"/>
        <v>1.0189999999999999</v>
      </c>
      <c r="F69" s="57">
        <f t="shared" ca="1" si="3"/>
        <v>294423154.97122073</v>
      </c>
      <c r="G69" s="953"/>
      <c r="H69" s="962">
        <f t="shared" ref="H69:H113" si="24">IF(C69="","",0)</f>
        <v>0</v>
      </c>
      <c r="I69" s="185">
        <f ca="1">IF(OR(C69&lt;0,C69=""),"",-E69*INDEX('Replacement Costs'!$A$16:$H$57,MATCH(C69,'Replacement Costs'!$C$16:$C$57,0),MATCH("Total Yearly Replacement Costs",'Replacement Costs'!$A$16:$H$16,0)))</f>
        <v>-3990258.5226138881</v>
      </c>
      <c r="J69" s="185">
        <f ca="1">IF(AND(C69&gt;=1,C69&lt;anal_period),WorkingCap*SUM(N69:R69)-WorkingCap*SUM(N68:R68),IF(C69&lt;0,0,IF(B69="","",-SUM(J$65:J68))))</f>
        <v>478793.79974759743</v>
      </c>
      <c r="K69" s="185" t="str">
        <f t="shared" si="4"/>
        <v/>
      </c>
      <c r="L69" s="185" t="str">
        <f t="shared" si="5"/>
        <v/>
      </c>
      <c r="M69" s="185" t="str">
        <f t="shared" si="6"/>
        <v/>
      </c>
      <c r="N69" s="185">
        <f t="shared" ca="1" si="7"/>
        <v>-32659076.205139719</v>
      </c>
      <c r="O69" s="185">
        <f t="shared" ca="1" si="8"/>
        <v>-109270079.25900257</v>
      </c>
      <c r="P69" s="185">
        <f t="shared" ca="1" si="9"/>
        <v>-5921445.7416497758</v>
      </c>
      <c r="Q69" s="185">
        <f t="shared" ca="1" si="10"/>
        <v>0</v>
      </c>
      <c r="R69" s="185">
        <f t="shared" ca="1" si="11"/>
        <v>-39260924.404121876</v>
      </c>
      <c r="S69" s="185">
        <f ca="1">IF(B69="","",IF($B$31=0,"",-'Debt Financing Calculations'!E18))</f>
        <v>-16431880.502550719</v>
      </c>
      <c r="T69" s="185">
        <f t="shared" ca="1" si="12"/>
        <v>90879748.858756065</v>
      </c>
      <c r="U69" s="185">
        <f ca="1">IF(C69="","",IF(C69&lt;-1,0,IF(C69=anal_period,-LOOKUP(C69,depr_yr,depr_cost)-Depreciation!$C$141-Depreciation!$B$166,-LOOKUP(C69,depr_yr,depr_cost))))</f>
        <v>-53865539.05358956</v>
      </c>
      <c r="V69" s="185">
        <f t="shared" ca="1" si="13"/>
        <v>37014209.805166505</v>
      </c>
      <c r="W69" s="186">
        <f t="shared" si="14"/>
        <v>0.25739999999999996</v>
      </c>
      <c r="X69" s="185">
        <f t="shared" ca="1" si="15"/>
        <v>-9527457.6038498562</v>
      </c>
      <c r="Y69" s="185">
        <f t="shared" ca="1" si="16"/>
        <v>81352291.254906207</v>
      </c>
      <c r="Z69" s="185">
        <f>IF(C69="","",IF($B$31=0,"",-'Debt Financing Calculations'!F18))</f>
        <v>0</v>
      </c>
      <c r="AA69" s="185">
        <f t="shared" ca="1" si="17"/>
        <v>77840826.532039911</v>
      </c>
      <c r="AB69" s="185">
        <f t="shared" ca="1" si="23"/>
        <v>-223519661.57702324</v>
      </c>
      <c r="AC69" s="940">
        <f t="shared" ca="1" si="18"/>
        <v>87368284.135889769</v>
      </c>
      <c r="AD69" s="132"/>
      <c r="AE69" s="944">
        <f t="shared" ca="1" si="19"/>
        <v>158665500</v>
      </c>
      <c r="AF69" s="940">
        <f t="shared" si="20"/>
        <v>0</v>
      </c>
    </row>
    <row r="70" spans="1:32" x14ac:dyDescent="0.25">
      <c r="A70" s="56">
        <f t="shared" si="21"/>
        <v>2017</v>
      </c>
      <c r="B70" s="183">
        <f>IF(MAX($B$65:B69)&lt;(construct+anal_period),B69+1,"")</f>
        <v>6</v>
      </c>
      <c r="C70" s="183">
        <f t="shared" si="22"/>
        <v>3</v>
      </c>
      <c r="D70" s="183">
        <f t="shared" si="1"/>
        <v>3</v>
      </c>
      <c r="E70" s="184">
        <f t="shared" si="2"/>
        <v>1.0383609999999999</v>
      </c>
      <c r="F70" s="57">
        <f t="shared" ca="1" si="3"/>
        <v>300017194.91567391</v>
      </c>
      <c r="G70" s="953"/>
      <c r="H70" s="962">
        <f t="shared" si="24"/>
        <v>0</v>
      </c>
      <c r="I70" s="185">
        <f ca="1">IF(OR(C70&lt;0,C70=""),"",-E70*INDEX('Replacement Costs'!$A$16:$H$57,MATCH(C70,'Replacement Costs'!$C$16:$C$57,0),MATCH("Total Yearly Replacement Costs",'Replacement Costs'!$A$16:$H$16,0)))</f>
        <v>-4066073.4345435519</v>
      </c>
      <c r="J70" s="185">
        <f ca="1">IF(AND(C70&gt;=1,C70&lt;anal_period),WorkingCap*SUM(N70:R70)-WorkingCap*SUM(N69:R69),IF(C70&lt;0,0,IF(B70="","",-SUM(J$65:J69))))</f>
        <v>-3001770.2817544192</v>
      </c>
      <c r="K70" s="185" t="str">
        <f t="shared" si="4"/>
        <v/>
      </c>
      <c r="L70" s="185" t="str">
        <f t="shared" si="5"/>
        <v/>
      </c>
      <c r="M70" s="185" t="str">
        <f t="shared" si="6"/>
        <v/>
      </c>
      <c r="N70" s="185">
        <f t="shared" ca="1" si="7"/>
        <v>-33279598.653037373</v>
      </c>
      <c r="O70" s="185">
        <f t="shared" ca="1" si="8"/>
        <v>-127802893.65669805</v>
      </c>
      <c r="P70" s="185">
        <f t="shared" ca="1" si="9"/>
        <v>-6033953.2107411213</v>
      </c>
      <c r="Q70" s="185">
        <f t="shared" ca="1" si="10"/>
        <v>0</v>
      </c>
      <c r="R70" s="185">
        <f t="shared" ca="1" si="11"/>
        <v>-40006881.967800193</v>
      </c>
      <c r="S70" s="185">
        <f ca="1">IF(B70="","",IF($B$31=0,"",-'Debt Financing Calculations'!E19))</f>
        <v>-16431880.502550719</v>
      </c>
      <c r="T70" s="185">
        <f t="shared" ca="1" si="12"/>
        <v>76461986.924846441</v>
      </c>
      <c r="U70" s="185">
        <f ca="1">IF(C70="","",IF(C70&lt;-1,0,IF(C70=anal_period,-LOOKUP(C70,depr_yr,depr_cost)-Depreciation!$C$141-Depreciation!$B$166,-LOOKUP(C70,depr_yr,depr_cost))))</f>
        <v>-50123467.527345829</v>
      </c>
      <c r="V70" s="185">
        <f t="shared" ca="1" si="13"/>
        <v>26338519.397500612</v>
      </c>
      <c r="W70" s="186">
        <f t="shared" si="14"/>
        <v>0.25739999999999996</v>
      </c>
      <c r="X70" s="185">
        <f t="shared" ca="1" si="15"/>
        <v>-6779534.8929166561</v>
      </c>
      <c r="Y70" s="185">
        <f t="shared" ca="1" si="16"/>
        <v>69682452.031929791</v>
      </c>
      <c r="Z70" s="185">
        <f>IF(C70="","",IF($B$31=0,"",-'Debt Financing Calculations'!F19))</f>
        <v>0</v>
      </c>
      <c r="AA70" s="185">
        <f t="shared" ca="1" si="17"/>
        <v>62614608.315631814</v>
      </c>
      <c r="AB70" s="185">
        <f t="shared" ca="1" si="23"/>
        <v>-160905053.26139143</v>
      </c>
      <c r="AC70" s="940">
        <f t="shared" ca="1" si="18"/>
        <v>69394143.208548471</v>
      </c>
      <c r="AD70" s="132"/>
      <c r="AE70" s="944">
        <f t="shared" ca="1" si="19"/>
        <v>158665500</v>
      </c>
      <c r="AF70" s="940">
        <f t="shared" si="20"/>
        <v>0</v>
      </c>
    </row>
    <row r="71" spans="1:32" x14ac:dyDescent="0.25">
      <c r="A71" s="56">
        <f t="shared" si="21"/>
        <v>2018</v>
      </c>
      <c r="B71" s="183">
        <f>IF(MAX($B$65:B70)&lt;(construct+anal_period),B70+1,"")</f>
        <v>7</v>
      </c>
      <c r="C71" s="183">
        <f t="shared" si="22"/>
        <v>4</v>
      </c>
      <c r="D71" s="183">
        <f t="shared" si="1"/>
        <v>4</v>
      </c>
      <c r="E71" s="184">
        <f t="shared" si="2"/>
        <v>1.0580898589999999</v>
      </c>
      <c r="F71" s="57">
        <f t="shared" ca="1" si="3"/>
        <v>305717521.61907172</v>
      </c>
      <c r="G71" s="953"/>
      <c r="H71" s="962">
        <f t="shared" si="24"/>
        <v>0</v>
      </c>
      <c r="I71" s="185">
        <f ca="1">IF(OR(C71&lt;0,C71=""),"",-E71*INDEX('Replacement Costs'!$A$16:$H$57,MATCH(C71,'Replacement Costs'!$C$16:$C$57,0),MATCH("Total Yearly Replacement Costs",'Replacement Costs'!$A$16:$H$16,0)))</f>
        <v>-4143328.8297998793</v>
      </c>
      <c r="J71" s="185">
        <f ca="1">IF(AND(C71&gt;=1,C71&lt;anal_period),WorkingCap*SUM(N71:R71)-WorkingCap*SUM(N70:R70),IF(C71&lt;0,0,IF(B71="","",-SUM(J$65:J70))))</f>
        <v>-2113605.9330200218</v>
      </c>
      <c r="K71" s="185" t="str">
        <f t="shared" si="4"/>
        <v/>
      </c>
      <c r="L71" s="185" t="str">
        <f t="shared" si="5"/>
        <v/>
      </c>
      <c r="M71" s="185" t="str">
        <f t="shared" si="6"/>
        <v/>
      </c>
      <c r="N71" s="185">
        <f t="shared" ca="1" si="7"/>
        <v>-33911911.027445085</v>
      </c>
      <c r="O71" s="185">
        <f t="shared" ca="1" si="8"/>
        <v>-140386511.63403153</v>
      </c>
      <c r="P71" s="185">
        <f t="shared" ca="1" si="9"/>
        <v>-6148598.3217452029</v>
      </c>
      <c r="Q71" s="185">
        <f t="shared" ca="1" si="10"/>
        <v>0</v>
      </c>
      <c r="R71" s="185">
        <f t="shared" ca="1" si="11"/>
        <v>-40767012.725188397</v>
      </c>
      <c r="S71" s="185">
        <f ca="1">IF(B71="","",IF($B$31=0,"",-'Debt Financing Calculations'!E20))</f>
        <v>-16431880.502550719</v>
      </c>
      <c r="T71" s="185">
        <f t="shared" ca="1" si="12"/>
        <v>68071607.408110768</v>
      </c>
      <c r="U71" s="185">
        <f ca="1">IF(C71="","",IF(C71&lt;-1,0,IF(C71=anal_period,-LOOKUP(C71,depr_yr,depr_cost)-Depreciation!$C$141-Depreciation!$B$166,-LOOKUP(C71,depr_yr,depr_cost))))</f>
        <v>-46677813.971478373</v>
      </c>
      <c r="V71" s="185">
        <f t="shared" ca="1" si="13"/>
        <v>21393793.436632395</v>
      </c>
      <c r="W71" s="186">
        <f t="shared" si="14"/>
        <v>0.25739999999999996</v>
      </c>
      <c r="X71" s="185">
        <f t="shared" ca="1" si="15"/>
        <v>-5506762.4305891776</v>
      </c>
      <c r="Y71" s="185">
        <f t="shared" ca="1" si="16"/>
        <v>62564844.977521591</v>
      </c>
      <c r="Z71" s="185">
        <f>IF(C71="","",IF($B$31=0,"",-'Debt Financing Calculations'!F20))</f>
        <v>0</v>
      </c>
      <c r="AA71" s="185">
        <f t="shared" ca="1" si="17"/>
        <v>56307910.21470169</v>
      </c>
      <c r="AB71" s="185">
        <f t="shared" ca="1" si="23"/>
        <v>-104597143.04668975</v>
      </c>
      <c r="AC71" s="940">
        <f t="shared" ca="1" si="18"/>
        <v>61814672.645290866</v>
      </c>
      <c r="AD71" s="132"/>
      <c r="AE71" s="944">
        <f t="shared" ca="1" si="19"/>
        <v>158665500</v>
      </c>
      <c r="AF71" s="940">
        <f t="shared" si="20"/>
        <v>0</v>
      </c>
    </row>
    <row r="72" spans="1:32" x14ac:dyDescent="0.25">
      <c r="A72" s="56">
        <f t="shared" si="21"/>
        <v>2019</v>
      </c>
      <c r="B72" s="183">
        <f>IF(MAX($B$65:B71)&lt;(construct+anal_period),B71+1,"")</f>
        <v>8</v>
      </c>
      <c r="C72" s="183">
        <f t="shared" si="22"/>
        <v>5</v>
      </c>
      <c r="D72" s="183">
        <f t="shared" si="1"/>
        <v>5</v>
      </c>
      <c r="E72" s="184">
        <f t="shared" si="2"/>
        <v>1.0781935663209998</v>
      </c>
      <c r="F72" s="57">
        <f t="shared" ca="1" si="3"/>
        <v>311526154.52983409</v>
      </c>
      <c r="G72" s="953"/>
      <c r="H72" s="962">
        <f t="shared" si="24"/>
        <v>0</v>
      </c>
      <c r="I72" s="185">
        <f ca="1">IF(OR(C72&lt;0,C72=""),"",-E72*INDEX('Replacement Costs'!$A$16:$H$57,MATCH(C72,'Replacement Costs'!$C$16:$C$57,0),MATCH("Total Yearly Replacement Costs",'Replacement Costs'!$A$16:$H$16,0)))</f>
        <v>-4222052.077566077</v>
      </c>
      <c r="J72" s="185">
        <f ca="1">IF(AND(C72&gt;=1,C72&lt;anal_period),WorkingCap*SUM(N72:R72)-WorkingCap*SUM(N71:R71),IF(C72&lt;0,0,IF(B72="","",-SUM(J$65:J71))))</f>
        <v>-2478477.8071372062</v>
      </c>
      <c r="K72" s="185" t="str">
        <f t="shared" si="4"/>
        <v/>
      </c>
      <c r="L72" s="185" t="str">
        <f t="shared" si="5"/>
        <v/>
      </c>
      <c r="M72" s="185" t="str">
        <f t="shared" si="6"/>
        <v/>
      </c>
      <c r="N72" s="185">
        <f t="shared" ca="1" si="7"/>
        <v>-34556237.336966537</v>
      </c>
      <c r="O72" s="185">
        <f t="shared" ca="1" si="8"/>
        <v>-155373974.0955331</v>
      </c>
      <c r="P72" s="185">
        <f t="shared" ca="1" si="9"/>
        <v>-6265421.6898583611</v>
      </c>
      <c r="Q72" s="185">
        <f t="shared" ca="1" si="10"/>
        <v>0</v>
      </c>
      <c r="R72" s="185">
        <f t="shared" ca="1" si="11"/>
        <v>-41541585.966966972</v>
      </c>
      <c r="S72" s="185">
        <f ca="1">IF(B72="","",IF($B$31=0,"",-'Debt Financing Calculations'!E21))</f>
        <v>-16431880.502550719</v>
      </c>
      <c r="T72" s="185">
        <f t="shared" ca="1" si="12"/>
        <v>57357054.937958419</v>
      </c>
      <c r="U72" s="185">
        <f ca="1">IF(C72="","",IF(C72&lt;-1,0,IF(C72=anal_period,-LOOKUP(C72,depr_yr,depr_cost)-Depreciation!$C$141-Depreciation!$B$166,-LOOKUP(C72,depr_yr,depr_cost))))</f>
        <v>-43485302.953300901</v>
      </c>
      <c r="V72" s="185">
        <f t="shared" ca="1" si="13"/>
        <v>13871751.984657519</v>
      </c>
      <c r="W72" s="186">
        <f t="shared" si="14"/>
        <v>0.25739999999999996</v>
      </c>
      <c r="X72" s="185">
        <f t="shared" ca="1" si="15"/>
        <v>-3570588.9608508446</v>
      </c>
      <c r="Y72" s="185">
        <f t="shared" ca="1" si="16"/>
        <v>53786465.977107577</v>
      </c>
      <c r="Z72" s="185">
        <f>IF(C72="","",IF($B$31=0,"",-'Debt Financing Calculations'!F21))</f>
        <v>0</v>
      </c>
      <c r="AA72" s="185">
        <f t="shared" ca="1" si="17"/>
        <v>47085936.092404291</v>
      </c>
      <c r="AB72" s="185">
        <f t="shared" ca="1" si="23"/>
        <v>-57511206.954285458</v>
      </c>
      <c r="AC72" s="940">
        <f t="shared" ca="1" si="18"/>
        <v>50656525.053255133</v>
      </c>
      <c r="AD72" s="132"/>
      <c r="AE72" s="944">
        <f t="shared" ca="1" si="19"/>
        <v>158665500</v>
      </c>
      <c r="AF72" s="940">
        <f t="shared" si="20"/>
        <v>0</v>
      </c>
    </row>
    <row r="73" spans="1:32" x14ac:dyDescent="0.25">
      <c r="A73" s="56">
        <f t="shared" si="21"/>
        <v>2020</v>
      </c>
      <c r="B73" s="183">
        <f>IF(MAX($B$65:B72)&lt;(construct+anal_period),B72+1,"")</f>
        <v>9</v>
      </c>
      <c r="C73" s="183">
        <f t="shared" si="22"/>
        <v>6</v>
      </c>
      <c r="D73" s="183">
        <f t="shared" si="1"/>
        <v>6</v>
      </c>
      <c r="E73" s="184">
        <f t="shared" si="2"/>
        <v>1.0986792440810986</v>
      </c>
      <c r="F73" s="57">
        <f t="shared" ca="1" si="3"/>
        <v>317445151.46590084</v>
      </c>
      <c r="G73" s="953"/>
      <c r="H73" s="962">
        <f t="shared" si="24"/>
        <v>0</v>
      </c>
      <c r="I73" s="185">
        <f ca="1">IF(OR(C73&lt;0,C73=""),"",-E73*INDEX('Replacement Costs'!$A$16:$H$57,MATCH(C73,'Replacement Costs'!$C$16:$C$57,0),MATCH("Total Yearly Replacement Costs",'Replacement Costs'!$A$16:$H$16,0)))</f>
        <v>-4302271.0670398315</v>
      </c>
      <c r="J73" s="185">
        <f ca="1">IF(AND(C73&gt;=1,C73&lt;anal_period),WorkingCap*SUM(N73:R73)-WorkingCap*SUM(N72:R72),IF(C73&lt;0,0,IF(B73="","",-SUM(J$65:J72))))</f>
        <v>-2555207.4097845107</v>
      </c>
      <c r="K73" s="185" t="str">
        <f t="shared" si="4"/>
        <v/>
      </c>
      <c r="L73" s="185" t="str">
        <f t="shared" si="5"/>
        <v/>
      </c>
      <c r="M73" s="185" t="str">
        <f t="shared" si="6"/>
        <v/>
      </c>
      <c r="N73" s="185">
        <f t="shared" ca="1" si="7"/>
        <v>-35212805.846368894</v>
      </c>
      <c r="O73" s="185">
        <f t="shared" ca="1" si="8"/>
        <v>-170843788.50588113</v>
      </c>
      <c r="P73" s="185">
        <f t="shared" ca="1" si="9"/>
        <v>-6384464.7019656692</v>
      </c>
      <c r="Q73" s="185">
        <f t="shared" ca="1" si="10"/>
        <v>0</v>
      </c>
      <c r="R73" s="185">
        <f t="shared" ca="1" si="11"/>
        <v>-42330876.100339338</v>
      </c>
      <c r="S73" s="185">
        <f ca="1">IF(B73="","",IF($B$31=0,"",-'Debt Financing Calculations'!E22))</f>
        <v>-16431880.502550719</v>
      </c>
      <c r="T73" s="185">
        <f t="shared" ca="1" si="12"/>
        <v>46241335.808795094</v>
      </c>
      <c r="U73" s="185">
        <f ca="1">IF(C73="","",IF(C73&lt;-1,0,IF(C73=anal_period,-LOOKUP(C73,depr_yr,depr_cost)-Depreciation!$C$141-Depreciation!$B$166,-LOOKUP(C73,depr_yr,depr_cost))))</f>
        <v>-40547091.094019875</v>
      </c>
      <c r="V73" s="185">
        <f t="shared" ca="1" si="13"/>
        <v>5694244.7147752196</v>
      </c>
      <c r="W73" s="186">
        <f t="shared" si="14"/>
        <v>0.25739999999999996</v>
      </c>
      <c r="X73" s="185">
        <f t="shared" ca="1" si="15"/>
        <v>-1465698.5895831413</v>
      </c>
      <c r="Y73" s="185">
        <f t="shared" ca="1" si="16"/>
        <v>44775637.219211951</v>
      </c>
      <c r="Z73" s="185">
        <f>IF(C73="","",IF($B$31=0,"",-'Debt Financing Calculations'!F22))</f>
        <v>0</v>
      </c>
      <c r="AA73" s="185">
        <f t="shared" ca="1" si="17"/>
        <v>37918158.742387608</v>
      </c>
      <c r="AB73" s="185">
        <f t="shared" ca="1" si="23"/>
        <v>-19593048.21189785</v>
      </c>
      <c r="AC73" s="940">
        <f t="shared" ca="1" si="18"/>
        <v>39383857.331970751</v>
      </c>
      <c r="AD73" s="132"/>
      <c r="AE73" s="944">
        <f t="shared" ca="1" si="19"/>
        <v>158665500</v>
      </c>
      <c r="AF73" s="940">
        <f t="shared" si="20"/>
        <v>0</v>
      </c>
    </row>
    <row r="74" spans="1:32" x14ac:dyDescent="0.25">
      <c r="A74" s="56">
        <f t="shared" si="21"/>
        <v>2021</v>
      </c>
      <c r="B74" s="183">
        <f>IF(MAX($B$65:B73)&lt;(construct+anal_period),B73+1,"")</f>
        <v>10</v>
      </c>
      <c r="C74" s="183">
        <f t="shared" si="22"/>
        <v>7</v>
      </c>
      <c r="D74" s="183">
        <f t="shared" si="1"/>
        <v>7</v>
      </c>
      <c r="E74" s="184">
        <f t="shared" si="2"/>
        <v>1.1195541497186396</v>
      </c>
      <c r="F74" s="57">
        <f t="shared" ca="1" si="3"/>
        <v>323476609.34375304</v>
      </c>
      <c r="G74" s="953"/>
      <c r="H74" s="962">
        <f t="shared" si="24"/>
        <v>0</v>
      </c>
      <c r="I74" s="185">
        <f ca="1">IF(OR(C74&lt;0,C74=""),"",-E74*INDEX('Replacement Costs'!$A$16:$H$57,MATCH(C74,'Replacement Costs'!$C$16:$C$57,0),MATCH("Total Yearly Replacement Costs",'Replacement Costs'!$A$16:$H$16,0)))</f>
        <v>-4384014.2173135886</v>
      </c>
      <c r="J74" s="185">
        <f ca="1">IF(AND(C74&gt;=1,C74&lt;anal_period),WorkingCap*SUM(N74:R74)-WorkingCap*SUM(N73:R73),IF(C74&lt;0,0,IF(B74="","",-SUM(J$65:J73))))</f>
        <v>-766185.63086180389</v>
      </c>
      <c r="K74" s="185" t="str">
        <f t="shared" si="4"/>
        <v/>
      </c>
      <c r="L74" s="185" t="str">
        <f t="shared" si="5"/>
        <v/>
      </c>
      <c r="M74" s="185" t="str">
        <f t="shared" si="6"/>
        <v/>
      </c>
      <c r="N74" s="185">
        <f t="shared" ca="1" si="7"/>
        <v>-35881849.157449909</v>
      </c>
      <c r="O74" s="185">
        <f t="shared" ca="1" si="8"/>
        <v>-174357057.92530164</v>
      </c>
      <c r="P74" s="185">
        <f t="shared" ca="1" si="9"/>
        <v>-6505769.5313030174</v>
      </c>
      <c r="Q74" s="185">
        <f t="shared" ca="1" si="10"/>
        <v>0</v>
      </c>
      <c r="R74" s="185">
        <f t="shared" ca="1" si="11"/>
        <v>-43135162.746245794</v>
      </c>
      <c r="S74" s="185">
        <f ca="1">IF(B74="","",IF($B$31=0,"",-'Debt Financing Calculations'!E23))</f>
        <v>-16431880.502550719</v>
      </c>
      <c r="T74" s="185">
        <f t="shared" ca="1" si="12"/>
        <v>47164889.480901957</v>
      </c>
      <c r="U74" s="185">
        <f ca="1">IF(C74="","",IF(C74&lt;-1,0,IF(C74=anal_period,-LOOKUP(C74,depr_yr,depr_cost)-Depreciation!$C$141-Depreciation!$B$166,-LOOKUP(C74,depr_yr,depr_cost))))</f>
        <v>-37827152.457912326</v>
      </c>
      <c r="V74" s="185">
        <f t="shared" ca="1" si="13"/>
        <v>9337737.0229896307</v>
      </c>
      <c r="W74" s="186">
        <f t="shared" si="14"/>
        <v>0.25739999999999996</v>
      </c>
      <c r="X74" s="185">
        <f t="shared" ca="1" si="15"/>
        <v>-2403533.5097175306</v>
      </c>
      <c r="Y74" s="185">
        <f t="shared" ca="1" si="16"/>
        <v>44761355.971184425</v>
      </c>
      <c r="Z74" s="185">
        <f>IF(C74="","",IF($B$31=0,"",-'Debt Financing Calculations'!F23))</f>
        <v>0</v>
      </c>
      <c r="AA74" s="185">
        <f t="shared" ca="1" si="17"/>
        <v>39611156.123009034</v>
      </c>
      <c r="AB74" s="185">
        <f t="shared" ca="1" si="23"/>
        <v>20018107.911111183</v>
      </c>
      <c r="AC74" s="940">
        <f t="shared" ca="1" si="18"/>
        <v>42014689.632726565</v>
      </c>
      <c r="AD74" s="132"/>
      <c r="AE74" s="944">
        <f t="shared" ca="1" si="19"/>
        <v>158665500</v>
      </c>
      <c r="AF74" s="940">
        <f t="shared" si="20"/>
        <v>0</v>
      </c>
    </row>
    <row r="75" spans="1:32" x14ac:dyDescent="0.25">
      <c r="A75" s="56">
        <f t="shared" si="21"/>
        <v>2022</v>
      </c>
      <c r="B75" s="183">
        <f>IF(MAX($B$65:B74)&lt;(construct+anal_period),B74+1,"")</f>
        <v>11</v>
      </c>
      <c r="C75" s="183">
        <f t="shared" si="22"/>
        <v>8</v>
      </c>
      <c r="D75" s="183">
        <f t="shared" si="1"/>
        <v>8</v>
      </c>
      <c r="E75" s="184">
        <f t="shared" si="2"/>
        <v>1.1408256785632938</v>
      </c>
      <c r="F75" s="57">
        <f t="shared" ca="1" si="3"/>
        <v>329622664.92128432</v>
      </c>
      <c r="G75" s="953"/>
      <c r="H75" s="962">
        <f t="shared" si="24"/>
        <v>0</v>
      </c>
      <c r="I75" s="185">
        <f ca="1">IF(OR(C75&lt;0,C75=""),"",-E75*INDEX('Replacement Costs'!$A$16:$H$57,MATCH(C75,'Replacement Costs'!$C$16:$C$57,0),MATCH("Total Yearly Replacement Costs",'Replacement Costs'!$A$16:$H$16,0)))</f>
        <v>-4467310.4874425465</v>
      </c>
      <c r="J75" s="185">
        <f ca="1">IF(AND(C75&gt;=1,C75&lt;anal_period),WorkingCap*SUM(N75:R75)-WorkingCap*SUM(N74:R74),IF(C75&lt;0,0,IF(B75="","",-SUM(J$65:J74))))</f>
        <v>-569762.60353344679</v>
      </c>
      <c r="K75" s="185" t="str">
        <f t="shared" si="4"/>
        <v/>
      </c>
      <c r="L75" s="185" t="str">
        <f t="shared" si="5"/>
        <v/>
      </c>
      <c r="M75" s="185" t="str">
        <f t="shared" si="6"/>
        <v/>
      </c>
      <c r="N75" s="185">
        <f t="shared" ca="1" si="7"/>
        <v>-36563604.291441455</v>
      </c>
      <c r="O75" s="185">
        <f t="shared" ca="1" si="8"/>
        <v>-176530542.43492633</v>
      </c>
      <c r="P75" s="185">
        <f t="shared" ca="1" si="9"/>
        <v>-6629379.1523977742</v>
      </c>
      <c r="Q75" s="185">
        <f t="shared" ca="1" si="10"/>
        <v>0</v>
      </c>
      <c r="R75" s="185">
        <f t="shared" ca="1" si="11"/>
        <v>-43954730.838424459</v>
      </c>
      <c r="S75" s="185">
        <f ca="1">IF(B75="","",IF($B$31=0,"",-'Debt Financing Calculations'!E24))</f>
        <v>-16431880.502550719</v>
      </c>
      <c r="T75" s="185">
        <f t="shared" ca="1" si="12"/>
        <v>49512527.70154357</v>
      </c>
      <c r="U75" s="185">
        <f ca="1">IF(C75="","",IF(C75&lt;-1,0,IF(C75=anal_period,-LOOKUP(C75,depr_yr,depr_cost)-Depreciation!$C$141-Depreciation!$B$166,-LOOKUP(C75,depr_yr,depr_cost))))</f>
        <v>-35326488.522404686</v>
      </c>
      <c r="V75" s="185">
        <f t="shared" ca="1" si="13"/>
        <v>14186039.179138884</v>
      </c>
      <c r="W75" s="186">
        <f t="shared" si="14"/>
        <v>0.25739999999999996</v>
      </c>
      <c r="X75" s="185">
        <f t="shared" ca="1" si="15"/>
        <v>-3651486.4847103483</v>
      </c>
      <c r="Y75" s="185">
        <f t="shared" ca="1" si="16"/>
        <v>45861041.216833219</v>
      </c>
      <c r="Z75" s="185">
        <f>IF(C75="","",IF($B$31=0,"",-'Debt Financing Calculations'!F24))</f>
        <v>0</v>
      </c>
      <c r="AA75" s="185">
        <f t="shared" ca="1" si="17"/>
        <v>40823968.125857227</v>
      </c>
      <c r="AB75" s="185">
        <f t="shared" ca="1" si="23"/>
        <v>60842076.03696841</v>
      </c>
      <c r="AC75" s="940">
        <f t="shared" ca="1" si="18"/>
        <v>44475454.610567577</v>
      </c>
      <c r="AD75" s="132"/>
      <c r="AE75" s="944">
        <f t="shared" ca="1" si="19"/>
        <v>158665500</v>
      </c>
      <c r="AF75" s="940">
        <f t="shared" si="20"/>
        <v>0</v>
      </c>
    </row>
    <row r="76" spans="1:32" x14ac:dyDescent="0.25">
      <c r="A76" s="56">
        <f t="shared" si="21"/>
        <v>2023</v>
      </c>
      <c r="B76" s="183">
        <f>IF(MAX($B$65:B75)&lt;(construct+anal_period),B75+1,"")</f>
        <v>12</v>
      </c>
      <c r="C76" s="183">
        <f t="shared" si="22"/>
        <v>9</v>
      </c>
      <c r="D76" s="183">
        <f t="shared" si="1"/>
        <v>9</v>
      </c>
      <c r="E76" s="184">
        <f t="shared" si="2"/>
        <v>1.1625013664559962</v>
      </c>
      <c r="F76" s="57">
        <f t="shared" ca="1" si="3"/>
        <v>335885495.55478865</v>
      </c>
      <c r="G76" s="953"/>
      <c r="H76" s="962">
        <f t="shared" si="24"/>
        <v>0</v>
      </c>
      <c r="I76" s="185">
        <f ca="1">IF(OR(C76&lt;0,C76=""),"",-E76*INDEX('Replacement Costs'!$A$16:$H$57,MATCH(C76,'Replacement Costs'!$C$16:$C$57,0),MATCH("Total Yearly Replacement Costs",'Replacement Costs'!$A$16:$H$16,0)))</f>
        <v>-4552189.386703955</v>
      </c>
      <c r="J76" s="185">
        <f ca="1">IF(AND(C76&gt;=1,C76&lt;anal_period),WorkingCap*SUM(N76:R76)-WorkingCap*SUM(N75:R75),IF(C76&lt;0,0,IF(B76="","",-SUM(J$65:J75))))</f>
        <v>-815924.11721799523</v>
      </c>
      <c r="K76" s="185" t="str">
        <f t="shared" si="4"/>
        <v/>
      </c>
      <c r="L76" s="185" t="str">
        <f t="shared" si="5"/>
        <v/>
      </c>
      <c r="M76" s="185" t="str">
        <f t="shared" si="6"/>
        <v/>
      </c>
      <c r="N76" s="185">
        <f t="shared" ca="1" si="7"/>
        <v>-37258312.772978842</v>
      </c>
      <c r="O76" s="185">
        <f t="shared" ca="1" si="8"/>
        <v>-180314229.97834995</v>
      </c>
      <c r="P76" s="185">
        <f t="shared" ca="1" si="9"/>
        <v>-6755337.3562933318</v>
      </c>
      <c r="Q76" s="185">
        <f t="shared" ca="1" si="10"/>
        <v>0</v>
      </c>
      <c r="R76" s="185">
        <f t="shared" ca="1" si="11"/>
        <v>-44789870.72435452</v>
      </c>
      <c r="S76" s="185">
        <f ca="1">IF(B76="","",IF($B$31=0,"",-'Debt Financing Calculations'!E25))</f>
        <v>-16431880.502550719</v>
      </c>
      <c r="T76" s="185">
        <f t="shared" ca="1" si="12"/>
        <v>50335864.220261276</v>
      </c>
      <c r="U76" s="185">
        <f ca="1">IF(C76="","",IF(C76&lt;-1,0,IF(C76=anal_period,-LOOKUP(C76,depr_yr,depr_cost)-Depreciation!$C$141-Depreciation!$B$166,-LOOKUP(C76,depr_yr,depr_cost))))</f>
        <v>-35092369.09327466</v>
      </c>
      <c r="V76" s="185">
        <f t="shared" ca="1" si="13"/>
        <v>15243495.126986615</v>
      </c>
      <c r="W76" s="186">
        <f t="shared" si="14"/>
        <v>0.25739999999999996</v>
      </c>
      <c r="X76" s="185">
        <f t="shared" ca="1" si="15"/>
        <v>-3923675.645686354</v>
      </c>
      <c r="Y76" s="185">
        <f t="shared" ca="1" si="16"/>
        <v>46412188.574574925</v>
      </c>
      <c r="Z76" s="185">
        <f>IF(C76="","",IF($B$31=0,"",-'Debt Financing Calculations'!F25))</f>
        <v>0</v>
      </c>
      <c r="AA76" s="185">
        <f t="shared" ca="1" si="17"/>
        <v>41044075.070652977</v>
      </c>
      <c r="AB76" s="185">
        <f t="shared" ca="1" si="23"/>
        <v>101886151.10762139</v>
      </c>
      <c r="AC76" s="940">
        <f t="shared" ca="1" si="18"/>
        <v>44967750.716339327</v>
      </c>
      <c r="AD76" s="132"/>
      <c r="AE76" s="944">
        <f t="shared" ca="1" si="19"/>
        <v>158665500</v>
      </c>
      <c r="AF76" s="940">
        <f t="shared" si="20"/>
        <v>0</v>
      </c>
    </row>
    <row r="77" spans="1:32" x14ac:dyDescent="0.25">
      <c r="A77" s="56">
        <f t="shared" si="21"/>
        <v>2024</v>
      </c>
      <c r="B77" s="183">
        <f>IF(MAX($B$65:B76)&lt;(construct+anal_period),B76+1,"")</f>
        <v>13</v>
      </c>
      <c r="C77" s="183">
        <f t="shared" si="22"/>
        <v>10</v>
      </c>
      <c r="D77" s="183">
        <f t="shared" si="1"/>
        <v>10</v>
      </c>
      <c r="E77" s="184">
        <f t="shared" si="2"/>
        <v>1.1845888924186601</v>
      </c>
      <c r="F77" s="57">
        <f t="shared" ca="1" si="3"/>
        <v>342267319.97032964</v>
      </c>
      <c r="G77" s="953"/>
      <c r="H77" s="962">
        <f t="shared" si="24"/>
        <v>0</v>
      </c>
      <c r="I77" s="185">
        <f ca="1">IF(OR(C77&lt;0,C77=""),"",-E77*INDEX('Replacement Costs'!$A$16:$H$57,MATCH(C77,'Replacement Costs'!$C$16:$C$57,0),MATCH("Total Yearly Replacement Costs",'Replacement Costs'!$A$16:$H$16,0)))</f>
        <v>-4638680.9850513292</v>
      </c>
      <c r="J77" s="185">
        <f ca="1">IF(AND(C77&gt;=1,C77&lt;anal_period),WorkingCap*SUM(N77:R77)-WorkingCap*SUM(N76:R76),IF(C77&lt;0,0,IF(B77="","",-SUM(J$65:J76))))</f>
        <v>-1178921.2934298664</v>
      </c>
      <c r="K77" s="185" t="str">
        <f t="shared" si="4"/>
        <v/>
      </c>
      <c r="L77" s="185" t="str">
        <f t="shared" si="5"/>
        <v/>
      </c>
      <c r="M77" s="185" t="str">
        <f t="shared" si="6"/>
        <v/>
      </c>
      <c r="N77" s="185">
        <f t="shared" ca="1" si="7"/>
        <v>-37966220.715665437</v>
      </c>
      <c r="O77" s="185">
        <f t="shared" ca="1" si="8"/>
        <v>-186486438.37166348</v>
      </c>
      <c r="P77" s="185">
        <f t="shared" ca="1" si="9"/>
        <v>-6883688.7660629041</v>
      </c>
      <c r="Q77" s="185">
        <f t="shared" ca="1" si="10"/>
        <v>0</v>
      </c>
      <c r="R77" s="185">
        <f t="shared" ca="1" si="11"/>
        <v>-45640878.268117256</v>
      </c>
      <c r="S77" s="185">
        <f ca="1">IF(B77="","",IF($B$31=0,"",-'Debt Financing Calculations'!E26))</f>
        <v>-16431880.502550719</v>
      </c>
      <c r="T77" s="185">
        <f t="shared" ca="1" si="12"/>
        <v>48858213.346269846</v>
      </c>
      <c r="U77" s="185">
        <f ca="1">IF(C77="","",IF(C77&lt;-1,0,IF(C77=anal_period,-LOOKUP(C77,depr_yr,depr_cost)-Depreciation!$C$141-Depreciation!$B$166,-LOOKUP(C77,depr_yr,depr_cost))))</f>
        <v>-35298903.359582521</v>
      </c>
      <c r="V77" s="185">
        <f t="shared" ca="1" si="13"/>
        <v>13559309.986687325</v>
      </c>
      <c r="W77" s="186">
        <f t="shared" si="14"/>
        <v>0.25739999999999996</v>
      </c>
      <c r="X77" s="185">
        <f t="shared" ca="1" si="15"/>
        <v>-3490166.3905733167</v>
      </c>
      <c r="Y77" s="185">
        <f t="shared" ca="1" si="16"/>
        <v>45368046.955696531</v>
      </c>
      <c r="Z77" s="185">
        <f>IF(C77="","",IF($B$31=0,"",-'Debt Financing Calculations'!F26))</f>
        <v>0</v>
      </c>
      <c r="AA77" s="185">
        <f t="shared" ca="1" si="17"/>
        <v>39550444.677215338</v>
      </c>
      <c r="AB77" s="185">
        <f t="shared" ca="1" si="23"/>
        <v>141436595.78483671</v>
      </c>
      <c r="AC77" s="940">
        <f t="shared" ca="1" si="18"/>
        <v>43040611.067788653</v>
      </c>
      <c r="AD77" s="132"/>
      <c r="AE77" s="944">
        <f t="shared" ca="1" si="19"/>
        <v>158665500</v>
      </c>
      <c r="AF77" s="940">
        <f t="shared" si="20"/>
        <v>0</v>
      </c>
    </row>
    <row r="78" spans="1:32" x14ac:dyDescent="0.25">
      <c r="A78" s="56">
        <f t="shared" si="21"/>
        <v>2025</v>
      </c>
      <c r="B78" s="183">
        <f>IF(MAX($B$65:B77)&lt;(construct+anal_period),B77+1,"")</f>
        <v>14</v>
      </c>
      <c r="C78" s="183">
        <f t="shared" si="22"/>
        <v>11</v>
      </c>
      <c r="D78" s="183">
        <f t="shared" si="1"/>
        <v>11</v>
      </c>
      <c r="E78" s="184">
        <f t="shared" si="2"/>
        <v>1.2070960813746145</v>
      </c>
      <c r="F78" s="57">
        <f t="shared" ca="1" si="3"/>
        <v>348770399.04976588</v>
      </c>
      <c r="G78" s="953"/>
      <c r="H78" s="962">
        <f t="shared" si="24"/>
        <v>0</v>
      </c>
      <c r="I78" s="185">
        <f ca="1">IF(OR(C78&lt;0,C78=""),"",-E78*INDEX('Replacement Costs'!$A$16:$H$57,MATCH(C78,'Replacement Costs'!$C$16:$C$57,0),MATCH("Total Yearly Replacement Costs",'Replacement Costs'!$A$16:$H$16,0)))</f>
        <v>-4726815.923767305</v>
      </c>
      <c r="J78" s="185">
        <f ca="1">IF(AND(C78&gt;=1,C78&lt;anal_period),WorkingCap*SUM(N78:R78)-WorkingCap*SUM(N77:R77),IF(C78&lt;0,0,IF(B78="","",-SUM(J$65:J77))))</f>
        <v>-1422786.710061416</v>
      </c>
      <c r="K78" s="185" t="str">
        <f t="shared" si="4"/>
        <v/>
      </c>
      <c r="L78" s="185" t="str">
        <f t="shared" si="5"/>
        <v/>
      </c>
      <c r="M78" s="185" t="str">
        <f t="shared" si="6"/>
        <v/>
      </c>
      <c r="N78" s="185">
        <f t="shared" ca="1" si="7"/>
        <v>-38687578.909263082</v>
      </c>
      <c r="O78" s="185">
        <f t="shared" ca="1" si="8"/>
        <v>-194252358.13815922</v>
      </c>
      <c r="P78" s="185">
        <f t="shared" ca="1" si="9"/>
        <v>-7014478.8526180992</v>
      </c>
      <c r="Q78" s="185">
        <f t="shared" ca="1" si="10"/>
        <v>0</v>
      </c>
      <c r="R78" s="185">
        <f t="shared" ca="1" si="11"/>
        <v>-46508054.955211475</v>
      </c>
      <c r="S78" s="185">
        <f ca="1">IF(B78="","",IF($B$31=0,"",-'Debt Financing Calculations'!E27))</f>
        <v>-16431880.502550719</v>
      </c>
      <c r="T78" s="185">
        <f t="shared" ca="1" si="12"/>
        <v>45876047.691963315</v>
      </c>
      <c r="U78" s="185">
        <f ca="1">IF(C78="","",IF(C78&lt;-1,0,IF(C78=anal_period,-LOOKUP(C78,depr_yr,depr_cost)-Depreciation!$C$141-Depreciation!$B$166,-LOOKUP(C78,depr_yr,depr_cost))))</f>
        <v>-35524345.064682327</v>
      </c>
      <c r="V78" s="185">
        <f t="shared" ca="1" si="13"/>
        <v>10351702.627280988</v>
      </c>
      <c r="W78" s="186">
        <f t="shared" si="14"/>
        <v>0.25739999999999996</v>
      </c>
      <c r="X78" s="185">
        <f t="shared" ca="1" si="15"/>
        <v>-2664528.2562621259</v>
      </c>
      <c r="Y78" s="185">
        <f t="shared" ca="1" si="16"/>
        <v>43211519.435701191</v>
      </c>
      <c r="Z78" s="185">
        <f>IF(C78="","",IF($B$31=0,"",-'Debt Financing Calculations'!F27))</f>
        <v>0</v>
      </c>
      <c r="AA78" s="185">
        <f t="shared" ca="1" si="17"/>
        <v>37061916.801872469</v>
      </c>
      <c r="AB78" s="185">
        <f t="shared" ca="1" si="23"/>
        <v>178498512.58670917</v>
      </c>
      <c r="AC78" s="940">
        <f t="shared" ca="1" si="18"/>
        <v>39726445.058134593</v>
      </c>
      <c r="AD78" s="132"/>
      <c r="AE78" s="944">
        <f t="shared" ca="1" si="19"/>
        <v>158665500</v>
      </c>
      <c r="AF78" s="940">
        <f t="shared" si="20"/>
        <v>0</v>
      </c>
    </row>
    <row r="79" spans="1:32" x14ac:dyDescent="0.25">
      <c r="A79" s="56">
        <f t="shared" si="21"/>
        <v>2026</v>
      </c>
      <c r="B79" s="183">
        <f>IF(MAX($B$65:B78)&lt;(construct+anal_period),B78+1,"")</f>
        <v>15</v>
      </c>
      <c r="C79" s="183">
        <f t="shared" si="22"/>
        <v>12</v>
      </c>
      <c r="D79" s="183">
        <f t="shared" si="1"/>
        <v>12</v>
      </c>
      <c r="E79" s="184">
        <f t="shared" si="2"/>
        <v>1.2300309069207322</v>
      </c>
      <c r="F79" s="57">
        <f t="shared" ca="1" si="3"/>
        <v>355397036.63171142</v>
      </c>
      <c r="G79" s="953"/>
      <c r="H79" s="962">
        <f t="shared" si="24"/>
        <v>0</v>
      </c>
      <c r="I79" s="185">
        <f ca="1">IF(OR(C79&lt;0,C79=""),"",-E79*INDEX('Replacement Costs'!$A$16:$H$57,MATCH(C79,'Replacement Costs'!$C$16:$C$57,0),MATCH("Total Yearly Replacement Costs",'Replacement Costs'!$A$16:$H$16,0)))</f>
        <v>-4816625.4263188839</v>
      </c>
      <c r="J79" s="185">
        <f ca="1">IF(AND(C79&gt;=1,C79&lt;anal_period),WorkingCap*SUM(N79:R79)-WorkingCap*SUM(N78:R78),IF(C79&lt;0,0,IF(B79="","",-SUM(J$65:J78))))</f>
        <v>-1437940.3390065208</v>
      </c>
      <c r="K79" s="185" t="str">
        <f t="shared" si="4"/>
        <v/>
      </c>
      <c r="L79" s="185" t="str">
        <f t="shared" si="5"/>
        <v/>
      </c>
      <c r="M79" s="185" t="str">
        <f t="shared" si="6"/>
        <v/>
      </c>
      <c r="N79" s="185">
        <f t="shared" ca="1" si="7"/>
        <v>-39422642.908539079</v>
      </c>
      <c r="O79" s="185">
        <f t="shared" ca="1" si="8"/>
        <v>-202086634.92324454</v>
      </c>
      <c r="P79" s="185">
        <f t="shared" ca="1" si="9"/>
        <v>-7147753.950817843</v>
      </c>
      <c r="Q79" s="185">
        <f t="shared" ca="1" si="10"/>
        <v>0</v>
      </c>
      <c r="R79" s="185">
        <f t="shared" ca="1" si="11"/>
        <v>-47391707.999360502</v>
      </c>
      <c r="S79" s="185">
        <f ca="1">IF(B79="","",IF($B$31=0,"",-'Debt Financing Calculations'!E28))</f>
        <v>-16431880.502550719</v>
      </c>
      <c r="T79" s="185">
        <f t="shared" ca="1" si="12"/>
        <v>42916416.347198725</v>
      </c>
      <c r="U79" s="185">
        <f ca="1">IF(C79="","",IF(C79&lt;-1,0,IF(C79=anal_period,-LOOKUP(C79,depr_yr,depr_cost)-Depreciation!$C$141-Depreciation!$B$166,-LOOKUP(C79,depr_yr,depr_cost))))</f>
        <v>-35739086.874446929</v>
      </c>
      <c r="V79" s="185">
        <f t="shared" ca="1" si="13"/>
        <v>7177329.4727517962</v>
      </c>
      <c r="W79" s="186">
        <f t="shared" si="14"/>
        <v>0.25739999999999996</v>
      </c>
      <c r="X79" s="185">
        <f t="shared" ca="1" si="15"/>
        <v>-1847444.606286312</v>
      </c>
      <c r="Y79" s="185">
        <f t="shared" ca="1" si="16"/>
        <v>41068971.740912415</v>
      </c>
      <c r="Z79" s="185">
        <f>IF(C79="","",IF($B$31=0,"",-'Debt Financing Calculations'!F28))</f>
        <v>0</v>
      </c>
      <c r="AA79" s="185">
        <f t="shared" ca="1" si="17"/>
        <v>34814405.97558701</v>
      </c>
      <c r="AB79" s="185">
        <f t="shared" ca="1" si="23"/>
        <v>213312918.56229618</v>
      </c>
      <c r="AC79" s="940">
        <f t="shared" ca="1" si="18"/>
        <v>36661850.58187332</v>
      </c>
      <c r="AD79" s="132"/>
      <c r="AE79" s="944">
        <f t="shared" ca="1" si="19"/>
        <v>158665500</v>
      </c>
      <c r="AF79" s="940">
        <f t="shared" si="20"/>
        <v>0</v>
      </c>
    </row>
    <row r="80" spans="1:32" x14ac:dyDescent="0.25">
      <c r="A80" s="56">
        <f t="shared" si="21"/>
        <v>2027</v>
      </c>
      <c r="B80" s="183">
        <f>IF(MAX($B$65:B79)&lt;(construct+anal_period),B79+1,"")</f>
        <v>16</v>
      </c>
      <c r="C80" s="183">
        <f t="shared" si="22"/>
        <v>13</v>
      </c>
      <c r="D80" s="183">
        <f t="shared" si="1"/>
        <v>13</v>
      </c>
      <c r="E80" s="184">
        <f t="shared" si="2"/>
        <v>1.253401494152226</v>
      </c>
      <c r="F80" s="57">
        <f t="shared" ca="1" si="3"/>
        <v>362149580.32771391</v>
      </c>
      <c r="G80" s="953"/>
      <c r="H80" s="962">
        <f t="shared" si="24"/>
        <v>0</v>
      </c>
      <c r="I80" s="185">
        <f ca="1">IF(OR(C80&lt;0,C80=""),"",-E80*INDEX('Replacement Costs'!$A$16:$H$57,MATCH(C80,'Replacement Costs'!$C$16:$C$57,0),MATCH("Total Yearly Replacement Costs",'Replacement Costs'!$A$16:$H$16,0)))</f>
        <v>-4908141.3094189418</v>
      </c>
      <c r="J80" s="185">
        <f ca="1">IF(AND(C80&gt;=1,C80&lt;anal_period),WorkingCap*SUM(N80:R80)-WorkingCap*SUM(N79:R79),IF(C80&lt;0,0,IF(B80="","",-SUM(J$65:J79))))</f>
        <v>-1343413.8387195095</v>
      </c>
      <c r="K80" s="185" t="str">
        <f t="shared" si="4"/>
        <v/>
      </c>
      <c r="L80" s="185" t="str">
        <f t="shared" si="5"/>
        <v/>
      </c>
      <c r="M80" s="185" t="str">
        <f t="shared" si="6"/>
        <v/>
      </c>
      <c r="N80" s="185">
        <f t="shared" ca="1" si="7"/>
        <v>-40171673.123801313</v>
      </c>
      <c r="O80" s="185">
        <f t="shared" ca="1" si="8"/>
        <v>-209257447.18905899</v>
      </c>
      <c r="P80" s="185">
        <f t="shared" ca="1" si="9"/>
        <v>-7283561.2758833813</v>
      </c>
      <c r="Q80" s="185">
        <f t="shared" ca="1" si="10"/>
        <v>0</v>
      </c>
      <c r="R80" s="185">
        <f t="shared" ca="1" si="11"/>
        <v>-48292150.451348342</v>
      </c>
      <c r="S80" s="185">
        <f ca="1">IF(B80="","",IF($B$31=0,"",-'Debt Financing Calculations'!E29))</f>
        <v>-16431880.502550719</v>
      </c>
      <c r="T80" s="185">
        <f t="shared" ca="1" si="12"/>
        <v>40712867.785071135</v>
      </c>
      <c r="U80" s="185">
        <f ca="1">IF(C80="","",IF(C80&lt;-1,0,IF(C80=anal_period,-LOOKUP(C80,depr_yr,depr_cost)-Depreciation!$C$141-Depreciation!$B$166,-LOOKUP(C80,depr_yr,depr_cost))))</f>
        <v>-35972892.066329166</v>
      </c>
      <c r="V80" s="185">
        <f t="shared" ca="1" si="13"/>
        <v>4739975.7187419683</v>
      </c>
      <c r="W80" s="186">
        <f t="shared" si="14"/>
        <v>0.25739999999999996</v>
      </c>
      <c r="X80" s="185">
        <f t="shared" ca="1" si="15"/>
        <v>-1220069.7500041826</v>
      </c>
      <c r="Y80" s="185">
        <f t="shared" ca="1" si="16"/>
        <v>39492798.035066955</v>
      </c>
      <c r="Z80" s="185">
        <f>IF(C80="","",IF($B$31=0,"",-'Debt Financing Calculations'!F29))</f>
        <v>0</v>
      </c>
      <c r="AA80" s="185">
        <f t="shared" ca="1" si="17"/>
        <v>33241242.886928502</v>
      </c>
      <c r="AB80" s="185">
        <f t="shared" ca="1" si="23"/>
        <v>246554161.44922468</v>
      </c>
      <c r="AC80" s="940">
        <f t="shared" ca="1" si="18"/>
        <v>34461312.636932686</v>
      </c>
      <c r="AD80" s="132"/>
      <c r="AE80" s="944">
        <f t="shared" ca="1" si="19"/>
        <v>158665500</v>
      </c>
      <c r="AF80" s="940">
        <f t="shared" si="20"/>
        <v>0</v>
      </c>
    </row>
    <row r="81" spans="1:32" x14ac:dyDescent="0.25">
      <c r="A81" s="56">
        <f t="shared" si="21"/>
        <v>2028</v>
      </c>
      <c r="B81" s="183">
        <f>IF(MAX($B$65:B80)&lt;(construct+anal_period),B80+1,"")</f>
        <v>17</v>
      </c>
      <c r="C81" s="183">
        <f t="shared" si="22"/>
        <v>14</v>
      </c>
      <c r="D81" s="183">
        <f t="shared" si="1"/>
        <v>14</v>
      </c>
      <c r="E81" s="184">
        <f t="shared" si="2"/>
        <v>1.277216122541118</v>
      </c>
      <c r="F81" s="57">
        <f t="shared" ca="1" si="3"/>
        <v>369030422.35394043</v>
      </c>
      <c r="G81" s="953"/>
      <c r="H81" s="962">
        <f t="shared" si="24"/>
        <v>0</v>
      </c>
      <c r="I81" s="185">
        <f ca="1">IF(OR(C81&lt;0,C81=""),"",-E81*INDEX('Replacement Costs'!$A$16:$H$57,MATCH(C81,'Replacement Costs'!$C$16:$C$57,0),MATCH("Total Yearly Replacement Costs",'Replacement Costs'!$A$16:$H$16,0)))</f>
        <v>-5001395.9942979002</v>
      </c>
      <c r="J81" s="185">
        <f ca="1">IF(AND(C81&gt;=1,C81&lt;anal_period),WorkingCap*SUM(N81:R81)-WorkingCap*SUM(N80:R80),IF(C81&lt;0,0,IF(B81="","",-SUM(J$65:J80))))</f>
        <v>-1376874.1658676267</v>
      </c>
      <c r="K81" s="185" t="str">
        <f t="shared" si="4"/>
        <v/>
      </c>
      <c r="L81" s="185" t="str">
        <f t="shared" si="5"/>
        <v/>
      </c>
      <c r="M81" s="185" t="str">
        <f t="shared" si="6"/>
        <v/>
      </c>
      <c r="N81" s="185">
        <f t="shared" ca="1" si="7"/>
        <v>-40934934.913153529</v>
      </c>
      <c r="O81" s="185">
        <f t="shared" ca="1" si="8"/>
        <v>-216617407.98267359</v>
      </c>
      <c r="P81" s="185">
        <f t="shared" ca="1" si="9"/>
        <v>-7421948.9401251646</v>
      </c>
      <c r="Q81" s="185">
        <f t="shared" ca="1" si="10"/>
        <v>0</v>
      </c>
      <c r="R81" s="185">
        <f t="shared" ca="1" si="11"/>
        <v>-49209701.309923947</v>
      </c>
      <c r="S81" s="185">
        <f ca="1">IF(B81="","",IF($B$31=0,"",-'Debt Financing Calculations'!E30))</f>
        <v>-16431880.502550719</v>
      </c>
      <c r="T81" s="185">
        <f t="shared" ca="1" si="12"/>
        <v>38414548.705513477</v>
      </c>
      <c r="U81" s="185">
        <f ca="1">IF(C81="","",IF(C81&lt;-1,0,IF(C81=anal_period,-LOOKUP(C81,depr_yr,depr_cost)-Depreciation!$C$141-Depreciation!$B$166,-LOOKUP(C81,depr_yr,depr_cost))))</f>
        <v>-36196156.269125044</v>
      </c>
      <c r="V81" s="185">
        <f t="shared" ca="1" si="13"/>
        <v>2218392.436388433</v>
      </c>
      <c r="W81" s="186">
        <f t="shared" si="14"/>
        <v>0.25739999999999996</v>
      </c>
      <c r="X81" s="185">
        <f t="shared" ca="1" si="15"/>
        <v>-571014.21312638256</v>
      </c>
      <c r="Y81" s="185">
        <f t="shared" ca="1" si="16"/>
        <v>37843534.492387094</v>
      </c>
      <c r="Z81" s="185">
        <f>IF(C81="","",IF($B$31=0,"",-'Debt Financing Calculations'!F30))</f>
        <v>0</v>
      </c>
      <c r="AA81" s="185">
        <f t="shared" ca="1" si="17"/>
        <v>31465264.332221568</v>
      </c>
      <c r="AB81" s="185">
        <f t="shared" ca="1" si="23"/>
        <v>278019425.78144622</v>
      </c>
      <c r="AC81" s="940">
        <f t="shared" ca="1" si="18"/>
        <v>32036278.545347951</v>
      </c>
      <c r="AD81" s="132"/>
      <c r="AE81" s="944">
        <f t="shared" ca="1" si="19"/>
        <v>158665500</v>
      </c>
      <c r="AF81" s="940">
        <f t="shared" si="20"/>
        <v>0</v>
      </c>
    </row>
    <row r="82" spans="1:32" x14ac:dyDescent="0.25">
      <c r="A82" s="56">
        <f t="shared" si="21"/>
        <v>2029</v>
      </c>
      <c r="B82" s="183">
        <f>IF(MAX($B$65:B81)&lt;(construct+anal_period),B81+1,"")</f>
        <v>18</v>
      </c>
      <c r="C82" s="183">
        <f t="shared" si="22"/>
        <v>15</v>
      </c>
      <c r="D82" s="183">
        <f t="shared" si="1"/>
        <v>15</v>
      </c>
      <c r="E82" s="184">
        <f t="shared" si="2"/>
        <v>1.3014832288693996</v>
      </c>
      <c r="F82" s="57">
        <f t="shared" ca="1" si="3"/>
        <v>376042000.37866539</v>
      </c>
      <c r="G82" s="953"/>
      <c r="H82" s="962">
        <f t="shared" si="24"/>
        <v>0</v>
      </c>
      <c r="I82" s="185">
        <f ca="1">IF(OR(C82&lt;0,C82=""),"",-E82*INDEX('Replacement Costs'!$A$16:$H$57,MATCH(C82,'Replacement Costs'!$C$16:$C$57,0),MATCH("Total Yearly Replacement Costs",'Replacement Costs'!$A$16:$H$16,0)))</f>
        <v>-5096422.5181895616</v>
      </c>
      <c r="J82" s="185">
        <f ca="1">IF(AND(C82&gt;=1,C82&lt;anal_period),WorkingCap*SUM(N82:R82)-WorkingCap*SUM(N81:R81),IF(C82&lt;0,0,IF(B82="","",-SUM(J$65:J81))))</f>
        <v>-1328803.8819730207</v>
      </c>
      <c r="K82" s="185" t="str">
        <f t="shared" si="4"/>
        <v/>
      </c>
      <c r="L82" s="185" t="str">
        <f t="shared" si="5"/>
        <v/>
      </c>
      <c r="M82" s="185" t="str">
        <f t="shared" si="6"/>
        <v/>
      </c>
      <c r="N82" s="185">
        <f t="shared" ca="1" si="7"/>
        <v>-41712698.676503457</v>
      </c>
      <c r="O82" s="185">
        <f t="shared" ca="1" si="8"/>
        <v>-223622335.4110595</v>
      </c>
      <c r="P82" s="185">
        <f t="shared" ca="1" si="9"/>
        <v>-7562965.9699875442</v>
      </c>
      <c r="Q82" s="185">
        <f t="shared" ca="1" si="10"/>
        <v>0</v>
      </c>
      <c r="R82" s="185">
        <f t="shared" ca="1" si="11"/>
        <v>-50144685.634812519</v>
      </c>
      <c r="S82" s="185">
        <f ca="1">IF(B82="","",IF($B$31=0,"",-'Debt Financing Calculations'!E31))</f>
        <v>-16431880.502550719</v>
      </c>
      <c r="T82" s="185">
        <f t="shared" ca="1" si="12"/>
        <v>36567434.183751643</v>
      </c>
      <c r="U82" s="185">
        <f ca="1">IF(C82="","",IF(C82&lt;-1,0,IF(C82=anal_period,-LOOKUP(C82,depr_yr,depr_cost)-Depreciation!$C$141-Depreciation!$B$166,-LOOKUP(C82,depr_yr,depr_cost))))</f>
        <v>-36438645.779506154</v>
      </c>
      <c r="V82" s="185">
        <f t="shared" ca="1" si="13"/>
        <v>128788.40424548835</v>
      </c>
      <c r="W82" s="186">
        <f t="shared" si="14"/>
        <v>0.25739999999999996</v>
      </c>
      <c r="X82" s="185">
        <f t="shared" ca="1" si="15"/>
        <v>-33150.135252788692</v>
      </c>
      <c r="Y82" s="185">
        <f t="shared" ca="1" si="16"/>
        <v>36534284.048498854</v>
      </c>
      <c r="Z82" s="185">
        <f>IF(C82="","",IF($B$31=0,"",-'Debt Financing Calculations'!F31))</f>
        <v>0</v>
      </c>
      <c r="AA82" s="185">
        <f t="shared" ca="1" si="17"/>
        <v>30109057.648336273</v>
      </c>
      <c r="AB82" s="185">
        <f t="shared" ca="1" si="23"/>
        <v>308128483.42978251</v>
      </c>
      <c r="AC82" s="940">
        <f t="shared" ca="1" si="18"/>
        <v>30142207.783589061</v>
      </c>
      <c r="AD82" s="132"/>
      <c r="AE82" s="944">
        <f t="shared" ca="1" si="19"/>
        <v>158665500</v>
      </c>
      <c r="AF82" s="940">
        <f t="shared" si="20"/>
        <v>0</v>
      </c>
    </row>
    <row r="83" spans="1:32" x14ac:dyDescent="0.25">
      <c r="A83" s="56">
        <f t="shared" si="21"/>
        <v>2030</v>
      </c>
      <c r="B83" s="183">
        <f>IF(MAX($B$65:B82)&lt;(construct+anal_period),B82+1,"")</f>
        <v>19</v>
      </c>
      <c r="C83" s="183">
        <f t="shared" si="22"/>
        <v>16</v>
      </c>
      <c r="D83" s="183">
        <f t="shared" si="1"/>
        <v>16</v>
      </c>
      <c r="E83" s="184">
        <f t="shared" si="2"/>
        <v>1.3262114102179181</v>
      </c>
      <c r="F83" s="57">
        <f t="shared" ca="1" si="3"/>
        <v>383186798.38585997</v>
      </c>
      <c r="G83" s="953"/>
      <c r="H83" s="962">
        <f t="shared" si="24"/>
        <v>0</v>
      </c>
      <c r="I83" s="185">
        <f ca="1">IF(OR(C83&lt;0,C83=""),"",-E83*INDEX('Replacement Costs'!$A$16:$H$57,MATCH(C83,'Replacement Costs'!$C$16:$C$57,0),MATCH("Total Yearly Replacement Costs",'Replacement Costs'!$A$16:$H$16,0)))</f>
        <v>-5193254.5460351631</v>
      </c>
      <c r="J83" s="185">
        <f ca="1">IF(AND(C83&gt;=1,C83&lt;anal_period),WorkingCap*SUM(N83:R83)-WorkingCap*SUM(N82:R82),IF(C83&lt;0,0,IF(B83="","",-SUM(J$65:J82))))</f>
        <v>-1039083.7638948709</v>
      </c>
      <c r="K83" s="185" t="str">
        <f t="shared" si="4"/>
        <v/>
      </c>
      <c r="L83" s="185" t="str">
        <f t="shared" si="5"/>
        <v/>
      </c>
      <c r="M83" s="185" t="str">
        <f t="shared" si="6"/>
        <v/>
      </c>
      <c r="N83" s="185">
        <f t="shared" ca="1" si="7"/>
        <v>-42505239.951357022</v>
      </c>
      <c r="O83" s="185">
        <f t="shared" ca="1" si="8"/>
        <v>-228660573.84834722</v>
      </c>
      <c r="P83" s="185">
        <f t="shared" ca="1" si="9"/>
        <v>-7706662.3234173069</v>
      </c>
      <c r="Q83" s="185">
        <f t="shared" ca="1" si="10"/>
        <v>0</v>
      </c>
      <c r="R83" s="185">
        <f t="shared" ca="1" si="11"/>
        <v>-51097434.661873952</v>
      </c>
      <c r="S83" s="185">
        <f ca="1">IF(B83="","",IF($B$31=0,"",-'Debt Financing Calculations'!E32))</f>
        <v>-16431880.502550719</v>
      </c>
      <c r="T83" s="185">
        <f t="shared" ca="1" si="12"/>
        <v>36785007.098313749</v>
      </c>
      <c r="U83" s="185">
        <f ca="1">IF(C83="","",IF(C83&lt;-1,0,IF(C83=anal_period,-LOOKUP(C83,depr_yr,depr_cost)-Depreciation!$C$141-Depreciation!$B$166,-LOOKUP(C83,depr_yr,depr_cost))))</f>
        <v>-36670759.302852415</v>
      </c>
      <c r="V83" s="185">
        <f t="shared" ca="1" si="13"/>
        <v>114247.79546133429</v>
      </c>
      <c r="W83" s="186">
        <f t="shared" si="14"/>
        <v>0.25739999999999996</v>
      </c>
      <c r="X83" s="185">
        <f t="shared" ca="1" si="15"/>
        <v>-29407.38255174744</v>
      </c>
      <c r="Y83" s="185">
        <f t="shared" ca="1" si="16"/>
        <v>36755599.715762004</v>
      </c>
      <c r="Z83" s="185">
        <f>IF(C83="","",IF($B$31=0,"",-'Debt Financing Calculations'!F32))</f>
        <v>0</v>
      </c>
      <c r="AA83" s="185">
        <f t="shared" ca="1" si="17"/>
        <v>30523261.405831967</v>
      </c>
      <c r="AB83" s="185">
        <f t="shared" ca="1" si="23"/>
        <v>338651744.8356145</v>
      </c>
      <c r="AC83" s="940">
        <f t="shared" ca="1" si="18"/>
        <v>30552668.788383715</v>
      </c>
      <c r="AD83" s="132"/>
      <c r="AE83" s="944">
        <f t="shared" ca="1" si="19"/>
        <v>158665500</v>
      </c>
      <c r="AF83" s="940">
        <f t="shared" si="20"/>
        <v>0</v>
      </c>
    </row>
    <row r="84" spans="1:32" x14ac:dyDescent="0.25">
      <c r="A84" s="56">
        <f t="shared" si="21"/>
        <v>2031</v>
      </c>
      <c r="B84" s="183">
        <f>IF(MAX($B$65:B83)&lt;(construct+anal_period),B83+1,"")</f>
        <v>20</v>
      </c>
      <c r="C84" s="183">
        <f t="shared" si="22"/>
        <v>17</v>
      </c>
      <c r="D84" s="183">
        <f t="shared" si="1"/>
        <v>17</v>
      </c>
      <c r="E84" s="184">
        <f t="shared" si="2"/>
        <v>1.3514094270120585</v>
      </c>
      <c r="F84" s="57">
        <f t="shared" ca="1" si="3"/>
        <v>390467347.55519128</v>
      </c>
      <c r="G84" s="953"/>
      <c r="H84" s="962">
        <f t="shared" si="24"/>
        <v>0</v>
      </c>
      <c r="I84" s="185">
        <f ca="1">IF(OR(C84&lt;0,C84=""),"",-E84*INDEX('Replacement Costs'!$A$16:$H$57,MATCH(C84,'Replacement Costs'!$C$16:$C$57,0),MATCH("Total Yearly Replacement Costs",'Replacement Costs'!$A$16:$H$16,0)))</f>
        <v>-5291926.3824098315</v>
      </c>
      <c r="J84" s="185">
        <f ca="1">IF(AND(C84&gt;=1,C84&lt;anal_period),WorkingCap*SUM(N84:R84)-WorkingCap*SUM(N83:R83),IF(C84&lt;0,0,IF(B84="","",-SUM(J$65:J83))))</f>
        <v>-1079253.5581089109</v>
      </c>
      <c r="K84" s="185" t="str">
        <f t="shared" si="4"/>
        <v/>
      </c>
      <c r="L84" s="185" t="str">
        <f t="shared" si="5"/>
        <v/>
      </c>
      <c r="M84" s="185" t="str">
        <f t="shared" si="6"/>
        <v/>
      </c>
      <c r="N84" s="185">
        <f t="shared" ca="1" si="7"/>
        <v>-43312839.510432802</v>
      </c>
      <c r="O84" s="185">
        <f t="shared" ca="1" si="8"/>
        <v>-233930720.16727698</v>
      </c>
      <c r="P84" s="185">
        <f t="shared" ca="1" si="9"/>
        <v>-7853088.9075622354</v>
      </c>
      <c r="Q84" s="185">
        <f t="shared" ca="1" si="10"/>
        <v>0</v>
      </c>
      <c r="R84" s="185">
        <f t="shared" ca="1" si="11"/>
        <v>-52068285.920449555</v>
      </c>
      <c r="S84" s="185">
        <f ca="1">IF(B84="","",IF($B$31=0,"",-'Debt Financing Calculations'!E33))</f>
        <v>-16431880.502550719</v>
      </c>
      <c r="T84" s="185">
        <f t="shared" ca="1" si="12"/>
        <v>36870532.546918988</v>
      </c>
      <c r="U84" s="185">
        <f ca="1">IF(C84="","",IF(C84&lt;-1,0,IF(C84=anal_period,-LOOKUP(C84,depr_yr,depr_cost)-Depreciation!$C$141-Depreciation!$B$166,-LOOKUP(C84,depr_yr,depr_cost))))</f>
        <v>-36922266.270874359</v>
      </c>
      <c r="V84" s="185">
        <f t="shared" ca="1" si="13"/>
        <v>-51733.723955370486</v>
      </c>
      <c r="W84" s="186">
        <f t="shared" si="14"/>
        <v>0.25739999999999996</v>
      </c>
      <c r="X84" s="185">
        <f t="shared" ca="1" si="15"/>
        <v>13316.26054611236</v>
      </c>
      <c r="Y84" s="185">
        <f t="shared" ca="1" si="16"/>
        <v>36883848.807465099</v>
      </c>
      <c r="Z84" s="185">
        <f>IF(C84="","",IF($B$31=0,"",-'Debt Financing Calculations'!F33))</f>
        <v>0</v>
      </c>
      <c r="AA84" s="185">
        <f t="shared" ca="1" si="17"/>
        <v>30512668.866946355</v>
      </c>
      <c r="AB84" s="185">
        <f t="shared" ca="1" si="23"/>
        <v>369164413.70256084</v>
      </c>
      <c r="AC84" s="940">
        <f t="shared" ca="1" si="18"/>
        <v>30499352.606400244</v>
      </c>
      <c r="AD84" s="132"/>
      <c r="AE84" s="944">
        <f t="shared" ca="1" si="19"/>
        <v>158665500</v>
      </c>
      <c r="AF84" s="940">
        <f t="shared" si="20"/>
        <v>0</v>
      </c>
    </row>
    <row r="85" spans="1:32" x14ac:dyDescent="0.25">
      <c r="A85" s="56">
        <f t="shared" si="21"/>
        <v>2032</v>
      </c>
      <c r="B85" s="183">
        <f>IF(MAX($B$65:B84)&lt;(construct+anal_period),B84+1,"")</f>
        <v>21</v>
      </c>
      <c r="C85" s="183">
        <f t="shared" si="22"/>
        <v>18</v>
      </c>
      <c r="D85" s="183">
        <f t="shared" si="1"/>
        <v>18</v>
      </c>
      <c r="E85" s="184">
        <f t="shared" si="2"/>
        <v>1.3770862061252875</v>
      </c>
      <c r="F85" s="57">
        <f t="shared" ca="1" si="3"/>
        <v>397886227.15873992</v>
      </c>
      <c r="G85" s="953"/>
      <c r="H85" s="962">
        <f t="shared" si="24"/>
        <v>0</v>
      </c>
      <c r="I85" s="185">
        <f ca="1">IF(OR(C85&lt;0,C85=""),"",-E85*INDEX('Replacement Costs'!$A$16:$H$57,MATCH(C85,'Replacement Costs'!$C$16:$C$57,0),MATCH("Total Yearly Replacement Costs",'Replacement Costs'!$A$16:$H$16,0)))</f>
        <v>-5392472.9836756177</v>
      </c>
      <c r="J85" s="185">
        <f ca="1">IF(AND(C85&gt;=1,C85&lt;anal_period),WorkingCap*SUM(N85:R85)-WorkingCap*SUM(N84:R84),IF(C85&lt;0,0,IF(B85="","",-SUM(J$65:J84))))</f>
        <v>-872162.8441247344</v>
      </c>
      <c r="K85" s="185" t="str">
        <f t="shared" si="4"/>
        <v/>
      </c>
      <c r="L85" s="185" t="str">
        <f t="shared" si="5"/>
        <v/>
      </c>
      <c r="M85" s="185" t="str">
        <f t="shared" si="6"/>
        <v/>
      </c>
      <c r="N85" s="185">
        <f t="shared" ca="1" si="7"/>
        <v>-44135783.461131029</v>
      </c>
      <c r="O85" s="185">
        <f t="shared" ca="1" si="8"/>
        <v>-237783689.0556781</v>
      </c>
      <c r="P85" s="185">
        <f t="shared" ca="1" si="9"/>
        <v>-8002297.5968059171</v>
      </c>
      <c r="Q85" s="185">
        <f t="shared" ca="1" si="10"/>
        <v>0</v>
      </c>
      <c r="R85" s="185">
        <f t="shared" ca="1" si="11"/>
        <v>-53057583.352938093</v>
      </c>
      <c r="S85" s="185">
        <f ca="1">IF(B85="","",IF($B$31=0,"",-'Debt Financing Calculations'!E34))</f>
        <v>-16431880.502550719</v>
      </c>
      <c r="T85" s="185">
        <f t="shared" ca="1" si="12"/>
        <v>38474993.189636052</v>
      </c>
      <c r="U85" s="185">
        <f ca="1">IF(C85="","",IF(C85&lt;-1,0,IF(C85=anal_period,-LOOKUP(C85,depr_yr,depr_cost)-Depreciation!$C$141-Depreciation!$B$166,-LOOKUP(C85,depr_yr,depr_cost))))</f>
        <v>-37163568.5835566</v>
      </c>
      <c r="V85" s="185">
        <f t="shared" ca="1" si="13"/>
        <v>1311424.6060794517</v>
      </c>
      <c r="W85" s="186">
        <f t="shared" si="14"/>
        <v>0.25739999999999996</v>
      </c>
      <c r="X85" s="185">
        <f t="shared" ca="1" si="15"/>
        <v>-337560.69360485085</v>
      </c>
      <c r="Y85" s="185">
        <f t="shared" ca="1" si="16"/>
        <v>38137432.496031202</v>
      </c>
      <c r="Z85" s="185">
        <f>IF(C85="","",IF($B$31=0,"",-'Debt Financing Calculations'!F34))</f>
        <v>0</v>
      </c>
      <c r="AA85" s="185">
        <f t="shared" ca="1" si="17"/>
        <v>31872796.66823085</v>
      </c>
      <c r="AB85" s="185">
        <f t="shared" ca="1" si="23"/>
        <v>401037210.37079167</v>
      </c>
      <c r="AC85" s="940">
        <f t="shared" ca="1" si="18"/>
        <v>32210357.3618357</v>
      </c>
      <c r="AD85" s="132"/>
      <c r="AE85" s="944">
        <f t="shared" ca="1" si="19"/>
        <v>158665500</v>
      </c>
      <c r="AF85" s="940">
        <f t="shared" si="20"/>
        <v>0</v>
      </c>
    </row>
    <row r="86" spans="1:32" x14ac:dyDescent="0.25">
      <c r="A86" s="56">
        <f t="shared" si="21"/>
        <v>2033</v>
      </c>
      <c r="B86" s="183">
        <f>IF(MAX($B$65:B85)&lt;(construct+anal_period),B85+1,"")</f>
        <v>22</v>
      </c>
      <c r="C86" s="183">
        <f t="shared" si="22"/>
        <v>19</v>
      </c>
      <c r="D86" s="183">
        <f t="shared" si="1"/>
        <v>19</v>
      </c>
      <c r="E86" s="184">
        <f t="shared" si="2"/>
        <v>1.4032508440416678</v>
      </c>
      <c r="F86" s="57">
        <f t="shared" ca="1" si="3"/>
        <v>405446065.47475588</v>
      </c>
      <c r="G86" s="953"/>
      <c r="H86" s="962">
        <f t="shared" si="24"/>
        <v>0</v>
      </c>
      <c r="I86" s="185">
        <f ca="1">IF(OR(C86&lt;0,C86=""),"",-E86*INDEX('Replacement Costs'!$A$16:$H$57,MATCH(C86,'Replacement Costs'!$C$16:$C$57,0),MATCH("Total Yearly Replacement Costs",'Replacement Costs'!$A$16:$H$16,0)))</f>
        <v>-5494929.9703654535</v>
      </c>
      <c r="J86" s="185">
        <f ca="1">IF(AND(C86&gt;=1,C86&lt;anal_period),WorkingCap*SUM(N86:R86)-WorkingCap*SUM(N85:R85),IF(C86&lt;0,0,IF(B86="","",-SUM(J$65:J85))))</f>
        <v>-640869.12891220301</v>
      </c>
      <c r="K86" s="185" t="str">
        <f t="shared" si="4"/>
        <v/>
      </c>
      <c r="L86" s="185" t="str">
        <f t="shared" si="5"/>
        <v/>
      </c>
      <c r="M86" s="185" t="str">
        <f t="shared" si="6"/>
        <v/>
      </c>
      <c r="N86" s="185">
        <f t="shared" ca="1" si="7"/>
        <v>-44974363.346892506</v>
      </c>
      <c r="O86" s="185">
        <f t="shared" ca="1" si="8"/>
        <v>-240057432.29128617</v>
      </c>
      <c r="P86" s="185">
        <f t="shared" ca="1" si="9"/>
        <v>-8154341.2511452287</v>
      </c>
      <c r="Q86" s="185">
        <f t="shared" ca="1" si="10"/>
        <v>0</v>
      </c>
      <c r="R86" s="185">
        <f t="shared" ca="1" si="11"/>
        <v>-54065677.436643906</v>
      </c>
      <c r="S86" s="185">
        <f ca="1">IF(B86="","",IF($B$31=0,"",-'Debt Financing Calculations'!E35))</f>
        <v>-16431880.502550719</v>
      </c>
      <c r="T86" s="185">
        <f t="shared" ca="1" si="12"/>
        <v>41762370.646237314</v>
      </c>
      <c r="U86" s="185">
        <f ca="1">IF(C86="","",IF(C86&lt;-1,0,IF(C86=anal_period,-LOOKUP(C86,depr_yr,depr_cost)-Depreciation!$C$141-Depreciation!$B$166,-LOOKUP(C86,depr_yr,depr_cost))))</f>
        <v>-37424438.927911915</v>
      </c>
      <c r="V86" s="185">
        <f t="shared" ca="1" si="13"/>
        <v>4337931.7183253989</v>
      </c>
      <c r="W86" s="186">
        <f t="shared" si="14"/>
        <v>0.25739999999999996</v>
      </c>
      <c r="X86" s="185">
        <f t="shared" ca="1" si="15"/>
        <v>-1116583.6242969574</v>
      </c>
      <c r="Y86" s="185">
        <f t="shared" ca="1" si="16"/>
        <v>40645787.021940358</v>
      </c>
      <c r="Z86" s="185">
        <f>IF(C86="","",IF($B$31=0,"",-'Debt Financing Calculations'!F35))</f>
        <v>0</v>
      </c>
      <c r="AA86" s="185">
        <f t="shared" ca="1" si="17"/>
        <v>34509987.922662698</v>
      </c>
      <c r="AB86" s="185">
        <f t="shared" ca="1" si="23"/>
        <v>435547198.29345435</v>
      </c>
      <c r="AC86" s="940">
        <f t="shared" ca="1" si="18"/>
        <v>35626571.546959653</v>
      </c>
      <c r="AD86" s="132"/>
      <c r="AE86" s="944">
        <f t="shared" ca="1" si="19"/>
        <v>158665500</v>
      </c>
      <c r="AF86" s="940">
        <f t="shared" si="20"/>
        <v>0</v>
      </c>
    </row>
    <row r="87" spans="1:32" x14ac:dyDescent="0.25">
      <c r="A87" s="56">
        <f t="shared" si="21"/>
        <v>2034</v>
      </c>
      <c r="B87" s="183">
        <f>IF(MAX($B$65:B86)&lt;(construct+anal_period),B86+1,"")</f>
        <v>23</v>
      </c>
      <c r="C87" s="183">
        <f t="shared" si="22"/>
        <v>20</v>
      </c>
      <c r="D87" s="183">
        <f t="shared" si="1"/>
        <v>20</v>
      </c>
      <c r="E87" s="184">
        <f t="shared" si="2"/>
        <v>1.4299126100784596</v>
      </c>
      <c r="F87" s="57">
        <f t="shared" ca="1" si="3"/>
        <v>413149540.71877629</v>
      </c>
      <c r="G87" s="953"/>
      <c r="H87" s="962">
        <f t="shared" si="24"/>
        <v>0</v>
      </c>
      <c r="I87" s="185">
        <f ca="1">IF(OR(C87&lt;0,C87=""),"",-E87*INDEX('Replacement Costs'!$A$16:$H$57,MATCH(C87,'Replacement Costs'!$C$16:$C$57,0),MATCH("Total Yearly Replacement Costs",'Replacement Costs'!$A$16:$H$16,0)))</f>
        <v>-5599333.6398023982</v>
      </c>
      <c r="J87" s="185">
        <f ca="1">IF(AND(C87&gt;=1,C87&lt;anal_period),WorkingCap*SUM(N87:R87)-WorkingCap*SUM(N86:R86),IF(C87&lt;0,0,IF(B87="","",-SUM(J$65:J86))))</f>
        <v>-970009.28518812358</v>
      </c>
      <c r="K87" s="185" t="str">
        <f t="shared" si="4"/>
        <v/>
      </c>
      <c r="L87" s="185" t="str">
        <f t="shared" si="5"/>
        <v/>
      </c>
      <c r="M87" s="185" t="str">
        <f t="shared" si="6"/>
        <v/>
      </c>
      <c r="N87" s="185">
        <f t="shared" ca="1" si="7"/>
        <v>-45828876.250483468</v>
      </c>
      <c r="O87" s="185">
        <f t="shared" ca="1" si="8"/>
        <v>-244487467.60054809</v>
      </c>
      <c r="P87" s="185">
        <f t="shared" ca="1" si="9"/>
        <v>-8309273.7349169888</v>
      </c>
      <c r="Q87" s="185">
        <f t="shared" ca="1" si="10"/>
        <v>0</v>
      </c>
      <c r="R87" s="185">
        <f t="shared" ca="1" si="11"/>
        <v>-55092925.307940148</v>
      </c>
      <c r="S87" s="185">
        <f ca="1">IF(B87="","",IF($B$31=0,"",-'Debt Financing Calculations'!E36))</f>
        <v>-16431880.502550719</v>
      </c>
      <c r="T87" s="185">
        <f t="shared" ca="1" si="12"/>
        <v>42999117.322336912</v>
      </c>
      <c r="U87" s="185">
        <f ca="1">IF(C87="","",IF(C87&lt;-1,0,IF(C87=anal_period,-LOOKUP(C87,depr_yr,depr_cost)-Depreciation!$C$141-Depreciation!$B$166,-LOOKUP(C87,depr_yr,depr_cost))))</f>
        <v>-37675282.521077864</v>
      </c>
      <c r="V87" s="185">
        <f t="shared" ca="1" si="13"/>
        <v>5323834.8012590483</v>
      </c>
      <c r="W87" s="186">
        <f t="shared" si="14"/>
        <v>0.25739999999999996</v>
      </c>
      <c r="X87" s="185">
        <f t="shared" ca="1" si="15"/>
        <v>-1370355.0778440789</v>
      </c>
      <c r="Y87" s="185">
        <f t="shared" ca="1" si="16"/>
        <v>41628762.244492836</v>
      </c>
      <c r="Z87" s="185">
        <f>IF(C87="","",IF($B$31=0,"",-'Debt Financing Calculations'!F36))</f>
        <v>0</v>
      </c>
      <c r="AA87" s="185">
        <f t="shared" ca="1" si="17"/>
        <v>35059419.319502316</v>
      </c>
      <c r="AB87" s="185">
        <f t="shared" ca="1" si="23"/>
        <v>470606617.61295664</v>
      </c>
      <c r="AC87" s="940">
        <f t="shared" ca="1" si="18"/>
        <v>36429774.397346392</v>
      </c>
      <c r="AD87" s="132"/>
      <c r="AE87" s="944">
        <f t="shared" ca="1" si="19"/>
        <v>158665500</v>
      </c>
      <c r="AF87" s="940">
        <f t="shared" si="20"/>
        <v>0</v>
      </c>
    </row>
    <row r="88" spans="1:32" x14ac:dyDescent="0.25">
      <c r="A88" s="56">
        <f t="shared" si="21"/>
        <v>2035</v>
      </c>
      <c r="B88" s="183">
        <f>IF(MAX($B$65:B87)&lt;(construct+anal_period),B87+1,"")</f>
        <v>24</v>
      </c>
      <c r="C88" s="183">
        <f t="shared" si="22"/>
        <v>21</v>
      </c>
      <c r="D88" s="183">
        <f t="shared" si="1"/>
        <v>21</v>
      </c>
      <c r="E88" s="184">
        <f t="shared" si="2"/>
        <v>1.4570809496699502</v>
      </c>
      <c r="F88" s="57">
        <f t="shared" ca="1" si="3"/>
        <v>420999381.99243301</v>
      </c>
      <c r="G88" s="953"/>
      <c r="H88" s="962">
        <f t="shared" si="24"/>
        <v>0</v>
      </c>
      <c r="I88" s="185">
        <f ca="1">IF(OR(C88&lt;0,C88=""),"",-E88*INDEX('Replacement Costs'!$A$16:$H$57,MATCH(C88,'Replacement Costs'!$C$16:$C$57,0),MATCH("Total Yearly Replacement Costs",'Replacement Costs'!$A$16:$H$16,0)))</f>
        <v>-5705720.978958643</v>
      </c>
      <c r="J88" s="185">
        <f ca="1">IF(AND(C88&gt;=1,C88&lt;anal_period),WorkingCap*SUM(N88:R88)-WorkingCap*SUM(N87:R87),IF(C88&lt;0,0,IF(B88="","",-SUM(J$65:J87))))</f>
        <v>-1541338.9126894996</v>
      </c>
      <c r="K88" s="185" t="str">
        <f t="shared" si="4"/>
        <v/>
      </c>
      <c r="L88" s="185" t="str">
        <f t="shared" si="5"/>
        <v/>
      </c>
      <c r="M88" s="185" t="str">
        <f t="shared" si="6"/>
        <v/>
      </c>
      <c r="N88" s="185">
        <f t="shared" ca="1" si="7"/>
        <v>-46699624.899242647</v>
      </c>
      <c r="O88" s="185">
        <f t="shared" ca="1" si="8"/>
        <v>-252687669.92123789</v>
      </c>
      <c r="P88" s="185">
        <f t="shared" ca="1" si="9"/>
        <v>-8467149.9358804114</v>
      </c>
      <c r="Q88" s="185">
        <f t="shared" ca="1" si="10"/>
        <v>0</v>
      </c>
      <c r="R88" s="185">
        <f t="shared" ca="1" si="11"/>
        <v>-56139690.888791002</v>
      </c>
      <c r="S88" s="185">
        <f ca="1">IF(B88="","",IF($B$31=0,"",-'Debt Financing Calculations'!E37))</f>
        <v>-16431880.502550719</v>
      </c>
      <c r="T88" s="185">
        <f t="shared" ca="1" si="12"/>
        <v>40573365.844730318</v>
      </c>
      <c r="U88" s="185">
        <f ca="1">IF(C88="","",IF(C88&lt;-1,0,IF(C88=anal_period,-LOOKUP(C88,depr_yr,depr_cost)-Depreciation!$C$141-Depreciation!$B$166,-LOOKUP(C88,depr_yr,depr_cost))))</f>
        <v>-21345212.925063923</v>
      </c>
      <c r="V88" s="185">
        <f t="shared" ca="1" si="13"/>
        <v>19228152.919666395</v>
      </c>
      <c r="W88" s="186">
        <f t="shared" si="14"/>
        <v>0.25739999999999996</v>
      </c>
      <c r="X88" s="185">
        <f t="shared" ca="1" si="15"/>
        <v>-4949326.561522129</v>
      </c>
      <c r="Y88" s="185">
        <f t="shared" ca="1" si="16"/>
        <v>35624039.283208191</v>
      </c>
      <c r="Z88" s="185">
        <f>IF(C88="","",IF($B$31=0,"",-'Debt Financing Calculations'!F37))</f>
        <v>0</v>
      </c>
      <c r="AA88" s="185">
        <f t="shared" ca="1" si="17"/>
        <v>28376979.391560044</v>
      </c>
      <c r="AB88" s="185">
        <f t="shared" ca="1" si="23"/>
        <v>498983597.00451666</v>
      </c>
      <c r="AC88" s="940">
        <f t="shared" ca="1" si="18"/>
        <v>33326305.953082174</v>
      </c>
      <c r="AD88" s="132"/>
      <c r="AE88" s="944">
        <f t="shared" ca="1" si="19"/>
        <v>158665500</v>
      </c>
      <c r="AF88" s="940">
        <f t="shared" si="20"/>
        <v>0</v>
      </c>
    </row>
    <row r="89" spans="1:32" x14ac:dyDescent="0.25">
      <c r="A89" s="56">
        <f t="shared" si="21"/>
        <v>2036</v>
      </c>
      <c r="B89" s="183">
        <f>IF(MAX($B$65:B88)&lt;(construct+anal_period),B88+1,"")</f>
        <v>25</v>
      </c>
      <c r="C89" s="183">
        <f t="shared" si="22"/>
        <v>22</v>
      </c>
      <c r="D89" s="183">
        <f t="shared" si="1"/>
        <v>22</v>
      </c>
      <c r="E89" s="184">
        <f t="shared" si="2"/>
        <v>1.4847654877136791</v>
      </c>
      <c r="F89" s="57">
        <f t="shared" ca="1" si="3"/>
        <v>428998370.2502892</v>
      </c>
      <c r="G89" s="953"/>
      <c r="H89" s="962">
        <f t="shared" si="24"/>
        <v>0</v>
      </c>
      <c r="I89" s="185">
        <f ca="1">IF(OR(C89&lt;0,C89=""),"",-E89*INDEX('Replacement Costs'!$A$16:$H$57,MATCH(C89,'Replacement Costs'!$C$16:$C$57,0),MATCH("Total Yearly Replacement Costs",'Replacement Costs'!$A$16:$H$16,0)))</f>
        <v>-5814129.6775588561</v>
      </c>
      <c r="J89" s="185">
        <f ca="1">IF(AND(C89&gt;=1,C89&lt;anal_period),WorkingCap*SUM(N89:R89)-WorkingCap*SUM(N88:R88),IF(C89&lt;0,0,IF(B89="","",-SUM(J$65:J88))))</f>
        <v>-1075037.6880553514</v>
      </c>
      <c r="K89" s="185" t="str">
        <f t="shared" si="4"/>
        <v/>
      </c>
      <c r="L89" s="185" t="str">
        <f t="shared" si="5"/>
        <v/>
      </c>
      <c r="M89" s="185" t="str">
        <f t="shared" si="6"/>
        <v/>
      </c>
      <c r="N89" s="185">
        <f t="shared" ca="1" si="7"/>
        <v>-47586917.772328258</v>
      </c>
      <c r="O89" s="185">
        <f t="shared" ca="1" si="8"/>
        <v>-257739764.99285254</v>
      </c>
      <c r="P89" s="185">
        <f t="shared" ca="1" si="9"/>
        <v>-8628025.7846621387</v>
      </c>
      <c r="Q89" s="185">
        <f t="shared" ca="1" si="10"/>
        <v>0</v>
      </c>
      <c r="R89" s="185">
        <f t="shared" ca="1" si="11"/>
        <v>-57206345.015678033</v>
      </c>
      <c r="S89" s="185">
        <f ca="1">IF(B89="","",IF($B$31=0,"",-'Debt Financing Calculations'!E38))</f>
        <v>-16431880.502550719</v>
      </c>
      <c r="T89" s="185">
        <f t="shared" ca="1" si="12"/>
        <v>41405436.182217479</v>
      </c>
      <c r="U89" s="185">
        <f ca="1">IF(C89="","",IF(C89&lt;-1,0,IF(C89=anal_period,-LOOKUP(C89,depr_yr,depr_cost)-Depreciation!$C$141-Depreciation!$B$166,-LOOKUP(C89,depr_yr,depr_cost))))</f>
        <v>-4923719.5454990128</v>
      </c>
      <c r="V89" s="185">
        <f t="shared" ca="1" si="13"/>
        <v>36481716.636718467</v>
      </c>
      <c r="W89" s="186">
        <f t="shared" si="14"/>
        <v>0.25739999999999996</v>
      </c>
      <c r="X89" s="185">
        <f t="shared" ca="1" si="15"/>
        <v>-9390393.8622913323</v>
      </c>
      <c r="Y89" s="185">
        <f t="shared" ca="1" si="16"/>
        <v>32015042.319926146</v>
      </c>
      <c r="Z89" s="185">
        <f>IF(C89="","",IF($B$31=0,"",-'Debt Financing Calculations'!F38))</f>
        <v>0</v>
      </c>
      <c r="AA89" s="185">
        <f t="shared" ca="1" si="17"/>
        <v>25125874.954311941</v>
      </c>
      <c r="AB89" s="185">
        <f t="shared" ca="1" si="23"/>
        <v>524109471.95882863</v>
      </c>
      <c r="AC89" s="940">
        <f t="shared" ca="1" si="18"/>
        <v>34516268.816603273</v>
      </c>
      <c r="AD89" s="132"/>
      <c r="AE89" s="944">
        <f t="shared" ca="1" si="19"/>
        <v>158665500</v>
      </c>
      <c r="AF89" s="940">
        <f t="shared" si="20"/>
        <v>0</v>
      </c>
    </row>
    <row r="90" spans="1:32" x14ac:dyDescent="0.25">
      <c r="A90" s="56">
        <f t="shared" si="21"/>
        <v>2037</v>
      </c>
      <c r="B90" s="183">
        <f>IF(MAX($B$65:B89)&lt;(construct+anal_period),B89+1,"")</f>
        <v>26</v>
      </c>
      <c r="C90" s="183">
        <f t="shared" si="22"/>
        <v>23</v>
      </c>
      <c r="D90" s="183">
        <f t="shared" si="1"/>
        <v>23</v>
      </c>
      <c r="E90" s="184">
        <f t="shared" si="2"/>
        <v>1.5129760319802392</v>
      </c>
      <c r="F90" s="57">
        <f t="shared" ca="1" si="3"/>
        <v>437149339.28504479</v>
      </c>
      <c r="G90" s="953"/>
      <c r="H90" s="962">
        <f t="shared" si="24"/>
        <v>0</v>
      </c>
      <c r="I90" s="185">
        <f ca="1">IF(OR(C90&lt;0,C90=""),"",-E90*INDEX('Replacement Costs'!$A$16:$H$57,MATCH(C90,'Replacement Costs'!$C$16:$C$57,0),MATCH("Total Yearly Replacement Costs",'Replacement Costs'!$A$16:$H$16,0)))</f>
        <v>-5924598.1414324753</v>
      </c>
      <c r="J90" s="185">
        <f ca="1">IF(AND(C90&gt;=1,C90&lt;anal_period),WorkingCap*SUM(N90:R90)-WorkingCap*SUM(N89:R89),IF(C90&lt;0,0,IF(B90="","",-SUM(J$65:J89))))</f>
        <v>-1119248.9527743533</v>
      </c>
      <c r="K90" s="185" t="str">
        <f t="shared" si="4"/>
        <v/>
      </c>
      <c r="L90" s="185" t="str">
        <f t="shared" si="5"/>
        <v/>
      </c>
      <c r="M90" s="185" t="str">
        <f t="shared" si="6"/>
        <v/>
      </c>
      <c r="N90" s="185">
        <f t="shared" ca="1" si="7"/>
        <v>-48491069.210002497</v>
      </c>
      <c r="O90" s="185">
        <f t="shared" ca="1" si="8"/>
        <v>-263046420.19513425</v>
      </c>
      <c r="P90" s="185">
        <f t="shared" ca="1" si="9"/>
        <v>-8791958.2745707203</v>
      </c>
      <c r="Q90" s="185">
        <f t="shared" ca="1" si="10"/>
        <v>0</v>
      </c>
      <c r="R90" s="185">
        <f t="shared" ca="1" si="11"/>
        <v>-58293265.570975922</v>
      </c>
      <c r="S90" s="185">
        <f ca="1">IF(B90="","",IF($B$31=0,"",-'Debt Financing Calculations'!E39))</f>
        <v>-16431880.502550719</v>
      </c>
      <c r="T90" s="185">
        <f t="shared" ca="1" si="12"/>
        <v>42094745.531810701</v>
      </c>
      <c r="U90" s="185">
        <f ca="1">IF(C90="","",IF(C90&lt;-1,0,IF(C90=anal_period,-LOOKUP(C90,depr_yr,depr_cost)-Depreciation!$C$141-Depreciation!$B$166,-LOOKUP(C90,depr_yr,depr_cost))))</f>
        <v>-5017270.2168634953</v>
      </c>
      <c r="V90" s="185">
        <f t="shared" ca="1" si="13"/>
        <v>37077475.314947203</v>
      </c>
      <c r="W90" s="186">
        <f t="shared" si="14"/>
        <v>0.25739999999999996</v>
      </c>
      <c r="X90" s="185">
        <f t="shared" ca="1" si="15"/>
        <v>-9543742.1460674088</v>
      </c>
      <c r="Y90" s="185">
        <f t="shared" ca="1" si="16"/>
        <v>32551003.38574329</v>
      </c>
      <c r="Z90" s="185">
        <f>IF(C90="","",IF($B$31=0,"",-'Debt Financing Calculations'!F39))</f>
        <v>0</v>
      </c>
      <c r="AA90" s="185">
        <f t="shared" ca="1" si="17"/>
        <v>25507156.291536465</v>
      </c>
      <c r="AB90" s="185">
        <f t="shared" ca="1" si="23"/>
        <v>549616628.25036514</v>
      </c>
      <c r="AC90" s="940">
        <f t="shared" ca="1" si="18"/>
        <v>35050898.437603876</v>
      </c>
      <c r="AD90" s="132"/>
      <c r="AE90" s="944">
        <f t="shared" ca="1" si="19"/>
        <v>158665500</v>
      </c>
      <c r="AF90" s="940">
        <f t="shared" si="20"/>
        <v>0</v>
      </c>
    </row>
    <row r="91" spans="1:32" x14ac:dyDescent="0.25">
      <c r="A91" s="56">
        <f t="shared" si="21"/>
        <v>2038</v>
      </c>
      <c r="B91" s="183">
        <f>IF(MAX($B$65:B90)&lt;(construct+anal_period),B90+1,"")</f>
        <v>27</v>
      </c>
      <c r="C91" s="183">
        <f t="shared" si="22"/>
        <v>24</v>
      </c>
      <c r="D91" s="183">
        <f t="shared" si="1"/>
        <v>24</v>
      </c>
      <c r="E91" s="184">
        <f t="shared" si="2"/>
        <v>1.5417225765878635</v>
      </c>
      <c r="F91" s="57">
        <f t="shared" ca="1" si="3"/>
        <v>445455176.73146051</v>
      </c>
      <c r="G91" s="953"/>
      <c r="H91" s="962">
        <f t="shared" si="24"/>
        <v>0</v>
      </c>
      <c r="I91" s="185">
        <f ca="1">IF(OR(C91&lt;0,C91=""),"",-E91*INDEX('Replacement Costs'!$A$16:$H$57,MATCH(C91,'Replacement Costs'!$C$16:$C$57,0),MATCH("Total Yearly Replacement Costs",'Replacement Costs'!$A$16:$H$16,0)))</f>
        <v>-6037165.5061196918</v>
      </c>
      <c r="J91" s="185">
        <f ca="1">IF(AND(C91&gt;=1,C91&lt;anal_period),WorkingCap*SUM(N91:R91)-WorkingCap*SUM(N90:R90),IF(C91&lt;0,0,IF(B91="","",-SUM(J$65:J90))))</f>
        <v>-1044927.3839208335</v>
      </c>
      <c r="K91" s="185" t="str">
        <f t="shared" si="4"/>
        <v/>
      </c>
      <c r="L91" s="185" t="str">
        <f t="shared" si="5"/>
        <v/>
      </c>
      <c r="M91" s="185" t="str">
        <f t="shared" si="6"/>
        <v/>
      </c>
      <c r="N91" s="185">
        <f t="shared" ca="1" si="7"/>
        <v>-49412399.52499254</v>
      </c>
      <c r="O91" s="185">
        <f t="shared" ca="1" si="8"/>
        <v>-267816653.186551</v>
      </c>
      <c r="P91" s="185">
        <f t="shared" ca="1" si="9"/>
        <v>-8959005.4817875624</v>
      </c>
      <c r="Q91" s="185">
        <f t="shared" ca="1" si="10"/>
        <v>0</v>
      </c>
      <c r="R91" s="185">
        <f t="shared" ca="1" si="11"/>
        <v>-59400837.616824456</v>
      </c>
      <c r="S91" s="185">
        <f ca="1">IF(B91="","",IF($B$31=0,"",-'Debt Financing Calculations'!E40))</f>
        <v>-16431880.502550719</v>
      </c>
      <c r="T91" s="185">
        <f t="shared" ca="1" si="12"/>
        <v>43434400.41875422</v>
      </c>
      <c r="U91" s="185">
        <f ca="1">IF(C91="","",IF(C91&lt;-1,0,IF(C91=anal_period,-LOOKUP(C91,depr_yr,depr_cost)-Depreciation!$C$141-Depreciation!$B$166,-LOOKUP(C91,depr_yr,depr_cost))))</f>
        <v>-5112598.3509839009</v>
      </c>
      <c r="V91" s="185">
        <f t="shared" ca="1" si="13"/>
        <v>38321802.067770317</v>
      </c>
      <c r="W91" s="186">
        <f t="shared" si="14"/>
        <v>0.25739999999999996</v>
      </c>
      <c r="X91" s="185">
        <f t="shared" ca="1" si="15"/>
        <v>-9864031.8522440791</v>
      </c>
      <c r="Y91" s="185">
        <f t="shared" ca="1" si="16"/>
        <v>33570368.566510141</v>
      </c>
      <c r="Z91" s="185">
        <f>IF(C91="","",IF($B$31=0,"",-'Debt Financing Calculations'!F40))</f>
        <v>0</v>
      </c>
      <c r="AA91" s="185">
        <f t="shared" ca="1" si="17"/>
        <v>26488275.676469617</v>
      </c>
      <c r="AB91" s="185">
        <f t="shared" ca="1" si="23"/>
        <v>576104903.9268347</v>
      </c>
      <c r="AC91" s="940">
        <f t="shared" ca="1" si="18"/>
        <v>36352307.528713696</v>
      </c>
      <c r="AD91" s="132"/>
      <c r="AE91" s="944">
        <f t="shared" ca="1" si="19"/>
        <v>158665500</v>
      </c>
      <c r="AF91" s="940">
        <f t="shared" si="20"/>
        <v>0</v>
      </c>
    </row>
    <row r="92" spans="1:32" x14ac:dyDescent="0.25">
      <c r="A92" s="56">
        <f t="shared" si="21"/>
        <v>2039</v>
      </c>
      <c r="B92" s="183">
        <f>IF(MAX($B$65:B91)&lt;(construct+anal_period),B91+1,"")</f>
        <v>28</v>
      </c>
      <c r="C92" s="183">
        <f t="shared" si="22"/>
        <v>25</v>
      </c>
      <c r="D92" s="183">
        <f t="shared" si="1"/>
        <v>25</v>
      </c>
      <c r="E92" s="184">
        <f t="shared" si="2"/>
        <v>1.5710153055430329</v>
      </c>
      <c r="F92" s="57">
        <f t="shared" ca="1" si="3"/>
        <v>453918825.08935827</v>
      </c>
      <c r="G92" s="953"/>
      <c r="H92" s="962">
        <f t="shared" si="24"/>
        <v>0</v>
      </c>
      <c r="I92" s="185">
        <f ca="1">IF(OR(C92&lt;0,C92=""),"",-E92*INDEX('Replacement Costs'!$A$16:$H$57,MATCH(C92,'Replacement Costs'!$C$16:$C$57,0),MATCH("Total Yearly Replacement Costs",'Replacement Costs'!$A$16:$H$16,0)))</f>
        <v>-6151871.6507359659</v>
      </c>
      <c r="J92" s="185">
        <f ca="1">IF(AND(C92&gt;=1,C92&lt;anal_period),WorkingCap*SUM(N92:R92)-WorkingCap*SUM(N91:R91),IF(C92&lt;0,0,IF(B92="","",-SUM(J$65:J91))))</f>
        <v>-1241406.4526186809</v>
      </c>
      <c r="K92" s="185" t="str">
        <f t="shared" si="4"/>
        <v/>
      </c>
      <c r="L92" s="185" t="str">
        <f t="shared" si="5"/>
        <v/>
      </c>
      <c r="M92" s="185" t="str">
        <f t="shared" si="6"/>
        <v/>
      </c>
      <c r="N92" s="185">
        <f t="shared" ca="1" si="7"/>
        <v>-50351235.1159674</v>
      </c>
      <c r="O92" s="185">
        <f t="shared" ca="1" si="8"/>
        <v>-273855023.59416038</v>
      </c>
      <c r="P92" s="185">
        <f t="shared" ca="1" si="9"/>
        <v>-9129226.5859415252</v>
      </c>
      <c r="Q92" s="185">
        <f t="shared" ca="1" si="10"/>
        <v>0</v>
      </c>
      <c r="R92" s="185">
        <f t="shared" ca="1" si="11"/>
        <v>-60529453.531544119</v>
      </c>
      <c r="S92" s="185">
        <f ca="1">IF(B92="","",IF($B$31=0,"",-'Debt Financing Calculations'!E41))</f>
        <v>-16431880.502550719</v>
      </c>
      <c r="T92" s="185">
        <f t="shared" ca="1" si="12"/>
        <v>43622005.759194076</v>
      </c>
      <c r="U92" s="185">
        <f ca="1">IF(C92="","",IF(C92&lt;-1,0,IF(C92=anal_period,-LOOKUP(C92,depr_yr,depr_cost)-Depreciation!$C$141-Depreciation!$B$166,-LOOKUP(C92,depr_yr,depr_cost))))</f>
        <v>-5209737.7196525941</v>
      </c>
      <c r="V92" s="185">
        <f t="shared" ca="1" si="13"/>
        <v>38412268.039541483</v>
      </c>
      <c r="W92" s="186">
        <f t="shared" si="14"/>
        <v>0.25739999999999996</v>
      </c>
      <c r="X92" s="185">
        <f t="shared" ca="1" si="15"/>
        <v>-9887317.7933779769</v>
      </c>
      <c r="Y92" s="185">
        <f t="shared" ca="1" si="16"/>
        <v>33734687.965816095</v>
      </c>
      <c r="Z92" s="185">
        <f>IF(C92="","",IF($B$31=0,"",-'Debt Financing Calculations'!F41))</f>
        <v>0</v>
      </c>
      <c r="AA92" s="185">
        <f t="shared" ca="1" si="17"/>
        <v>26341409.862461451</v>
      </c>
      <c r="AB92" s="185">
        <f t="shared" ca="1" si="23"/>
        <v>602446313.78929615</v>
      </c>
      <c r="AC92" s="940">
        <f t="shared" ca="1" si="18"/>
        <v>36228727.655839428</v>
      </c>
      <c r="AD92" s="132"/>
      <c r="AE92" s="944">
        <f t="shared" ca="1" si="19"/>
        <v>158665500</v>
      </c>
      <c r="AF92" s="940">
        <f t="shared" si="20"/>
        <v>0</v>
      </c>
    </row>
    <row r="93" spans="1:32" x14ac:dyDescent="0.25">
      <c r="A93" s="56">
        <f t="shared" si="21"/>
        <v>2040</v>
      </c>
      <c r="B93" s="183">
        <f>IF(MAX($B$65:B92)&lt;(construct+anal_period),B92+1,"")</f>
        <v>29</v>
      </c>
      <c r="C93" s="183">
        <f t="shared" si="22"/>
        <v>26</v>
      </c>
      <c r="D93" s="183">
        <f t="shared" si="1"/>
        <v>26</v>
      </c>
      <c r="E93" s="184">
        <f t="shared" si="2"/>
        <v>1.6008645963483503</v>
      </c>
      <c r="F93" s="57">
        <f t="shared" ca="1" si="3"/>
        <v>462543282.76605606</v>
      </c>
      <c r="G93" s="953"/>
      <c r="H93" s="962">
        <f t="shared" si="24"/>
        <v>0</v>
      </c>
      <c r="I93" s="185">
        <f ca="1">IF(OR(C93&lt;0,C93=""),"",-E93*INDEX('Replacement Costs'!$A$16:$H$57,MATCH(C93,'Replacement Costs'!$C$16:$C$57,0),MATCH("Total Yearly Replacement Costs",'Replacement Costs'!$A$16:$H$16,0)))</f>
        <v>-6268757.212099948</v>
      </c>
      <c r="J93" s="185">
        <f ca="1">IF(AND(C93&gt;=1,C93&lt;anal_period),WorkingCap*SUM(N93:R93)-WorkingCap*SUM(N92:R92),IF(C93&lt;0,0,IF(B93="","",-SUM(J$65:J92))))</f>
        <v>-828287.15970100462</v>
      </c>
      <c r="K93" s="185" t="str">
        <f t="shared" si="4"/>
        <v/>
      </c>
      <c r="L93" s="185" t="str">
        <f t="shared" si="5"/>
        <v/>
      </c>
      <c r="M93" s="185" t="str">
        <f t="shared" si="6"/>
        <v/>
      </c>
      <c r="N93" s="185">
        <f t="shared" ca="1" si="7"/>
        <v>-51307908.583170772</v>
      </c>
      <c r="O93" s="185">
        <f t="shared" ca="1" si="8"/>
        <v>-277096749.60273153</v>
      </c>
      <c r="P93" s="185">
        <f t="shared" ca="1" si="9"/>
        <v>-9302681.8910744134</v>
      </c>
      <c r="Q93" s="185">
        <f t="shared" ca="1" si="10"/>
        <v>0</v>
      </c>
      <c r="R93" s="185">
        <f t="shared" ca="1" si="11"/>
        <v>-61679513.148643449</v>
      </c>
      <c r="S93" s="185">
        <f ca="1">IF(B93="","",IF($B$31=0,"",-'Debt Financing Calculations'!E42))</f>
        <v>-16431880.502550719</v>
      </c>
      <c r="T93" s="185">
        <f t="shared" ca="1" si="12"/>
        <v>46724549.037885189</v>
      </c>
      <c r="U93" s="185">
        <f ca="1">IF(C93="","",IF(C93&lt;-1,0,IF(C93=anal_period,-LOOKUP(C93,depr_yr,depr_cost)-Depreciation!$C$141-Depreciation!$B$166,-LOOKUP(C93,depr_yr,depr_cost))))</f>
        <v>-5308722.7363259932</v>
      </c>
      <c r="V93" s="185">
        <f t="shared" ca="1" si="13"/>
        <v>41415826.301559195</v>
      </c>
      <c r="W93" s="186">
        <f t="shared" si="14"/>
        <v>0.25739999999999996</v>
      </c>
      <c r="X93" s="185">
        <f t="shared" ca="1" si="15"/>
        <v>-10660433.690021336</v>
      </c>
      <c r="Y93" s="185">
        <f t="shared" ca="1" si="16"/>
        <v>36064115.347863853</v>
      </c>
      <c r="Z93" s="185">
        <f>IF(C93="","",IF($B$31=0,"",-'Debt Financing Calculations'!F42))</f>
        <v>0</v>
      </c>
      <c r="AA93" s="185">
        <f t="shared" ca="1" si="17"/>
        <v>28967070.976062901</v>
      </c>
      <c r="AB93" s="185">
        <f t="shared" ca="1" si="23"/>
        <v>631413384.76535904</v>
      </c>
      <c r="AC93" s="940">
        <f t="shared" ca="1" si="18"/>
        <v>39627504.666084237</v>
      </c>
      <c r="AD93" s="132"/>
      <c r="AE93" s="944">
        <f t="shared" ca="1" si="19"/>
        <v>158665500</v>
      </c>
      <c r="AF93" s="940">
        <f t="shared" si="20"/>
        <v>0</v>
      </c>
    </row>
    <row r="94" spans="1:32" x14ac:dyDescent="0.25">
      <c r="A94" s="56">
        <f t="shared" si="21"/>
        <v>2041</v>
      </c>
      <c r="B94" s="183">
        <f>IF(MAX($B$65:B93)&lt;(construct+anal_period),B93+1,"")</f>
        <v>30</v>
      </c>
      <c r="C94" s="183">
        <f t="shared" si="22"/>
        <v>27</v>
      </c>
      <c r="D94" s="183">
        <f t="shared" si="1"/>
        <v>27</v>
      </c>
      <c r="E94" s="184">
        <f t="shared" si="2"/>
        <v>1.631281023678969</v>
      </c>
      <c r="F94" s="57">
        <f t="shared" ca="1" si="3"/>
        <v>471331605.13861108</v>
      </c>
      <c r="G94" s="953"/>
      <c r="H94" s="962">
        <f t="shared" si="24"/>
        <v>0</v>
      </c>
      <c r="I94" s="185">
        <f ca="1">IF(OR(C94&lt;0,C94=""),"",-E94*INDEX('Replacement Costs'!$A$16:$H$57,MATCH(C94,'Replacement Costs'!$C$16:$C$57,0),MATCH("Total Yearly Replacement Costs",'Replacement Costs'!$A$16:$H$16,0)))</f>
        <v>-6387863.5991298473</v>
      </c>
      <c r="J94" s="185">
        <f ca="1">IF(AND(C94&gt;=1,C94&lt;anal_period),WorkingCap*SUM(N94:R94)-WorkingCap*SUM(N93:R93),IF(C94&lt;0,0,IF(B94="","",-SUM(J$65:J93))))</f>
        <v>-1155850.6735412478</v>
      </c>
      <c r="K94" s="185" t="str">
        <f t="shared" si="4"/>
        <v/>
      </c>
      <c r="L94" s="185" t="str">
        <f t="shared" si="5"/>
        <v/>
      </c>
      <c r="M94" s="185" t="str">
        <f t="shared" si="6"/>
        <v/>
      </c>
      <c r="N94" s="185">
        <f t="shared" ca="1" si="7"/>
        <v>-52282758.846251018</v>
      </c>
      <c r="O94" s="185">
        <f t="shared" ca="1" si="8"/>
        <v>-282478908.7908383</v>
      </c>
      <c r="P94" s="185">
        <f t="shared" ca="1" si="9"/>
        <v>-9479432.8470048271</v>
      </c>
      <c r="Q94" s="185">
        <f t="shared" ca="1" si="10"/>
        <v>0</v>
      </c>
      <c r="R94" s="185">
        <f t="shared" ca="1" si="11"/>
        <v>-62851423.898467675</v>
      </c>
      <c r="S94" s="185">
        <f ca="1">IF(B94="","",IF($B$31=0,"",-'Debt Financing Calculations'!E43))</f>
        <v>-16431880.502550719</v>
      </c>
      <c r="T94" s="185">
        <f t="shared" ca="1" si="12"/>
        <v>47807200.253498554</v>
      </c>
      <c r="U94" s="185">
        <f ca="1">IF(C94="","",IF(C94&lt;-1,0,IF(C94=anal_period,-LOOKUP(C94,depr_yr,depr_cost)-Depreciation!$C$141-Depreciation!$B$166,-LOOKUP(C94,depr_yr,depr_cost))))</f>
        <v>-5409588.4683161862</v>
      </c>
      <c r="V94" s="185">
        <f t="shared" ca="1" si="13"/>
        <v>42397611.785182372</v>
      </c>
      <c r="W94" s="186">
        <f t="shared" si="14"/>
        <v>0.25739999999999996</v>
      </c>
      <c r="X94" s="185">
        <f t="shared" ca="1" si="15"/>
        <v>-10913145.273505941</v>
      </c>
      <c r="Y94" s="185">
        <f t="shared" ca="1" si="16"/>
        <v>36894054.979992613</v>
      </c>
      <c r="Z94" s="185">
        <f>IF(C94="","",IF($B$31=0,"",-'Debt Financing Calculations'!F43))</f>
        <v>0</v>
      </c>
      <c r="AA94" s="185">
        <f t="shared" ca="1" si="17"/>
        <v>29350340.707321517</v>
      </c>
      <c r="AB94" s="185">
        <f t="shared" ca="1" si="23"/>
        <v>660763725.47268057</v>
      </c>
      <c r="AC94" s="940">
        <f t="shared" ca="1" si="18"/>
        <v>40263485.980827458</v>
      </c>
      <c r="AD94" s="132"/>
      <c r="AE94" s="944">
        <f t="shared" ca="1" si="19"/>
        <v>158665500</v>
      </c>
      <c r="AF94" s="940">
        <f t="shared" si="20"/>
        <v>0</v>
      </c>
    </row>
    <row r="95" spans="1:32" x14ac:dyDescent="0.25">
      <c r="A95" s="56">
        <f t="shared" si="21"/>
        <v>2042</v>
      </c>
      <c r="B95" s="183">
        <f>IF(MAX($B$65:B94)&lt;(construct+anal_period),B94+1,"")</f>
        <v>31</v>
      </c>
      <c r="C95" s="183">
        <f t="shared" si="22"/>
        <v>28</v>
      </c>
      <c r="D95" s="183">
        <f t="shared" si="1"/>
        <v>28</v>
      </c>
      <c r="E95" s="184">
        <f t="shared" si="2"/>
        <v>1.6622753631288694</v>
      </c>
      <c r="F95" s="57">
        <f t="shared" ca="1" si="3"/>
        <v>480286905.63624471</v>
      </c>
      <c r="G95" s="953"/>
      <c r="H95" s="962">
        <f t="shared" si="24"/>
        <v>0</v>
      </c>
      <c r="I95" s="185">
        <f ca="1">IF(OR(C95&lt;0,C95=""),"",-E95*INDEX('Replacement Costs'!$A$16:$H$57,MATCH(C95,'Replacement Costs'!$C$16:$C$57,0),MATCH("Total Yearly Replacement Costs",'Replacement Costs'!$A$16:$H$16,0)))</f>
        <v>-6509233.0075133145</v>
      </c>
      <c r="J95" s="185">
        <f ca="1">IF(AND(C95&gt;=1,C95&lt;anal_period),WorkingCap*SUM(N95:R95)-WorkingCap*SUM(N94:R94),IF(C95&lt;0,0,IF(B95="","",-SUM(J$65:J94))))</f>
        <v>-1537718.5047527775</v>
      </c>
      <c r="K95" s="185" t="str">
        <f t="shared" si="4"/>
        <v/>
      </c>
      <c r="L95" s="185" t="str">
        <f t="shared" si="5"/>
        <v/>
      </c>
      <c r="M95" s="185" t="str">
        <f t="shared" si="6"/>
        <v/>
      </c>
      <c r="N95" s="185">
        <f t="shared" ca="1" si="7"/>
        <v>-53276131.264329784</v>
      </c>
      <c r="O95" s="185">
        <f t="shared" ca="1" si="8"/>
        <v>-290362706.79294741</v>
      </c>
      <c r="P95" s="185">
        <f t="shared" ca="1" si="9"/>
        <v>-9659542.0710979179</v>
      </c>
      <c r="Q95" s="185">
        <f t="shared" ca="1" si="10"/>
        <v>0</v>
      </c>
      <c r="R95" s="185">
        <f t="shared" ca="1" si="11"/>
        <v>-64045600.952538557</v>
      </c>
      <c r="S95" s="185">
        <f ca="1">IF(B95="","",IF($B$31=0,"",-'Debt Financing Calculations'!E44))</f>
        <v>-16431880.502550719</v>
      </c>
      <c r="T95" s="185">
        <f t="shared" ca="1" si="12"/>
        <v>46511044.05278033</v>
      </c>
      <c r="U95" s="185">
        <f ca="1">IF(C95="","",IF(C95&lt;-1,0,IF(C95=anal_period,-LOOKUP(C95,depr_yr,depr_cost)-Depreciation!$C$141-Depreciation!$B$166,-LOOKUP(C95,depr_yr,depr_cost))))</f>
        <v>-5512370.6492141942</v>
      </c>
      <c r="V95" s="185">
        <f t="shared" ca="1" si="13"/>
        <v>40998673.403566137</v>
      </c>
      <c r="W95" s="186">
        <f t="shared" si="14"/>
        <v>0.25739999999999996</v>
      </c>
      <c r="X95" s="185">
        <f t="shared" ca="1" si="15"/>
        <v>-10553058.534077922</v>
      </c>
      <c r="Y95" s="185">
        <f t="shared" ca="1" si="16"/>
        <v>35957985.51870241</v>
      </c>
      <c r="Z95" s="185">
        <f>IF(C95="","",IF($B$31=0,"",-'Debt Financing Calculations'!F44))</f>
        <v>0</v>
      </c>
      <c r="AA95" s="185">
        <f t="shared" ca="1" si="17"/>
        <v>27911034.006436318</v>
      </c>
      <c r="AB95" s="185">
        <f t="shared" ca="1" si="23"/>
        <v>688674759.47911692</v>
      </c>
      <c r="AC95" s="940">
        <f t="shared" ca="1" si="18"/>
        <v>38464092.540514238</v>
      </c>
      <c r="AD95" s="132"/>
      <c r="AE95" s="944">
        <f t="shared" ca="1" si="19"/>
        <v>158665500</v>
      </c>
      <c r="AF95" s="940">
        <f t="shared" si="20"/>
        <v>0</v>
      </c>
    </row>
    <row r="96" spans="1:32" x14ac:dyDescent="0.25">
      <c r="A96" s="56">
        <f t="shared" si="21"/>
        <v>2043</v>
      </c>
      <c r="B96" s="183">
        <f>IF(MAX($B$65:B95)&lt;(construct+anal_period),B95+1,"")</f>
        <v>32</v>
      </c>
      <c r="C96" s="183">
        <f t="shared" si="22"/>
        <v>29</v>
      </c>
      <c r="D96" s="183">
        <f t="shared" si="1"/>
        <v>29</v>
      </c>
      <c r="E96" s="184">
        <f t="shared" si="2"/>
        <v>1.6938585950283176</v>
      </c>
      <c r="F96" s="57">
        <f t="shared" ca="1" si="3"/>
        <v>489412356.84333324</v>
      </c>
      <c r="G96" s="953"/>
      <c r="H96" s="962">
        <f t="shared" si="24"/>
        <v>0</v>
      </c>
      <c r="I96" s="185">
        <f ca="1">IF(OR(C96&lt;0,C96=""),"",-E96*INDEX('Replacement Costs'!$A$16:$H$57,MATCH(C96,'Replacement Costs'!$C$16:$C$57,0),MATCH("Total Yearly Replacement Costs",'Replacement Costs'!$A$16:$H$16,0)))</f>
        <v>-6632908.4346560659</v>
      </c>
      <c r="J96" s="185">
        <f ca="1">IF(AND(C96&gt;=1,C96&lt;anal_period),WorkingCap*SUM(N96:R96)-WorkingCap*SUM(N95:R95),IF(C96&lt;0,0,IF(B96="","",-SUM(J$65:J95))))</f>
        <v>-1784115.6439914852</v>
      </c>
      <c r="K96" s="185" t="str">
        <f t="shared" si="4"/>
        <v/>
      </c>
      <c r="L96" s="185" t="str">
        <f t="shared" si="5"/>
        <v/>
      </c>
      <c r="M96" s="185" t="str">
        <f t="shared" si="6"/>
        <v/>
      </c>
      <c r="N96" s="185">
        <f t="shared" ca="1" si="7"/>
        <v>-54288377.758352041</v>
      </c>
      <c r="O96" s="185">
        <f t="shared" ca="1" si="8"/>
        <v>-299844166.87475264</v>
      </c>
      <c r="P96" s="185">
        <f t="shared" ca="1" si="9"/>
        <v>-9843073.3704487775</v>
      </c>
      <c r="Q96" s="185">
        <f t="shared" ca="1" si="10"/>
        <v>0</v>
      </c>
      <c r="R96" s="185">
        <f t="shared" ca="1" si="11"/>
        <v>-65262467.370636776</v>
      </c>
      <c r="S96" s="185">
        <f ca="1">IF(B96="","",IF($B$31=0,"",-'Debt Financing Calculations'!E45))</f>
        <v>-16431880.502550719</v>
      </c>
      <c r="T96" s="185">
        <f t="shared" ca="1" si="12"/>
        <v>43742390.966592312</v>
      </c>
      <c r="U96" s="185">
        <f ca="1">IF(C96="","",IF(C96&lt;-1,0,IF(C96=anal_period,-LOOKUP(C96,depr_yr,depr_cost)-Depreciation!$C$141-Depreciation!$B$166,-LOOKUP(C96,depr_yr,depr_cost))))</f>
        <v>-5617105.691549263</v>
      </c>
      <c r="V96" s="185">
        <f t="shared" ca="1" si="13"/>
        <v>38125285.275043048</v>
      </c>
      <c r="W96" s="186">
        <f t="shared" si="14"/>
        <v>0.25739999999999996</v>
      </c>
      <c r="X96" s="185">
        <f t="shared" ca="1" si="15"/>
        <v>-9813448.4297960792</v>
      </c>
      <c r="Y96" s="185">
        <f t="shared" ca="1" si="16"/>
        <v>33928942.536796235</v>
      </c>
      <c r="Z96" s="185">
        <f>IF(C96="","",IF($B$31=0,"",-'Debt Financing Calculations'!F45))</f>
        <v>0</v>
      </c>
      <c r="AA96" s="185">
        <f t="shared" ca="1" si="17"/>
        <v>25511918.458148681</v>
      </c>
      <c r="AB96" s="185">
        <f t="shared" ca="1" si="23"/>
        <v>714186677.93726563</v>
      </c>
      <c r="AC96" s="940">
        <f t="shared" ca="1" si="18"/>
        <v>35325366.887944758</v>
      </c>
      <c r="AD96" s="132"/>
      <c r="AE96" s="944">
        <f t="shared" ca="1" si="19"/>
        <v>158665500</v>
      </c>
      <c r="AF96" s="940">
        <f t="shared" si="20"/>
        <v>0</v>
      </c>
    </row>
    <row r="97" spans="1:32" x14ac:dyDescent="0.25">
      <c r="A97" s="56">
        <f t="shared" si="21"/>
        <v>2044</v>
      </c>
      <c r="B97" s="183">
        <f>IF(MAX($B$65:B96)&lt;(construct+anal_period),B96+1,"")</f>
        <v>33</v>
      </c>
      <c r="C97" s="183">
        <f t="shared" si="22"/>
        <v>30</v>
      </c>
      <c r="D97" s="183">
        <f t="shared" ref="D97:D113" si="25">IF(C97="","",IF(C97&lt;=plant_life,C97,IF(D96=plant_life,1,D96+1)))</f>
        <v>30</v>
      </c>
      <c r="E97" s="184">
        <f t="shared" ref="E97:E113" si="26">IF(C97="","",(1+inflation_rate)^(A97-$B$25))</f>
        <v>1.7260419083338554</v>
      </c>
      <c r="F97" s="57">
        <f t="shared" ref="F97:F113" ca="1" si="27">IF(C97="","",IF(C97&lt;0,0,IF(AND(C97=1,start_time&lt;1),E97*(H2_price_nominal*output_kgyear*start_time*percnt_revs+H2_price_nominal*output_kgyear*(1-start_time)),IF(C97&lt;=start_time,H2_price_nominal*E97*output_kgyear*percnt_revs,H2_price_nominal*output_kgyear*E97))))</f>
        <v>498711191.62335652</v>
      </c>
      <c r="G97" s="953"/>
      <c r="H97" s="962">
        <f t="shared" si="24"/>
        <v>0</v>
      </c>
      <c r="I97" s="185">
        <f ca="1">IF(OR(C97&lt;0,C97=""),"",-E97*INDEX('Replacement Costs'!$A$16:$H$57,MATCH(C97,'Replacement Costs'!$C$16:$C$57,0),MATCH("Total Yearly Replacement Costs",'Replacement Costs'!$A$16:$H$16,0)))</f>
        <v>-6758933.69491453</v>
      </c>
      <c r="J97" s="185">
        <f ca="1">IF(AND(C97&gt;=1,C97&lt;anal_period),WorkingCap*SUM(N97:R97)-WorkingCap*SUM(N96:R96),IF(C97&lt;0,0,IF(B97="","",-SUM(J$65:J96))))</f>
        <v>-1646583.5958107114</v>
      </c>
      <c r="K97" s="185" t="str">
        <f t="shared" ref="K97:K113" si="28">IF(C97=-construct,-E97*non_dep_infl,"")</f>
        <v/>
      </c>
      <c r="L97" s="185" t="str">
        <f t="shared" ref="L97:L113" si="29">IF(C97=anal_period,salvage*E97,"")</f>
        <v/>
      </c>
      <c r="M97" s="185" t="str">
        <f t="shared" ref="M97:M113" si="30">IF(D97=plant_life,-E97*decom,"")</f>
        <v/>
      </c>
      <c r="N97" s="185">
        <f t="shared" ref="N97:N113" ca="1" si="31">IF(C97="","",IF(C97&lt;0,0,IF(AND(C97=1,start_time&lt;1),-(inflated_fixed*percnt_fixed*start_time+(inflated_fixed*(1-start_time))),IF(C97&lt;=start_time,-inflated_fixed*percnt_fixed*E97,-inflated_fixed*E97))))</f>
        <v>-55319856.935760722</v>
      </c>
      <c r="O97" s="185">
        <f t="shared" ref="O97:O109" ca="1" si="32">IF(C97="","",IF(C97&lt;0,0,IF(AND(C97=1,start_time&lt;1),-(SUM(B171:E171)*output_kgyear*E97*percnt_var*start_time+SUM(B171:E171)*output_kgyear*E97*(1-start_time)),IF(C97&lt;=start_time,-SUM(B171:E171)*output_kgyear*E97*percnt_var,-SUM(B171:E171)*output_kgyear*E97))))</f>
        <v>-308362906.39533466</v>
      </c>
      <c r="P97" s="185">
        <f t="shared" ref="P97:P113" ca="1" si="33">IF(C97="","",IF(C97&lt;0,0,IF(AND(C97=1,start_time&lt;1),-(inflated_otherraw*E97*percnt_var*start_time+inflated_otherraw*E97*(1-start_time)),IF(C97&lt;=start_time,-inflated_otherraw*E97*percnt_var,-(inflated_otherraw*E97)))))</f>
        <v>-10030091.764487302</v>
      </c>
      <c r="Q97" s="185">
        <f t="shared" ca="1" si="10"/>
        <v>0</v>
      </c>
      <c r="R97" s="185">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-66502454.250678867</v>
      </c>
      <c r="S97" s="185">
        <f ca="1">IF(B97="","",IF($B$31=0,"",-'Debt Financing Calculations'!E46))</f>
        <v>-16431880.502550719</v>
      </c>
      <c r="T97" s="185">
        <f t="shared" ref="T97:T113" ca="1" si="35">IF(C97="","",F97+SUM(L97:S97))</f>
        <v>42064001.774544179</v>
      </c>
      <c r="U97" s="185">
        <f ca="1">IF(C97="","",IF(C97&lt;-1,0,IF(C97=anal_period,-LOOKUP(C97,depr_yr,depr_cost)-Depreciation!$C$141-Depreciation!$B$166,-LOOKUP(C97,depr_yr,depr_cost))))</f>
        <v>-5723830.6996886991</v>
      </c>
      <c r="V97" s="185">
        <f t="shared" ref="V97:V113" ca="1" si="36">IF(C97="","",SUM(T97:U97))</f>
        <v>36340171.074855477</v>
      </c>
      <c r="W97" s="186">
        <f t="shared" ref="W97:W113" si="37">IF(C97="","",$B$33)</f>
        <v>0.25739999999999996</v>
      </c>
      <c r="X97" s="185">
        <f t="shared" ref="X97:X113" ca="1" si="38">IF(C97="","",tax_credit-(V97*W97 +Upstream_CO2_taxpYear + Proc_CO2_taxpYear))</f>
        <v>-9353960.0346677974</v>
      </c>
      <c r="Y97" s="185">
        <f t="shared" ref="Y97:Y113" ca="1" si="39">IF(C97="","",SUM(T97,X97))</f>
        <v>32710041.739876382</v>
      </c>
      <c r="Z97" s="185">
        <f>IF(C97="","",IF($B$31=0,"",-'Debt Financing Calculations'!F46))</f>
        <v>0</v>
      </c>
      <c r="AA97" s="185">
        <f t="shared" ref="AA97:AA113" ca="1" si="40">IF(C97="","",SUM(H97,I97,J97,K97,T97,X97,Z97))</f>
        <v>24304524.449151136</v>
      </c>
      <c r="AB97" s="185">
        <f t="shared" ca="1" si="23"/>
        <v>738491202.38641679</v>
      </c>
      <c r="AC97" s="940">
        <f t="shared" ref="AC97:AC113" ca="1" si="41">IF(C97="","",SUM(H97,I97,J97,K97,T97,Z97))</f>
        <v>33658484.483818933</v>
      </c>
      <c r="AD97" s="132"/>
      <c r="AE97" s="944">
        <f t="shared" ref="AE97:AE113" ca="1" si="42">IF(C97="","",IF(C97&lt;0,0,IF(AND(C97=1,start_time&lt;1),(output_kgyear*start_time*percnt_revs+output_kgyear*(1-start_time)),IF(C97&lt;=start_time,output_kgyear*percnt_revs,output_kgyear))))</f>
        <v>158665500</v>
      </c>
      <c r="AF97" s="940">
        <f t="shared" ref="AF97:AF113" si="43">IF(C97="","",tax_credit)</f>
        <v>0</v>
      </c>
    </row>
    <row r="98" spans="1:32" x14ac:dyDescent="0.25">
      <c r="A98" s="56">
        <f t="shared" si="21"/>
        <v>2045</v>
      </c>
      <c r="B98" s="183">
        <f>IF(MAX($B$65:B97)&lt;(construct+anal_period),B97+1,"")</f>
        <v>34</v>
      </c>
      <c r="C98" s="183">
        <f t="shared" si="22"/>
        <v>31</v>
      </c>
      <c r="D98" s="183">
        <f t="shared" si="25"/>
        <v>31</v>
      </c>
      <c r="E98" s="184">
        <f t="shared" si="26"/>
        <v>1.7588367045921991</v>
      </c>
      <c r="F98" s="57">
        <f t="shared" ca="1" si="27"/>
        <v>508186704.26420045</v>
      </c>
      <c r="G98" s="953"/>
      <c r="H98" s="962">
        <f t="shared" si="24"/>
        <v>0</v>
      </c>
      <c r="I98" s="185">
        <f ca="1">IF(OR(C98&lt;0,C98=""),"",-E98*INDEX('Replacement Costs'!$A$16:$H$57,MATCH(C98,'Replacement Costs'!$C$16:$C$57,0),MATCH("Total Yearly Replacement Costs",'Replacement Costs'!$A$16:$H$16,0)))</f>
        <v>-6887353.4351179078</v>
      </c>
      <c r="J98" s="185">
        <f ca="1">IF(AND(C98&gt;=1,C98&lt;anal_period),WorkingCap*SUM(N98:R98)-WorkingCap*SUM(N97:R97),IF(C98&lt;0,0,IF(B98="","",-SUM(J$65:J97))))</f>
        <v>-1815607.2923665196</v>
      </c>
      <c r="K98" s="185" t="str">
        <f t="shared" si="28"/>
        <v/>
      </c>
      <c r="L98" s="185" t="str">
        <f t="shared" si="29"/>
        <v/>
      </c>
      <c r="M98" s="185" t="str">
        <f t="shared" si="30"/>
        <v/>
      </c>
      <c r="N98" s="185">
        <f t="shared" ca="1" si="31"/>
        <v>-56370934.21754019</v>
      </c>
      <c r="O98" s="185">
        <f t="shared" ca="1" si="32"/>
        <v>-317961759.35504383</v>
      </c>
      <c r="P98" s="185">
        <f t="shared" ca="1" si="33"/>
        <v>-10220663.508012565</v>
      </c>
      <c r="Q98" s="185">
        <f t="shared" ca="1" si="10"/>
        <v>0</v>
      </c>
      <c r="R98" s="185">
        <f t="shared" ca="1" si="34"/>
        <v>-67766000.881441787</v>
      </c>
      <c r="S98" s="185">
        <f ca="1">IF(B98="","",IF($B$31=0,"",-'Debt Financing Calculations'!E47))</f>
        <v>-16431880.502550719</v>
      </c>
      <c r="T98" s="185">
        <f t="shared" ca="1" si="35"/>
        <v>39435465.79961133</v>
      </c>
      <c r="U98" s="185">
        <f ca="1">IF(C98="","",IF(C98&lt;-1,0,IF(C98=anal_period,-LOOKUP(C98,depr_yr,depr_cost)-Depreciation!$C$141-Depreciation!$B$166,-LOOKUP(C98,depr_yr,depr_cost))))</f>
        <v>-5832583.4829827826</v>
      </c>
      <c r="V98" s="185">
        <f t="shared" ca="1" si="36"/>
        <v>33602882.316628546</v>
      </c>
      <c r="W98" s="186">
        <f t="shared" si="37"/>
        <v>0.25739999999999996</v>
      </c>
      <c r="X98" s="185">
        <f t="shared" ca="1" si="38"/>
        <v>-8649381.9083001856</v>
      </c>
      <c r="Y98" s="185">
        <f t="shared" ca="1" si="39"/>
        <v>30786083.891311146</v>
      </c>
      <c r="Z98" s="185">
        <f>IF(C98="","",IF($B$31=0,"",-'Debt Financing Calculations'!F47))</f>
        <v>0</v>
      </c>
      <c r="AA98" s="185">
        <f t="shared" ca="1" si="40"/>
        <v>22083123.163826719</v>
      </c>
      <c r="AB98" s="185">
        <f t="shared" ca="1" si="23"/>
        <v>760574325.5502435</v>
      </c>
      <c r="AC98" s="940">
        <f t="shared" ca="1" si="41"/>
        <v>30732505.072126903</v>
      </c>
      <c r="AD98" s="132"/>
      <c r="AE98" s="944">
        <f t="shared" ca="1" si="42"/>
        <v>158665500</v>
      </c>
      <c r="AF98" s="940">
        <f t="shared" si="43"/>
        <v>0</v>
      </c>
    </row>
    <row r="99" spans="1:32" x14ac:dyDescent="0.25">
      <c r="A99" s="56">
        <f t="shared" si="21"/>
        <v>2046</v>
      </c>
      <c r="B99" s="183">
        <f>IF(MAX($B$65:B98)&lt;(construct+anal_period),B98+1,"")</f>
        <v>35</v>
      </c>
      <c r="C99" s="183">
        <f t="shared" si="22"/>
        <v>32</v>
      </c>
      <c r="D99" s="183">
        <f t="shared" si="25"/>
        <v>32</v>
      </c>
      <c r="E99" s="184">
        <f t="shared" si="26"/>
        <v>1.7922546019794507</v>
      </c>
      <c r="F99" s="57">
        <f t="shared" ca="1" si="27"/>
        <v>517842251.64522022</v>
      </c>
      <c r="G99" s="953"/>
      <c r="H99" s="962">
        <f t="shared" si="24"/>
        <v>0</v>
      </c>
      <c r="I99" s="185">
        <f ca="1">IF(OR(C99&lt;0,C99=""),"",-E99*INDEX('Replacement Costs'!$A$16:$H$57,MATCH(C99,'Replacement Costs'!$C$16:$C$57,0),MATCH("Total Yearly Replacement Costs",'Replacement Costs'!$A$16:$H$16,0)))</f>
        <v>-7018213.1503851479</v>
      </c>
      <c r="J99" s="185">
        <f ca="1">IF(AND(C99&gt;=1,C99&lt;anal_period),WorkingCap*SUM(N99:R99)-WorkingCap*SUM(N98:R98),IF(C99&lt;0,0,IF(B99="","",-SUM(J$65:J98))))</f>
        <v>-1730640.1113036722</v>
      </c>
      <c r="K99" s="185" t="str">
        <f t="shared" si="28"/>
        <v/>
      </c>
      <c r="L99" s="185" t="str">
        <f t="shared" si="29"/>
        <v/>
      </c>
      <c r="M99" s="185" t="str">
        <f t="shared" si="30"/>
        <v/>
      </c>
      <c r="N99" s="185">
        <f t="shared" ca="1" si="31"/>
        <v>-57441981.967673451</v>
      </c>
      <c r="O99" s="185">
        <f t="shared" ca="1" si="32"/>
        <v>-326946565.72353554</v>
      </c>
      <c r="P99" s="185">
        <f t="shared" ca="1" si="33"/>
        <v>-10414856.114664802</v>
      </c>
      <c r="Q99" s="185">
        <f t="shared" ca="1" si="10"/>
        <v>0</v>
      </c>
      <c r="R99" s="185">
        <f t="shared" ca="1" si="34"/>
        <v>-69053554.898189172</v>
      </c>
      <c r="S99" s="185">
        <f ca="1">IF(B99="","",IF($B$31=0,"",-'Debt Financing Calculations'!E48))</f>
        <v>-16431880.502550719</v>
      </c>
      <c r="T99" s="185">
        <f t="shared" ca="1" si="35"/>
        <v>37553412.43860656</v>
      </c>
      <c r="U99" s="185">
        <f ca="1">IF(C99="","",IF(C99&lt;-1,0,IF(C99=anal_period,-LOOKUP(C99,depr_yr,depr_cost)-Depreciation!$C$141-Depreciation!$B$166,-LOOKUP(C99,depr_yr,depr_cost))))</f>
        <v>-5943402.5691594565</v>
      </c>
      <c r="V99" s="185">
        <f t="shared" ca="1" si="36"/>
        <v>31610009.869447105</v>
      </c>
      <c r="W99" s="186">
        <f t="shared" si="37"/>
        <v>0.25739999999999996</v>
      </c>
      <c r="X99" s="185">
        <f t="shared" ca="1" si="38"/>
        <v>-8136416.5403956836</v>
      </c>
      <c r="Y99" s="185">
        <f t="shared" ca="1" si="39"/>
        <v>29416995.898210876</v>
      </c>
      <c r="Z99" s="185">
        <f>IF(C99="","",IF($B$31=0,"",-'Debt Financing Calculations'!F48))</f>
        <v>0</v>
      </c>
      <c r="AA99" s="185">
        <f t="shared" ca="1" si="40"/>
        <v>20668142.636522055</v>
      </c>
      <c r="AB99" s="185">
        <f t="shared" ca="1" si="23"/>
        <v>781242468.18676555</v>
      </c>
      <c r="AC99" s="940">
        <f t="shared" ca="1" si="41"/>
        <v>28804559.176917739</v>
      </c>
      <c r="AD99" s="132"/>
      <c r="AE99" s="944">
        <f t="shared" ca="1" si="42"/>
        <v>158665500</v>
      </c>
      <c r="AF99" s="940">
        <f t="shared" si="43"/>
        <v>0</v>
      </c>
    </row>
    <row r="100" spans="1:32" x14ac:dyDescent="0.25">
      <c r="A100" s="56">
        <f t="shared" si="21"/>
        <v>2047</v>
      </c>
      <c r="B100" s="183">
        <f>IF(MAX($B$65:B99)&lt;(construct+anal_period),B99+1,"")</f>
        <v>36</v>
      </c>
      <c r="C100" s="183">
        <f t="shared" si="22"/>
        <v>33</v>
      </c>
      <c r="D100" s="183">
        <f t="shared" si="25"/>
        <v>33</v>
      </c>
      <c r="E100" s="184">
        <f t="shared" si="26"/>
        <v>1.8263074394170602</v>
      </c>
      <c r="F100" s="57">
        <f t="shared" ca="1" si="27"/>
        <v>527681254.42647934</v>
      </c>
      <c r="G100" s="953"/>
      <c r="H100" s="962">
        <f t="shared" si="24"/>
        <v>0</v>
      </c>
      <c r="I100" s="185">
        <f ca="1">IF(OR(C100&lt;0,C100=""),"",-E100*INDEX('Replacement Costs'!$A$16:$H$57,MATCH(C100,'Replacement Costs'!$C$16:$C$57,0),MATCH("Total Yearly Replacement Costs",'Replacement Costs'!$A$16:$H$16,0)))</f>
        <v>-7151559.2002424654</v>
      </c>
      <c r="J100" s="185">
        <f ca="1">IF(AND(C100&gt;=1,C100&lt;anal_period),WorkingCap*SUM(N100:R100)-WorkingCap*SUM(N99:R99),IF(C100&lt;0,0,IF(B100="","",-SUM(J$65:J99))))</f>
        <v>-1811784.6330243647</v>
      </c>
      <c r="K100" s="185" t="str">
        <f t="shared" si="28"/>
        <v/>
      </c>
      <c r="L100" s="185" t="str">
        <f t="shared" si="29"/>
        <v/>
      </c>
      <c r="M100" s="185" t="str">
        <f t="shared" si="30"/>
        <v/>
      </c>
      <c r="N100" s="185">
        <f t="shared" ca="1" si="31"/>
        <v>-58533379.62505924</v>
      </c>
      <c r="O100" s="185">
        <f t="shared" ca="1" si="32"/>
        <v>-336423832.47706789</v>
      </c>
      <c r="P100" s="185">
        <f t="shared" ca="1" si="33"/>
        <v>-10612738.380843433</v>
      </c>
      <c r="Q100" s="185">
        <f t="shared" ca="1" si="10"/>
        <v>0</v>
      </c>
      <c r="R100" s="185">
        <f t="shared" ca="1" si="34"/>
        <v>-70365572.441254765</v>
      </c>
      <c r="S100" s="185">
        <f ca="1">IF(B100="","",IF($B$31=0,"",-'Debt Financing Calculations'!E49))</f>
        <v>-16431880.502550719</v>
      </c>
      <c r="T100" s="185">
        <f t="shared" ca="1" si="35"/>
        <v>35313850.999703288</v>
      </c>
      <c r="U100" s="185">
        <f ca="1">IF(C100="","",IF(C100&lt;-1,0,IF(C100=anal_period,-LOOKUP(C100,depr_yr,depr_cost)-Depreciation!$C$141-Depreciation!$B$166,-LOOKUP(C100,depr_yr,depr_cost))))</f>
        <v>-6056327.2179734856</v>
      </c>
      <c r="V100" s="185">
        <f t="shared" ca="1" si="36"/>
        <v>29257523.781729802</v>
      </c>
      <c r="W100" s="186">
        <f t="shared" si="37"/>
        <v>0.25739999999999996</v>
      </c>
      <c r="X100" s="185">
        <f t="shared" ca="1" si="38"/>
        <v>-7530886.6214172505</v>
      </c>
      <c r="Y100" s="185">
        <f t="shared" ca="1" si="39"/>
        <v>27782964.378286038</v>
      </c>
      <c r="Z100" s="185">
        <f>IF(C100="","",IF($B$31=0,"",-'Debt Financing Calculations'!F49))</f>
        <v>0</v>
      </c>
      <c r="AA100" s="185">
        <f t="shared" ca="1" si="40"/>
        <v>18819620.545019206</v>
      </c>
      <c r="AB100" s="185">
        <f t="shared" ca="1" si="23"/>
        <v>800062088.7317847</v>
      </c>
      <c r="AC100" s="940">
        <f t="shared" ca="1" si="41"/>
        <v>26350507.166436456</v>
      </c>
      <c r="AD100" s="132"/>
      <c r="AE100" s="944">
        <f t="shared" ca="1" si="42"/>
        <v>158665500</v>
      </c>
      <c r="AF100" s="940">
        <f t="shared" si="43"/>
        <v>0</v>
      </c>
    </row>
    <row r="101" spans="1:32" x14ac:dyDescent="0.25">
      <c r="A101" s="56">
        <f t="shared" si="21"/>
        <v>2048</v>
      </c>
      <c r="B101" s="183">
        <f>IF(MAX($B$65:B100)&lt;(construct+anal_period),B100+1,"")</f>
        <v>37</v>
      </c>
      <c r="C101" s="183">
        <f t="shared" si="22"/>
        <v>34</v>
      </c>
      <c r="D101" s="183">
        <f t="shared" si="25"/>
        <v>34</v>
      </c>
      <c r="E101" s="184">
        <f t="shared" si="26"/>
        <v>1.8610072807659841</v>
      </c>
      <c r="F101" s="57">
        <f t="shared" ca="1" si="27"/>
        <v>537707198.26058245</v>
      </c>
      <c r="G101" s="953"/>
      <c r="H101" s="962">
        <f t="shared" si="24"/>
        <v>0</v>
      </c>
      <c r="I101" s="185">
        <f ca="1">IF(OR(C101&lt;0,C101=""),"",-E101*INDEX('Replacement Costs'!$A$16:$H$57,MATCH(C101,'Replacement Costs'!$C$16:$C$57,0),MATCH("Total Yearly Replacement Costs",'Replacement Costs'!$A$16:$H$16,0)))</f>
        <v>-7287438.8250470711</v>
      </c>
      <c r="J101" s="185">
        <f ca="1">IF(AND(C101&gt;=1,C101&lt;anal_period),WorkingCap*SUM(N101:R101)-WorkingCap*SUM(N100:R100),IF(C101&lt;0,0,IF(B101="","",-SUM(J$65:J100))))</f>
        <v>-2223699.8146078289</v>
      </c>
      <c r="K101" s="185" t="str">
        <f t="shared" si="28"/>
        <v/>
      </c>
      <c r="L101" s="185" t="str">
        <f t="shared" si="29"/>
        <v/>
      </c>
      <c r="M101" s="185" t="str">
        <f t="shared" si="30"/>
        <v/>
      </c>
      <c r="N101" s="185">
        <f t="shared" ca="1" si="31"/>
        <v>-59645513.837935358</v>
      </c>
      <c r="O101" s="185">
        <f t="shared" ca="1" si="32"/>
        <v>-348597775.78929073</v>
      </c>
      <c r="P101" s="185">
        <f t="shared" ca="1" si="33"/>
        <v>-10814380.410079457</v>
      </c>
      <c r="Q101" s="185">
        <f t="shared" ca="1" si="10"/>
        <v>0</v>
      </c>
      <c r="R101" s="185">
        <f t="shared" ca="1" si="34"/>
        <v>-71702518.317638591</v>
      </c>
      <c r="S101" s="185">
        <f ca="1">IF(B101="","",IF($B$31=0,"",-'Debt Financing Calculations'!E50))</f>
        <v>-16431880.502550719</v>
      </c>
      <c r="T101" s="185">
        <f t="shared" ca="1" si="35"/>
        <v>30515129.403087556</v>
      </c>
      <c r="U101" s="185">
        <f ca="1">IF(C101="","",IF(C101&lt;-1,0,IF(C101=anal_period,-LOOKUP(C101,depr_yr,depr_cost)-Depreciation!$C$141-Depreciation!$B$166,-LOOKUP(C101,depr_yr,depr_cost))))</f>
        <v>-6171397.4351149835</v>
      </c>
      <c r="V101" s="185">
        <f t="shared" ca="1" si="36"/>
        <v>24343731.967972573</v>
      </c>
      <c r="W101" s="186">
        <f t="shared" si="37"/>
        <v>0.25739999999999996</v>
      </c>
      <c r="X101" s="185">
        <f t="shared" ca="1" si="38"/>
        <v>-6266076.6085561393</v>
      </c>
      <c r="Y101" s="185">
        <f t="shared" ca="1" si="39"/>
        <v>24249052.794531416</v>
      </c>
      <c r="Z101" s="185">
        <f>IF(C101="","",IF($B$31=0,"",-'Debt Financing Calculations'!F50))</f>
        <v>0</v>
      </c>
      <c r="AA101" s="185">
        <f t="shared" ca="1" si="40"/>
        <v>14737914.154876515</v>
      </c>
      <c r="AB101" s="185">
        <f t="shared" ca="1" si="23"/>
        <v>814800002.88666117</v>
      </c>
      <c r="AC101" s="940">
        <f t="shared" ca="1" si="41"/>
        <v>21003990.763432655</v>
      </c>
      <c r="AD101" s="132"/>
      <c r="AE101" s="944">
        <f t="shared" ca="1" si="42"/>
        <v>158665500</v>
      </c>
      <c r="AF101" s="940">
        <f t="shared" si="43"/>
        <v>0</v>
      </c>
    </row>
    <row r="102" spans="1:32" x14ac:dyDescent="0.25">
      <c r="A102" s="56">
        <f t="shared" si="21"/>
        <v>2049</v>
      </c>
      <c r="B102" s="183">
        <f>IF(MAX($B$65:B101)&lt;(construct+anal_period),B101+1,"")</f>
        <v>38</v>
      </c>
      <c r="C102" s="183">
        <f t="shared" si="22"/>
        <v>35</v>
      </c>
      <c r="D102" s="183">
        <f t="shared" si="25"/>
        <v>35</v>
      </c>
      <c r="E102" s="184">
        <f t="shared" si="26"/>
        <v>1.8963664191005378</v>
      </c>
      <c r="F102" s="57">
        <f t="shared" ca="1" si="27"/>
        <v>547923635.02753353</v>
      </c>
      <c r="G102" s="953"/>
      <c r="H102" s="962">
        <f t="shared" si="24"/>
        <v>0</v>
      </c>
      <c r="I102" s="185">
        <f ca="1">IF(OR(C102&lt;0,C102=""),"",-E102*INDEX('Replacement Costs'!$A$16:$H$57,MATCH(C102,'Replacement Costs'!$C$16:$C$57,0),MATCH("Total Yearly Replacement Costs",'Replacement Costs'!$A$16:$H$16,0)))</f>
        <v>-7425900.1627229657</v>
      </c>
      <c r="J102" s="185">
        <f ca="1">IF(AND(C102&gt;=1,C102&lt;anal_period),WorkingCap*SUM(N102:R102)-WorkingCap*SUM(N101:R101),IF(C102&lt;0,0,IF(B102="","",-SUM(J$65:J101))))</f>
        <v>-1696745.3809758574</v>
      </c>
      <c r="K102" s="185" t="str">
        <f t="shared" si="28"/>
        <v/>
      </c>
      <c r="L102" s="185" t="str">
        <f t="shared" si="29"/>
        <v/>
      </c>
      <c r="M102" s="185" t="str">
        <f t="shared" si="30"/>
        <v/>
      </c>
      <c r="N102" s="185">
        <f t="shared" ca="1" si="31"/>
        <v>-60778778.600856133</v>
      </c>
      <c r="O102" s="185">
        <f t="shared" ca="1" si="32"/>
        <v>-357208325.82371575</v>
      </c>
      <c r="P102" s="185">
        <f t="shared" ca="1" si="33"/>
        <v>-11019853.637870966</v>
      </c>
      <c r="Q102" s="185">
        <f t="shared" ca="1" si="10"/>
        <v>0</v>
      </c>
      <c r="R102" s="185">
        <f t="shared" ca="1" si="34"/>
        <v>-73064866.165673733</v>
      </c>
      <c r="S102" s="185">
        <f ca="1">IF(B102="","",IF($B$31=0,"",-'Debt Financing Calculations'!E51))</f>
        <v>-16431880.502550719</v>
      </c>
      <c r="T102" s="185">
        <f t="shared" ca="1" si="35"/>
        <v>29419930.296866238</v>
      </c>
      <c r="U102" s="185">
        <f ca="1">IF(C102="","",IF(C102&lt;-1,0,IF(C102=anal_period,-LOOKUP(C102,depr_yr,depr_cost)-Depreciation!$C$141-Depreciation!$B$166,-LOOKUP(C102,depr_yr,depr_cost))))</f>
        <v>-6288653.9863821669</v>
      </c>
      <c r="V102" s="185">
        <f t="shared" ca="1" si="36"/>
        <v>23131276.31048407</v>
      </c>
      <c r="W102" s="186">
        <f t="shared" si="37"/>
        <v>0.25739999999999996</v>
      </c>
      <c r="X102" s="185">
        <f t="shared" ca="1" si="38"/>
        <v>-5953990.5223185988</v>
      </c>
      <c r="Y102" s="185">
        <f t="shared" ca="1" si="39"/>
        <v>23465939.77454764</v>
      </c>
      <c r="Z102" s="185">
        <f>IF(C102="","",IF($B$31=0,"",-'Debt Financing Calculations'!F51))</f>
        <v>0</v>
      </c>
      <c r="AA102" s="185">
        <f t="shared" ca="1" si="40"/>
        <v>14343294.230848815</v>
      </c>
      <c r="AB102" s="185">
        <f t="shared" ca="1" si="23"/>
        <v>829143297.11750996</v>
      </c>
      <c r="AC102" s="940">
        <f t="shared" ca="1" si="41"/>
        <v>20297284.753167413</v>
      </c>
      <c r="AD102" s="132"/>
      <c r="AE102" s="944">
        <f t="shared" ca="1" si="42"/>
        <v>158665500</v>
      </c>
      <c r="AF102" s="940">
        <f t="shared" si="43"/>
        <v>0</v>
      </c>
    </row>
    <row r="103" spans="1:32" x14ac:dyDescent="0.25">
      <c r="A103" s="56">
        <f t="shared" si="21"/>
        <v>2050</v>
      </c>
      <c r="B103" s="183">
        <f>IF(MAX($B$65:B102)&lt;(construct+anal_period),B102+1,"")</f>
        <v>39</v>
      </c>
      <c r="C103" s="183">
        <f t="shared" si="22"/>
        <v>36</v>
      </c>
      <c r="D103" s="183">
        <f t="shared" si="25"/>
        <v>36</v>
      </c>
      <c r="E103" s="184">
        <f t="shared" si="26"/>
        <v>1.932397381063448</v>
      </c>
      <c r="F103" s="57">
        <f t="shared" ca="1" si="27"/>
        <v>558334184.09305656</v>
      </c>
      <c r="G103" s="953"/>
      <c r="H103" s="962">
        <f t="shared" si="24"/>
        <v>0</v>
      </c>
      <c r="I103" s="185">
        <f ca="1">IF(OR(C103&lt;0,C103=""),"",-E103*INDEX('Replacement Costs'!$A$16:$H$57,MATCH(C103,'Replacement Costs'!$C$16:$C$57,0),MATCH("Total Yearly Replacement Costs",'Replacement Costs'!$A$16:$H$16,0)))</f>
        <v>-7566992.265814702</v>
      </c>
      <c r="J103" s="185">
        <f ca="1">IF(AND(C103&gt;=1,C103&lt;anal_period),WorkingCap*SUM(N103:R103)-WorkingCap*SUM(N102:R102),IF(C103&lt;0,0,IF(B103="","",-SUM(J$65:J102))))</f>
        <v>-2070706.9571779668</v>
      </c>
      <c r="K103" s="185" t="str">
        <f t="shared" si="28"/>
        <v/>
      </c>
      <c r="L103" s="185" t="str">
        <f t="shared" si="29"/>
        <v/>
      </c>
      <c r="M103" s="185" t="str">
        <f t="shared" si="30"/>
        <v/>
      </c>
      <c r="N103" s="185">
        <f t="shared" ca="1" si="31"/>
        <v>-61933575.394272402</v>
      </c>
      <c r="O103" s="185">
        <f t="shared" ca="1" si="32"/>
        <v>-368260632.40188527</v>
      </c>
      <c r="P103" s="185">
        <f t="shared" ca="1" si="33"/>
        <v>-11229230.856990514</v>
      </c>
      <c r="Q103" s="185">
        <f t="shared" ca="1" si="10"/>
        <v>0</v>
      </c>
      <c r="R103" s="185">
        <f t="shared" ca="1" si="34"/>
        <v>-74453098.622821525</v>
      </c>
      <c r="S103" s="185">
        <f ca="1">IF(B103="","",IF($B$31=0,"",-'Debt Financing Calculations'!E52))</f>
        <v>-16431880.502550719</v>
      </c>
      <c r="T103" s="185">
        <f t="shared" ca="1" si="35"/>
        <v>26025766.314536154</v>
      </c>
      <c r="U103" s="185">
        <f ca="1">IF(C103="","",IF(C103&lt;-1,0,IF(C103=anal_period,-LOOKUP(C103,depr_yr,depr_cost)-Depreciation!$C$141-Depreciation!$B$166,-LOOKUP(C103,depr_yr,depr_cost))))</f>
        <v>-6408138.4121234259</v>
      </c>
      <c r="V103" s="185">
        <f t="shared" ca="1" si="36"/>
        <v>19617627.902412727</v>
      </c>
      <c r="W103" s="186">
        <f t="shared" si="37"/>
        <v>0.25739999999999996</v>
      </c>
      <c r="X103" s="185">
        <f t="shared" ca="1" si="38"/>
        <v>-5049577.4220810356</v>
      </c>
      <c r="Y103" s="185">
        <f t="shared" ca="1" si="39"/>
        <v>20976188.89245512</v>
      </c>
      <c r="Z103" s="185">
        <f>IF(C103="","",IF($B$31=0,"",-'Debt Financing Calculations'!F52))</f>
        <v>0</v>
      </c>
      <c r="AA103" s="185">
        <f t="shared" ca="1" si="40"/>
        <v>11338489.66946245</v>
      </c>
      <c r="AB103" s="185">
        <f t="shared" ca="1" si="23"/>
        <v>840481786.7869724</v>
      </c>
      <c r="AC103" s="940">
        <f t="shared" ca="1" si="41"/>
        <v>16388067.091543484</v>
      </c>
      <c r="AD103" s="132"/>
      <c r="AE103" s="944">
        <f t="shared" ca="1" si="42"/>
        <v>158665500</v>
      </c>
      <c r="AF103" s="940">
        <f t="shared" si="43"/>
        <v>0</v>
      </c>
    </row>
    <row r="104" spans="1:32" x14ac:dyDescent="0.25">
      <c r="A104" s="56">
        <f t="shared" si="21"/>
        <v>2051</v>
      </c>
      <c r="B104" s="183">
        <f>IF(MAX($B$65:B103)&lt;(construct+anal_period),B103+1,"")</f>
        <v>40</v>
      </c>
      <c r="C104" s="183">
        <f t="shared" si="22"/>
        <v>37</v>
      </c>
      <c r="D104" s="183">
        <f t="shared" si="25"/>
        <v>37</v>
      </c>
      <c r="E104" s="184">
        <f t="shared" si="26"/>
        <v>1.9691129313036535</v>
      </c>
      <c r="F104" s="57">
        <f t="shared" ca="1" si="27"/>
        <v>568942533.59082472</v>
      </c>
      <c r="G104" s="953"/>
      <c r="H104" s="962">
        <f t="shared" si="24"/>
        <v>0</v>
      </c>
      <c r="I104" s="185">
        <f ca="1">IF(OR(C104&lt;0,C104=""),"",-E104*INDEX('Replacement Costs'!$A$16:$H$57,MATCH(C104,'Replacement Costs'!$C$16:$C$57,0),MATCH("Total Yearly Replacement Costs",'Replacement Costs'!$A$16:$H$16,0)))</f>
        <v>-7710765.1188651808</v>
      </c>
      <c r="J104" s="185">
        <f ca="1">IF(AND(C104&gt;=1,C104&lt;anal_period),WorkingCap*SUM(N104:R104)-WorkingCap*SUM(N103:R103),IF(C104&lt;0,0,IF(B104="","",-SUM(J$65:J103))))</f>
        <v>-1757579.5494758487</v>
      </c>
      <c r="K104" s="185" t="str">
        <f t="shared" si="28"/>
        <v/>
      </c>
      <c r="L104" s="185" t="str">
        <f t="shared" si="29"/>
        <v/>
      </c>
      <c r="M104" s="185" t="str">
        <f t="shared" si="30"/>
        <v/>
      </c>
      <c r="N104" s="185">
        <f t="shared" ca="1" si="31"/>
        <v>-63110313.32676357</v>
      </c>
      <c r="O104" s="185">
        <f t="shared" ca="1" si="32"/>
        <v>-377173127.20578337</v>
      </c>
      <c r="P104" s="185">
        <f t="shared" ca="1" si="33"/>
        <v>-11442586.243273335</v>
      </c>
      <c r="Q104" s="185">
        <f t="shared" ca="1" si="10"/>
        <v>0</v>
      </c>
      <c r="R104" s="185">
        <f t="shared" ca="1" si="34"/>
        <v>-75867707.496655136</v>
      </c>
      <c r="S104" s="185">
        <f ca="1">IF(B104="","",IF($B$31=0,"",-'Debt Financing Calculations'!E53))</f>
        <v>-16431880.502550719</v>
      </c>
      <c r="T104" s="185">
        <f t="shared" ca="1" si="35"/>
        <v>24916918.81579864</v>
      </c>
      <c r="U104" s="185">
        <f ca="1">IF(C104="","",IF(C104&lt;-1,0,IF(C104=anal_period,-LOOKUP(C104,depr_yr,depr_cost)-Depreciation!$C$141-Depreciation!$B$166,-LOOKUP(C104,depr_yr,depr_cost))))</f>
        <v>-6529893.0419537732</v>
      </c>
      <c r="V104" s="185">
        <f t="shared" ca="1" si="36"/>
        <v>18387025.773844868</v>
      </c>
      <c r="W104" s="186">
        <f t="shared" si="37"/>
        <v>0.25739999999999996</v>
      </c>
      <c r="X104" s="185">
        <f t="shared" ca="1" si="38"/>
        <v>-4732820.4341876684</v>
      </c>
      <c r="Y104" s="185">
        <f t="shared" ca="1" si="39"/>
        <v>20184098.381610971</v>
      </c>
      <c r="Z104" s="185">
        <f>IF(C104="","",IF($B$31=0,"",-'Debt Financing Calculations'!F53))</f>
        <v>0</v>
      </c>
      <c r="AA104" s="185">
        <f t="shared" ca="1" si="40"/>
        <v>10715753.713269942</v>
      </c>
      <c r="AB104" s="185">
        <f t="shared" ca="1" si="23"/>
        <v>851197540.50024235</v>
      </c>
      <c r="AC104" s="940">
        <f t="shared" ca="1" si="41"/>
        <v>15448574.147457611</v>
      </c>
      <c r="AD104" s="132"/>
      <c r="AE104" s="944">
        <f t="shared" ca="1" si="42"/>
        <v>158665500</v>
      </c>
      <c r="AF104" s="940">
        <f t="shared" si="43"/>
        <v>0</v>
      </c>
    </row>
    <row r="105" spans="1:32" x14ac:dyDescent="0.25">
      <c r="A105" s="56">
        <f t="shared" si="21"/>
        <v>2052</v>
      </c>
      <c r="B105" s="183">
        <f>IF(MAX($B$65:B104)&lt;(construct+anal_period),B104+1,"")</f>
        <v>41</v>
      </c>
      <c r="C105" s="183">
        <f t="shared" si="22"/>
        <v>38</v>
      </c>
      <c r="D105" s="183">
        <f t="shared" si="25"/>
        <v>38</v>
      </c>
      <c r="E105" s="184">
        <f t="shared" si="26"/>
        <v>2.0065260769984223</v>
      </c>
      <c r="F105" s="57">
        <f t="shared" ca="1" si="27"/>
        <v>579752441.72905016</v>
      </c>
      <c r="G105" s="953"/>
      <c r="H105" s="962">
        <f t="shared" si="24"/>
        <v>0</v>
      </c>
      <c r="I105" s="185">
        <f ca="1">IF(OR(C105&lt;0,C105=""),"",-E105*INDEX('Replacement Costs'!$A$16:$H$57,MATCH(C105,'Replacement Costs'!$C$16:$C$57,0),MATCH("Total Yearly Replacement Costs",'Replacement Costs'!$A$16:$H$16,0)))</f>
        <v>-7857269.6561236177</v>
      </c>
      <c r="J105" s="185">
        <f ca="1">IF(AND(C105&gt;=1,C105&lt;anal_period),WorkingCap*SUM(N105:R105)-WorkingCap*SUM(N104:R104),IF(C105&lt;0,0,IF(B105="","",-SUM(J$65:J104))))</f>
        <v>-1798036.9255775809</v>
      </c>
      <c r="K105" s="185" t="str">
        <f t="shared" si="28"/>
        <v/>
      </c>
      <c r="L105" s="185" t="str">
        <f t="shared" si="29"/>
        <v/>
      </c>
      <c r="M105" s="185" t="str">
        <f t="shared" si="30"/>
        <v/>
      </c>
      <c r="N105" s="185">
        <f t="shared" ca="1" si="31"/>
        <v>-64309409.279972062</v>
      </c>
      <c r="O105" s="185">
        <f t="shared" ca="1" si="32"/>
        <v>-386302048.50869995</v>
      </c>
      <c r="P105" s="185">
        <f t="shared" ca="1" si="33"/>
        <v>-11659995.381895524</v>
      </c>
      <c r="Q105" s="185">
        <f t="shared" ca="1" si="10"/>
        <v>0</v>
      </c>
      <c r="R105" s="185">
        <f t="shared" ca="1" si="34"/>
        <v>-77309193.939091563</v>
      </c>
      <c r="S105" s="185">
        <f ca="1">IF(B105="","",IF($B$31=0,"",-'Debt Financing Calculations'!E54))</f>
        <v>-16431880.502550719</v>
      </c>
      <c r="T105" s="185">
        <f t="shared" ca="1" si="35"/>
        <v>23739914.116840243</v>
      </c>
      <c r="U105" s="185">
        <f ca="1">IF(C105="","",IF(C105&lt;-1,0,IF(C105=anal_period,-LOOKUP(C105,depr_yr,depr_cost)-Depreciation!$C$141-Depreciation!$B$166,-LOOKUP(C105,depr_yr,depr_cost))))</f>
        <v>-6653961.0097508943</v>
      </c>
      <c r="V105" s="185">
        <f t="shared" ca="1" si="36"/>
        <v>17085953.107089348</v>
      </c>
      <c r="W105" s="186">
        <f t="shared" si="37"/>
        <v>0.25739999999999996</v>
      </c>
      <c r="X105" s="185">
        <f t="shared" ca="1" si="38"/>
        <v>-4397924.3297647974</v>
      </c>
      <c r="Y105" s="185">
        <f t="shared" ca="1" si="39"/>
        <v>19341989.787075445</v>
      </c>
      <c r="Z105" s="185">
        <f>IF(C105="","",IF($B$31=0,"",-'Debt Financing Calculations'!F54))</f>
        <v>0</v>
      </c>
      <c r="AA105" s="185">
        <f t="shared" ca="1" si="40"/>
        <v>9686683.2053742483</v>
      </c>
      <c r="AB105" s="185">
        <f t="shared" ca="1" si="23"/>
        <v>860884223.70561659</v>
      </c>
      <c r="AC105" s="940">
        <f t="shared" ca="1" si="41"/>
        <v>14084607.535139045</v>
      </c>
      <c r="AD105" s="132"/>
      <c r="AE105" s="944">
        <f t="shared" ca="1" si="42"/>
        <v>158665500</v>
      </c>
      <c r="AF105" s="940">
        <f t="shared" si="43"/>
        <v>0</v>
      </c>
    </row>
    <row r="106" spans="1:32" x14ac:dyDescent="0.25">
      <c r="A106" s="56">
        <f t="shared" si="21"/>
        <v>2053</v>
      </c>
      <c r="B106" s="183">
        <f>IF(MAX($B$65:B105)&lt;(construct+anal_period),B105+1,"")</f>
        <v>42</v>
      </c>
      <c r="C106" s="183">
        <f t="shared" si="22"/>
        <v>39</v>
      </c>
      <c r="D106" s="183">
        <f t="shared" si="25"/>
        <v>39</v>
      </c>
      <c r="E106" s="184">
        <f t="shared" si="26"/>
        <v>2.0446500724613927</v>
      </c>
      <c r="F106" s="57">
        <f t="shared" ca="1" si="27"/>
        <v>590767738.12190223</v>
      </c>
      <c r="G106" s="953"/>
      <c r="H106" s="962">
        <f t="shared" si="24"/>
        <v>0</v>
      </c>
      <c r="I106" s="185">
        <f ca="1">IF(OR(C106&lt;0,C106=""),"",-E106*INDEX('Replacement Costs'!$A$16:$H$57,MATCH(C106,'Replacement Costs'!$C$16:$C$57,0),MATCH("Total Yearly Replacement Costs",'Replacement Costs'!$A$16:$H$16,0)))</f>
        <v>-8006557.7795899678</v>
      </c>
      <c r="J106" s="185">
        <f ca="1">IF(AND(C106&gt;=1,C106&lt;anal_period),WorkingCap*SUM(N106:R106)-WorkingCap*SUM(N105:R105),IF(C106&lt;0,0,IF(B106="","",-SUM(J$65:J105))))</f>
        <v>-1839436.7381715328</v>
      </c>
      <c r="K106" s="185" t="str">
        <f t="shared" si="28"/>
        <v/>
      </c>
      <c r="L106" s="185" t="str">
        <f t="shared" si="29"/>
        <v/>
      </c>
      <c r="M106" s="185" t="str">
        <f t="shared" si="30"/>
        <v/>
      </c>
      <c r="N106" s="185">
        <f t="shared" ca="1" si="31"/>
        <v>-65531288.056291543</v>
      </c>
      <c r="O106" s="185">
        <f t="shared" ca="1" si="32"/>
        <v>-395652666.72309208</v>
      </c>
      <c r="P106" s="185">
        <f t="shared" ca="1" si="33"/>
        <v>-11881535.294151541</v>
      </c>
      <c r="Q106" s="185">
        <f t="shared" ca="1" si="10"/>
        <v>0</v>
      </c>
      <c r="R106" s="185">
        <f t="shared" ca="1" si="34"/>
        <v>-78778068.623934314</v>
      </c>
      <c r="S106" s="185">
        <f ca="1">IF(B106="","",IF($B$31=0,"",-'Debt Financing Calculations'!E55))</f>
        <v>-16431880.502550719</v>
      </c>
      <c r="T106" s="185">
        <f ca="1">IF(C106="","",F106+SUM(L106:S106))</f>
        <v>22492298.921882033</v>
      </c>
      <c r="U106" s="185">
        <f ca="1">IF(C106="","",IF(C106&lt;-1,0,IF(C106=anal_period,-LOOKUP(C106,depr_yr,depr_cost)-Depreciation!$C$141-Depreciation!$B$166,-LOOKUP(C106,depr_yr,depr_cost))))</f>
        <v>-6780386.268936161</v>
      </c>
      <c r="V106" s="185">
        <f t="shared" ca="1" si="36"/>
        <v>15711912.652945872</v>
      </c>
      <c r="W106" s="186">
        <f t="shared" si="37"/>
        <v>0.25739999999999996</v>
      </c>
      <c r="X106" s="185">
        <f t="shared" ca="1" si="38"/>
        <v>-4044246.316868267</v>
      </c>
      <c r="Y106" s="185">
        <f t="shared" ca="1" si="39"/>
        <v>18448052.605013765</v>
      </c>
      <c r="Z106" s="185">
        <f>IF(C106="","",IF($B$31=0,"",-'Debt Financing Calculations'!F55))</f>
        <v>0</v>
      </c>
      <c r="AA106" s="185">
        <f t="shared" ca="1" si="40"/>
        <v>8602058.0872522667</v>
      </c>
      <c r="AB106" s="185">
        <f t="shared" ca="1" si="23"/>
        <v>869486281.79286885</v>
      </c>
      <c r="AC106" s="940">
        <f ca="1">IF(C106="","",SUM(H106,I106,J106,K106,T106,Z106))</f>
        <v>12646304.404120533</v>
      </c>
      <c r="AD106" s="132"/>
      <c r="AE106" s="944">
        <f t="shared" ca="1" si="42"/>
        <v>158665500</v>
      </c>
      <c r="AF106" s="940">
        <f t="shared" si="43"/>
        <v>0</v>
      </c>
    </row>
    <row r="107" spans="1:32" x14ac:dyDescent="0.25">
      <c r="A107" s="56">
        <f t="shared" si="21"/>
        <v>2054</v>
      </c>
      <c r="B107" s="183">
        <f>IF(MAX($B$65:B106)&lt;(construct+anal_period),B106+1,"")</f>
        <v>43</v>
      </c>
      <c r="C107" s="183">
        <f t="shared" si="22"/>
        <v>40</v>
      </c>
      <c r="D107" s="183">
        <f t="shared" si="25"/>
        <v>40</v>
      </c>
      <c r="E107" s="184">
        <f t="shared" si="26"/>
        <v>2.0834984238381593</v>
      </c>
      <c r="F107" s="57">
        <f t="shared" ca="1" si="27"/>
        <v>601992325.14621842</v>
      </c>
      <c r="G107" s="953"/>
      <c r="H107" s="962">
        <f t="shared" si="24"/>
        <v>0</v>
      </c>
      <c r="I107" s="185">
        <f ca="1">IF(OR(C107&lt;0,C107=""),"",-E107*INDEX('Replacement Costs'!$A$16:$H$57,MATCH(C107,'Replacement Costs'!$C$16:$C$57,0),MATCH("Total Yearly Replacement Costs",'Replacement Costs'!$A$16:$H$16,0)))</f>
        <v>-8158682.3774021771</v>
      </c>
      <c r="J107" s="185">
        <f ca="1">IF(AND(C107&gt;=1,C107&lt;anal_period),WorkingCap*SUM(N107:R107)-WorkingCap*SUM(N106:R106),IF(C107&lt;0,0,IF(B107="","",-SUM(J$65:J106))))</f>
        <v>82776533.804620415</v>
      </c>
      <c r="K107" s="185" t="str">
        <f t="shared" si="28"/>
        <v/>
      </c>
      <c r="L107" s="185">
        <f t="shared" ca="1" si="29"/>
        <v>164153528.90581259</v>
      </c>
      <c r="M107" s="185">
        <f t="shared" ca="1" si="30"/>
        <v>-163173647.54804358</v>
      </c>
      <c r="N107" s="185">
        <f t="shared" ca="1" si="31"/>
        <v>-66776382.529361084</v>
      </c>
      <c r="O107" s="185">
        <f t="shared" ca="1" si="32"/>
        <v>-405230380.90630323</v>
      </c>
      <c r="P107" s="185">
        <f t="shared" ca="1" si="33"/>
        <v>-12107284.464740422</v>
      </c>
      <c r="Q107" s="185">
        <f t="shared" ca="1" si="10"/>
        <v>0</v>
      </c>
      <c r="R107" s="185">
        <f t="shared" ca="1" si="34"/>
        <v>-80274851.927789077</v>
      </c>
      <c r="S107" s="185">
        <f ca="1">IF(B107="","",IF($B$31=0,"",-'Debt Financing Calculations'!E56))</f>
        <v>-16431880.502550719</v>
      </c>
      <c r="T107" s="185">
        <f t="shared" ca="1" si="35"/>
        <v>22151426.173242927</v>
      </c>
      <c r="U107" s="185">
        <f ca="1">IF(C107="","",IF(C107&lt;-1,0,IF(C107=anal_period,-LOOKUP(C107,depr_yr,depr_cost)-Depreciation!$C$141-Depreciation!$B$166,-LOOKUP(C107,depr_yr,depr_cost))))</f>
        <v>-73920196.554045916</v>
      </c>
      <c r="V107" s="185">
        <f t="shared" ca="1" si="36"/>
        <v>-51768770.380802989</v>
      </c>
      <c r="W107" s="186">
        <f t="shared" si="37"/>
        <v>0.25739999999999996</v>
      </c>
      <c r="X107" s="185">
        <f t="shared" ca="1" si="38"/>
        <v>13325281.496018687</v>
      </c>
      <c r="Y107" s="185">
        <f t="shared" ca="1" si="39"/>
        <v>35476707.669261612</v>
      </c>
      <c r="Z107" s="185">
        <f ca="1">IF(C107="","",IF($B$31=0,"",-'Debt Financing Calculations'!F56))</f>
        <v>-444104878.44731677</v>
      </c>
      <c r="AA107" s="185">
        <f t="shared" ca="1" si="40"/>
        <v>-334010319.35083687</v>
      </c>
      <c r="AB107" s="185">
        <f t="shared" ca="1" si="23"/>
        <v>535475962.44203198</v>
      </c>
      <c r="AC107" s="940">
        <f t="shared" ca="1" si="41"/>
        <v>-347335600.84685558</v>
      </c>
      <c r="AD107" s="132"/>
      <c r="AE107" s="944">
        <f t="shared" ca="1" si="42"/>
        <v>158665500</v>
      </c>
      <c r="AF107" s="940">
        <f t="shared" si="43"/>
        <v>0</v>
      </c>
    </row>
    <row r="108" spans="1:32" x14ac:dyDescent="0.25">
      <c r="A108" s="56" t="str">
        <f t="shared" si="21"/>
        <v/>
      </c>
      <c r="B108" s="183" t="str">
        <f>IF(MAX($B$65:B107)&lt;(construct+anal_period),B107+1,"")</f>
        <v/>
      </c>
      <c r="C108" s="183" t="str">
        <f t="shared" si="22"/>
        <v/>
      </c>
      <c r="D108" s="183" t="str">
        <f t="shared" si="25"/>
        <v/>
      </c>
      <c r="E108" s="184" t="str">
        <f t="shared" si="26"/>
        <v/>
      </c>
      <c r="F108" s="57" t="str">
        <f t="shared" si="27"/>
        <v/>
      </c>
      <c r="G108" s="953"/>
      <c r="H108" s="962" t="str">
        <f t="shared" si="24"/>
        <v/>
      </c>
      <c r="I108" s="185" t="str">
        <f>IF(OR(C108&lt;0,C108=""),"",-E108*INDEX('Replacement Costs'!$A$16:$H$57,MATCH(C108,'Replacement Costs'!$C$16:$C$57,0),MATCH("Total Yearly Replacement Costs",'Replacement Costs'!$A$16:$H$16,0)))</f>
        <v/>
      </c>
      <c r="J108" s="185" t="str">
        <f>IF(AND(C108&gt;=1,C108&lt;anal_period),WorkingCap*SUM(N108:R108)-WorkingCap*SUM(N107:R107),IF(C108&lt;0,0,IF(B108="","",-SUM(J$65:J107))))</f>
        <v/>
      </c>
      <c r="K108" s="185" t="str">
        <f t="shared" si="28"/>
        <v/>
      </c>
      <c r="L108" s="185" t="str">
        <f t="shared" si="29"/>
        <v/>
      </c>
      <c r="M108" s="185" t="str">
        <f t="shared" si="30"/>
        <v/>
      </c>
      <c r="N108" s="185" t="str">
        <f t="shared" si="31"/>
        <v/>
      </c>
      <c r="O108" s="185" t="str">
        <f t="shared" si="32"/>
        <v/>
      </c>
      <c r="P108" s="185" t="str">
        <f t="shared" si="33"/>
        <v/>
      </c>
      <c r="Q108" s="185" t="str">
        <f t="shared" si="10"/>
        <v/>
      </c>
      <c r="R108" s="185" t="str">
        <f t="shared" si="34"/>
        <v/>
      </c>
      <c r="S108" s="185" t="str">
        <f>IF(B108="","",IF($B$31=0,"",-'Debt Financing Calculations'!E57))</f>
        <v/>
      </c>
      <c r="T108" s="185" t="str">
        <f t="shared" si="35"/>
        <v/>
      </c>
      <c r="U108" s="185" t="str">
        <f>IF(C108="","",IF(C108&lt;-1,0,IF(C108=anal_period,-LOOKUP(C108,depr_yr,depr_cost)-Depreciation!$C$141-Depreciation!$B$166,-LOOKUP(C108,depr_yr,depr_cost))))</f>
        <v/>
      </c>
      <c r="V108" s="185" t="str">
        <f t="shared" si="36"/>
        <v/>
      </c>
      <c r="W108" s="186" t="str">
        <f t="shared" si="37"/>
        <v/>
      </c>
      <c r="X108" s="185" t="str">
        <f t="shared" si="38"/>
        <v/>
      </c>
      <c r="Y108" s="185" t="str">
        <f t="shared" si="39"/>
        <v/>
      </c>
      <c r="Z108" s="185" t="str">
        <f>IF(C108="","",IF($B$31=0,"",-'Debt Financing Calculations'!F57))</f>
        <v/>
      </c>
      <c r="AA108" s="185" t="str">
        <f t="shared" si="40"/>
        <v/>
      </c>
      <c r="AB108" s="185" t="str">
        <f t="shared" si="23"/>
        <v/>
      </c>
      <c r="AC108" s="940" t="str">
        <f t="shared" si="41"/>
        <v/>
      </c>
      <c r="AD108" s="132"/>
      <c r="AE108" s="944" t="str">
        <f t="shared" si="42"/>
        <v/>
      </c>
      <c r="AF108" s="940" t="str">
        <f t="shared" si="43"/>
        <v/>
      </c>
    </row>
    <row r="109" spans="1:32" x14ac:dyDescent="0.25">
      <c r="A109" s="56" t="str">
        <f t="shared" si="21"/>
        <v/>
      </c>
      <c r="B109" s="183" t="str">
        <f>IF(MAX($B$65:B108)&lt;(construct+anal_period),B108+1,"")</f>
        <v/>
      </c>
      <c r="C109" s="183" t="str">
        <f t="shared" si="22"/>
        <v/>
      </c>
      <c r="D109" s="183" t="str">
        <f t="shared" si="25"/>
        <v/>
      </c>
      <c r="E109" s="184" t="str">
        <f t="shared" si="26"/>
        <v/>
      </c>
      <c r="F109" s="57" t="str">
        <f t="shared" si="27"/>
        <v/>
      </c>
      <c r="G109" s="953"/>
      <c r="H109" s="962" t="str">
        <f t="shared" si="24"/>
        <v/>
      </c>
      <c r="I109" s="185" t="str">
        <f>IF(OR(C109&lt;0,C109=""),"",-E109*INDEX('Replacement Costs'!$A$16:$H$57,MATCH(C109,'Replacement Costs'!$C$16:$C$57,0),MATCH("Total Yearly Replacement Costs",'Replacement Costs'!$A$16:$H$16,0)))</f>
        <v/>
      </c>
      <c r="J109" s="185" t="str">
        <f>IF(AND(C109&gt;=1,C109&lt;anal_period),WorkingCap*SUM(N109:R109)-WorkingCap*SUM(N108:R108),IF(C109&lt;0,0,IF(B109="","",-SUM(J$65:J108))))</f>
        <v/>
      </c>
      <c r="K109" s="185" t="str">
        <f t="shared" si="28"/>
        <v/>
      </c>
      <c r="L109" s="185" t="str">
        <f t="shared" si="29"/>
        <v/>
      </c>
      <c r="M109" s="185" t="str">
        <f t="shared" si="30"/>
        <v/>
      </c>
      <c r="N109" s="185" t="str">
        <f t="shared" si="31"/>
        <v/>
      </c>
      <c r="O109" s="185" t="str">
        <f t="shared" si="32"/>
        <v/>
      </c>
      <c r="P109" s="185" t="str">
        <f t="shared" si="33"/>
        <v/>
      </c>
      <c r="Q109" s="185" t="str">
        <f t="shared" si="10"/>
        <v/>
      </c>
      <c r="R109" s="185" t="str">
        <f t="shared" si="34"/>
        <v/>
      </c>
      <c r="S109" s="185" t="str">
        <f>IF(B109="","",IF($B$31=0,"",-'Debt Financing Calculations'!E58))</f>
        <v/>
      </c>
      <c r="T109" s="185" t="str">
        <f t="shared" si="35"/>
        <v/>
      </c>
      <c r="U109" s="185" t="str">
        <f>IF(C109="","",IF(C109&lt;-1,0,IF(C109=anal_period,-LOOKUP(C109,depr_yr,depr_cost)-Depreciation!$C$141-Depreciation!$B$166,-LOOKUP(C109,depr_yr,depr_cost))))</f>
        <v/>
      </c>
      <c r="V109" s="185" t="str">
        <f t="shared" si="36"/>
        <v/>
      </c>
      <c r="W109" s="186" t="str">
        <f t="shared" si="37"/>
        <v/>
      </c>
      <c r="X109" s="185" t="str">
        <f t="shared" si="38"/>
        <v/>
      </c>
      <c r="Y109" s="185" t="str">
        <f t="shared" si="39"/>
        <v/>
      </c>
      <c r="Z109" s="185" t="str">
        <f>IF(C109="","",IF($B$31=0,"",-'Debt Financing Calculations'!F58))</f>
        <v/>
      </c>
      <c r="AA109" s="185" t="str">
        <f t="shared" si="40"/>
        <v/>
      </c>
      <c r="AB109" s="185" t="str">
        <f t="shared" si="23"/>
        <v/>
      </c>
      <c r="AC109" s="940" t="str">
        <f t="shared" si="41"/>
        <v/>
      </c>
      <c r="AD109" s="132"/>
      <c r="AE109" s="944" t="str">
        <f t="shared" si="42"/>
        <v/>
      </c>
      <c r="AF109" s="940" t="str">
        <f t="shared" si="43"/>
        <v/>
      </c>
    </row>
    <row r="110" spans="1:32" x14ac:dyDescent="0.25">
      <c r="A110" s="56" t="str">
        <f t="shared" si="21"/>
        <v/>
      </c>
      <c r="B110" s="183" t="str">
        <f>IF(MAX($B$65:B109)&lt;(construct+anal_period),B109+1,"")</f>
        <v/>
      </c>
      <c r="C110" s="183" t="str">
        <f t="shared" si="22"/>
        <v/>
      </c>
      <c r="D110" s="183" t="str">
        <f t="shared" si="25"/>
        <v/>
      </c>
      <c r="E110" s="184" t="str">
        <f t="shared" si="26"/>
        <v/>
      </c>
      <c r="F110" s="57" t="str">
        <f t="shared" si="27"/>
        <v/>
      </c>
      <c r="G110" s="953"/>
      <c r="H110" s="962" t="str">
        <f t="shared" si="24"/>
        <v/>
      </c>
      <c r="I110" s="185" t="str">
        <f>IF(OR(C110&lt;0,C110=""),"",-E110*INDEX('Replacement Costs'!$A$16:$H$57,MATCH(C110,'Replacement Costs'!$C$16:$C$57,0),MATCH("Total Yearly Replacement Costs",'Replacement Costs'!$A$16:$H$16,0)))</f>
        <v/>
      </c>
      <c r="J110" s="185" t="str">
        <f>IF(AND(C110&gt;=1,C110&lt;anal_period),WorkingCap*SUM(N110:R110)-WorkingCap*SUM(N109:R109),IF(C110&lt;0,0,IF(B110="","",-SUM(J$65:J109))))</f>
        <v/>
      </c>
      <c r="K110" s="185" t="str">
        <f t="shared" si="28"/>
        <v/>
      </c>
      <c r="L110" s="185" t="str">
        <f t="shared" si="29"/>
        <v/>
      </c>
      <c r="M110" s="185" t="str">
        <f t="shared" si="30"/>
        <v/>
      </c>
      <c r="N110" s="185" t="str">
        <f t="shared" si="31"/>
        <v/>
      </c>
      <c r="O110" s="185" t="str">
        <f>IF(C110="","",IF(C110&lt;0,0,IF(AND(C110=1,start_time&lt;1),-(SUM(B185:E185)*output_kgyear*E110*percnt_var*start_time+SUM(B185:E185)*output_kgyear*E110*(1-start_time)),IF(C110&lt;=start_time,-SUM(B185:E185)*output_kgyear*E110*percnt_var,-SUM(B185:E185)*output_kgyear*E110))))</f>
        <v/>
      </c>
      <c r="P110" s="185" t="str">
        <f t="shared" si="33"/>
        <v/>
      </c>
      <c r="Q110" s="185" t="str">
        <f>IF(C110="","",IF(C110&lt;0,0,IF(AND(C110=1,start_time&lt;1),SUM(K185:N185,T185:V185)*output_kgyear*E110*percnt_revs*start_time+SUM(K185:N185,T185:V185)*output_kgyear*E110*(1-start_time),IF(C110&lt;=start_time,SUM(K185:N185,T185:V185)*output_kgyear*E110*percnt_revs,SUM(K185:N185,T185:V185)*output_kgyear*E110))))</f>
        <v/>
      </c>
      <c r="R110" s="18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5" t="str">
        <f>IF(B110="","",IF($B$31=0,"",-'Debt Financing Calculations'!E59))</f>
        <v/>
      </c>
      <c r="T110" s="185" t="str">
        <f t="shared" si="35"/>
        <v/>
      </c>
      <c r="U110" s="185" t="str">
        <f>IF(C110="","",IF(C110&lt;-1,0,IF(C110=anal_period,-LOOKUP(C110,depr_yr,depr_cost)-Depreciation!$C$141-Depreciation!$B$166,-LOOKUP(C110,depr_yr,depr_cost))))</f>
        <v/>
      </c>
      <c r="V110" s="185" t="str">
        <f t="shared" si="36"/>
        <v/>
      </c>
      <c r="W110" s="186" t="str">
        <f t="shared" si="37"/>
        <v/>
      </c>
      <c r="X110" s="185" t="str">
        <f t="shared" si="38"/>
        <v/>
      </c>
      <c r="Y110" s="185" t="str">
        <f t="shared" si="39"/>
        <v/>
      </c>
      <c r="Z110" s="185" t="str">
        <f>IF(C110="","",IF($B$31=0,"",-'Debt Financing Calculations'!F59))</f>
        <v/>
      </c>
      <c r="AA110" s="185" t="str">
        <f t="shared" si="40"/>
        <v/>
      </c>
      <c r="AB110" s="185" t="str">
        <f t="shared" si="23"/>
        <v/>
      </c>
      <c r="AC110" s="940" t="str">
        <f t="shared" si="41"/>
        <v/>
      </c>
      <c r="AD110" s="132"/>
      <c r="AE110" s="944" t="str">
        <f t="shared" si="42"/>
        <v/>
      </c>
      <c r="AF110" s="940" t="str">
        <f t="shared" si="43"/>
        <v/>
      </c>
    </row>
    <row r="111" spans="1:32" x14ac:dyDescent="0.25">
      <c r="A111" s="56" t="str">
        <f t="shared" si="21"/>
        <v/>
      </c>
      <c r="B111" s="183" t="str">
        <f>IF(MAX($B$65:B110)&lt;(construct+anal_period),B110+1,"")</f>
        <v/>
      </c>
      <c r="C111" s="183" t="str">
        <f t="shared" si="22"/>
        <v/>
      </c>
      <c r="D111" s="183" t="str">
        <f t="shared" si="25"/>
        <v/>
      </c>
      <c r="E111" s="184" t="str">
        <f t="shared" si="26"/>
        <v/>
      </c>
      <c r="F111" s="57" t="str">
        <f t="shared" si="27"/>
        <v/>
      </c>
      <c r="G111" s="953"/>
      <c r="H111" s="962" t="str">
        <f t="shared" si="24"/>
        <v/>
      </c>
      <c r="I111" s="185" t="str">
        <f>IF(OR(C111&lt;0,C111=""),"",-E111*INDEX('Replacement Costs'!$A$16:$H$57,MATCH(C111,'Replacement Costs'!$C$16:$C$57,0),MATCH("Total Yearly Replacement Costs",'Replacement Costs'!$A$16:$H$16,0)))</f>
        <v/>
      </c>
      <c r="J111" s="185" t="str">
        <f>IF(AND(C111&gt;=1,C111&lt;anal_period),WorkingCap*SUM(N111:R111)-WorkingCap*SUM(N110:R110),IF(C111&lt;0,0,IF(B111="","",-SUM(J$65:J110))))</f>
        <v/>
      </c>
      <c r="K111" s="185" t="str">
        <f t="shared" si="28"/>
        <v/>
      </c>
      <c r="L111" s="185" t="str">
        <f t="shared" si="29"/>
        <v/>
      </c>
      <c r="M111" s="185" t="str">
        <f t="shared" si="30"/>
        <v/>
      </c>
      <c r="N111" s="185" t="str">
        <f t="shared" si="31"/>
        <v/>
      </c>
      <c r="O111" s="185" t="str">
        <f>IF(C111="","",IF(C111&lt;0,0,IF(AND(C111=1,start_time&lt;1),-(SUM(B278:E278)*output_kgyear*E111*percnt_var*start_time+SUM(B278:E278)*output_kgyear*E111*(1-start_time)),IF(C111&lt;=start_time,-SUM(B278:E278)*output_kgyear*E111*percnt_var,-SUM(B278:E278)*output_kgyear*E111))))</f>
        <v/>
      </c>
      <c r="P111" s="185" t="str">
        <f t="shared" si="33"/>
        <v/>
      </c>
      <c r="Q111" s="185" t="str">
        <f>IF(C111="","",IF(C111&lt;0,0,IF(AND(C111=1,start_time&lt;1),SUM(K278:N278,T278:V278)*output_kgyear*E111*percnt_revs*start_time+SUM(K278:N278,T278:V278)*output_kgyear*E111*(1-start_time),IF(C111&lt;=start_time,SUM(K278:N278,T278:V278)*output_kgyear*E111*percnt_revs,SUM(K278:N278,T278:V278)*output_kgyear*E111))))</f>
        <v/>
      </c>
      <c r="R111" s="18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5" t="str">
        <f>IF(B111="","",IF($B$31=0,"",-'Debt Financing Calculations'!E60))</f>
        <v/>
      </c>
      <c r="T111" s="185" t="str">
        <f t="shared" si="35"/>
        <v/>
      </c>
      <c r="U111" s="185" t="str">
        <f>IF(C111="","",IF(C111&lt;-1,0,IF(C111=anal_period,-LOOKUP(C111,depr_yr,depr_cost)-Depreciation!$C$141-Depreciation!$B$166,-LOOKUP(C111,depr_yr,depr_cost))))</f>
        <v/>
      </c>
      <c r="V111" s="185" t="str">
        <f t="shared" si="36"/>
        <v/>
      </c>
      <c r="W111" s="186" t="str">
        <f t="shared" si="37"/>
        <v/>
      </c>
      <c r="X111" s="185" t="str">
        <f t="shared" si="38"/>
        <v/>
      </c>
      <c r="Y111" s="185" t="str">
        <f t="shared" si="39"/>
        <v/>
      </c>
      <c r="Z111" s="185" t="str">
        <f>IF(C111="","",IF($B$31=0,"",-'Debt Financing Calculations'!F60))</f>
        <v/>
      </c>
      <c r="AA111" s="185" t="str">
        <f t="shared" si="40"/>
        <v/>
      </c>
      <c r="AB111" s="185" t="str">
        <f t="shared" si="23"/>
        <v/>
      </c>
      <c r="AC111" s="940" t="str">
        <f t="shared" si="41"/>
        <v/>
      </c>
      <c r="AD111" s="132"/>
      <c r="AE111" s="944" t="str">
        <f t="shared" si="42"/>
        <v/>
      </c>
      <c r="AF111" s="940" t="str">
        <f t="shared" si="43"/>
        <v/>
      </c>
    </row>
    <row r="112" spans="1:32" x14ac:dyDescent="0.25">
      <c r="A112" s="56" t="str">
        <f t="shared" si="21"/>
        <v/>
      </c>
      <c r="B112" s="183" t="str">
        <f>IF(MAX($B$65:B111)&lt;(construct+anal_period),B111+1,"")</f>
        <v/>
      </c>
      <c r="C112" s="183" t="str">
        <f t="shared" si="22"/>
        <v/>
      </c>
      <c r="D112" s="183" t="str">
        <f t="shared" si="25"/>
        <v/>
      </c>
      <c r="E112" s="184" t="str">
        <f t="shared" si="26"/>
        <v/>
      </c>
      <c r="F112" s="57" t="str">
        <f t="shared" si="27"/>
        <v/>
      </c>
      <c r="G112" s="953"/>
      <c r="H112" s="962" t="str">
        <f t="shared" si="24"/>
        <v/>
      </c>
      <c r="I112" s="185" t="str">
        <f>IF(OR(C112&lt;0,C112=""),"",-E112*INDEX('Replacement Costs'!$A$16:$H$57,MATCH(C112,'Replacement Costs'!$C$16:$C$57,0),MATCH("Total Yearly Replacement Costs",'Replacement Costs'!$A$16:$H$16,0)))</f>
        <v/>
      </c>
      <c r="J112" s="185" t="str">
        <f>IF(AND(C112&gt;=1,C112&lt;anal_period),WorkingCap*SUM(N112:R112)-WorkingCap*SUM(N111:R111),IF(C112&lt;0,0,IF(B112="","",-SUM(J$65:J111))))</f>
        <v/>
      </c>
      <c r="K112" s="185" t="str">
        <f t="shared" si="28"/>
        <v/>
      </c>
      <c r="L112" s="185" t="str">
        <f t="shared" si="29"/>
        <v/>
      </c>
      <c r="M112" s="185" t="str">
        <f t="shared" si="30"/>
        <v/>
      </c>
      <c r="N112" s="185" t="str">
        <f t="shared" si="31"/>
        <v/>
      </c>
      <c r="O112" s="185" t="str">
        <f>IF(C112="","",IF(C112&lt;0,0,IF(AND(C112=1,start_time&lt;1),-(SUM(B279:E279)*output_kgyear*E112*percnt_var*start_time+SUM(B279:E279)*output_kgyear*E112*(1-start_time)),IF(C112&lt;=start_time,-SUM(B279:E279)*output_kgyear*E112*percnt_var,-SUM(B279:E279)*output_kgyear*E112))))</f>
        <v/>
      </c>
      <c r="P112" s="185" t="str">
        <f t="shared" si="33"/>
        <v/>
      </c>
      <c r="Q112" s="185" t="str">
        <f>IF(C112="","",IF(C112&lt;0,0,IF(AND(C112=1,start_time&lt;1),SUM(K279:N279,T279:V279)*output_kgyear*E112*percnt_revs*start_time+SUM(K279:N279,T279:V279)*output_kgyear*E112*(1-start_time),IF(C112&lt;=start_time,SUM(K279:N279,T279:V279)*output_kgyear*E112*percnt_revs,SUM(K279:N279,T279:V279)*output_kgyear*E112))))</f>
        <v/>
      </c>
      <c r="R112" s="18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5" t="str">
        <f>IF(B112="","",IF($B$31=0,"",-'Debt Financing Calculations'!E61))</f>
        <v/>
      </c>
      <c r="T112" s="185" t="str">
        <f t="shared" si="35"/>
        <v/>
      </c>
      <c r="U112" s="185" t="str">
        <f>IF(C112="","",IF(C112&lt;-1,0,IF(C112=anal_period,-LOOKUP(C112,depr_yr,depr_cost)-Depreciation!$C$141-Depreciation!$B$166,-LOOKUP(C112,depr_yr,depr_cost))))</f>
        <v/>
      </c>
      <c r="V112" s="185" t="str">
        <f t="shared" si="36"/>
        <v/>
      </c>
      <c r="W112" s="186" t="str">
        <f t="shared" si="37"/>
        <v/>
      </c>
      <c r="X112" s="185" t="str">
        <f t="shared" si="38"/>
        <v/>
      </c>
      <c r="Y112" s="185" t="str">
        <f t="shared" si="39"/>
        <v/>
      </c>
      <c r="Z112" s="185" t="str">
        <f>IF(C112="","",IF($B$31=0,"",-'Debt Financing Calculations'!F61))</f>
        <v/>
      </c>
      <c r="AA112" s="185" t="str">
        <f t="shared" si="40"/>
        <v/>
      </c>
      <c r="AB112" s="185" t="str">
        <f t="shared" si="23"/>
        <v/>
      </c>
      <c r="AC112" s="940" t="str">
        <f t="shared" si="41"/>
        <v/>
      </c>
      <c r="AD112" s="132"/>
      <c r="AE112" s="944" t="str">
        <f t="shared" si="42"/>
        <v/>
      </c>
      <c r="AF112" s="940" t="str">
        <f t="shared" si="43"/>
        <v/>
      </c>
    </row>
    <row r="113" spans="1:33" ht="13.8" thickBot="1" x14ac:dyDescent="0.3">
      <c r="A113" s="59" t="str">
        <f t="shared" si="21"/>
        <v/>
      </c>
      <c r="B113" s="187" t="str">
        <f>IF(MAX($B$65:B112)&lt;(construct+anal_period),B112+1,"")</f>
        <v/>
      </c>
      <c r="C113" s="187" t="str">
        <f t="shared" si="22"/>
        <v/>
      </c>
      <c r="D113" s="187" t="str">
        <f t="shared" si="25"/>
        <v/>
      </c>
      <c r="E113" s="947" t="str">
        <f t="shared" si="26"/>
        <v/>
      </c>
      <c r="F113" s="948" t="str">
        <f t="shared" si="27"/>
        <v/>
      </c>
      <c r="G113" s="955"/>
      <c r="H113" s="964" t="str">
        <f t="shared" si="24"/>
        <v/>
      </c>
      <c r="I113" s="949" t="str">
        <f>IF(OR(C113&lt;0,C113=""),"",-E113*INDEX('Replacement Costs'!$A$16:$H$57,MATCH(C113,'Replacement Costs'!$C$16:$C$57,0),MATCH("Total Yearly Replacement Costs",'Replacement Costs'!$A$16:$H$16,0)))</f>
        <v/>
      </c>
      <c r="J113" s="949" t="str">
        <f>IF(AND(C113&gt;=1,C113&lt;anal_period),WorkingCap*SUM(N113:R113)-WorkingCap*SUM(N112:R112),IF(C113&lt;0,0,IF(B113="","",-SUM(J$65:J112))))</f>
        <v/>
      </c>
      <c r="K113" s="949" t="str">
        <f t="shared" si="28"/>
        <v/>
      </c>
      <c r="L113" s="949" t="str">
        <f t="shared" si="29"/>
        <v/>
      </c>
      <c r="M113" s="949" t="str">
        <f t="shared" si="30"/>
        <v/>
      </c>
      <c r="N113" s="949" t="str">
        <f t="shared" si="31"/>
        <v/>
      </c>
      <c r="O113" s="949" t="str">
        <f>IF(C113="","",IF(C113&lt;0,0,IF(AND(C113=1,start_time&lt;1),-(SUM(B280:E280)*output_kgyear*E113*percnt_var*start_time+SUM(B280:E280)*output_kgyear*E113*(1-start_time)),IF(C113&lt;=start_time,-SUM(B280:E280)*output_kgyear*E113*percnt_var,-SUM(B280:E280)*output_kgyear*E113))))</f>
        <v/>
      </c>
      <c r="P113" s="949" t="str">
        <f t="shared" si="33"/>
        <v/>
      </c>
      <c r="Q113" s="949" t="str">
        <f>IF(C113="","",IF(C113&lt;0,0,IF(AND(C113=1,start_time&lt;1),SUM(K280:N280,T280:V280)*output_kgyear*E113*percnt_revs*start_time+SUM(K280:N280,T280:V280)*output_kgyear*E113*(1-start_time),IF(C113&lt;=start_time,SUM(K280:N280,T280:V280)*output_kgyear*E113*percnt_revs,SUM(K280:N280,T280:V280)*output_kgyear*E113))))</f>
        <v/>
      </c>
      <c r="R113" s="949"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949" t="str">
        <f>IF(B113="","",IF($B$31=0,"",-'Debt Financing Calculations'!E62))</f>
        <v/>
      </c>
      <c r="T113" s="949" t="str">
        <f t="shared" si="35"/>
        <v/>
      </c>
      <c r="U113" s="949" t="str">
        <f>IF(C113="","",IF(C113&lt;-1,0,IF(C113=anal_period,-LOOKUP(C113,depr_yr,depr_cost)-Depreciation!$C$141-Depreciation!$B$166,-LOOKUP(C113,depr_yr,depr_cost))))</f>
        <v/>
      </c>
      <c r="V113" s="949" t="str">
        <f t="shared" si="36"/>
        <v/>
      </c>
      <c r="W113" s="950" t="str">
        <f t="shared" si="37"/>
        <v/>
      </c>
      <c r="X113" s="949" t="str">
        <f t="shared" si="38"/>
        <v/>
      </c>
      <c r="Y113" s="949" t="str">
        <f t="shared" si="39"/>
        <v/>
      </c>
      <c r="Z113" s="949" t="str">
        <f>IF(C113="","",IF($B$31=0,"",-'Debt Financing Calculations'!F62))</f>
        <v/>
      </c>
      <c r="AA113" s="949" t="str">
        <f t="shared" si="40"/>
        <v/>
      </c>
      <c r="AB113" s="949" t="str">
        <f t="shared" si="23"/>
        <v/>
      </c>
      <c r="AC113" s="951" t="str">
        <f t="shared" si="41"/>
        <v/>
      </c>
      <c r="AD113" s="132"/>
      <c r="AE113" s="946" t="str">
        <f t="shared" si="42"/>
        <v/>
      </c>
      <c r="AF113" s="942" t="str">
        <f t="shared" si="43"/>
        <v/>
      </c>
    </row>
    <row r="114" spans="1:33" ht="13.8" thickTop="1" x14ac:dyDescent="0.25">
      <c r="A114" s="132"/>
      <c r="B114" s="132"/>
      <c r="C114" s="132"/>
      <c r="D114" s="132"/>
      <c r="E114" s="965" t="s">
        <v>146</v>
      </c>
      <c r="F114" s="966">
        <f t="shared" ref="F114:AC114" ca="1" si="44">SUM(F65:F113)</f>
        <v>17078776806.979612</v>
      </c>
      <c r="G114" s="966">
        <f t="shared" ca="1" si="44"/>
        <v>-444104878.44731677</v>
      </c>
      <c r="H114" s="966">
        <f t="shared" ca="1" si="44"/>
        <v>-296069918.9648779</v>
      </c>
      <c r="I114" s="966">
        <f t="shared" ca="1" si="44"/>
        <v>-231465268.81193233</v>
      </c>
      <c r="J114" s="966">
        <f t="shared" ca="1" si="44"/>
        <v>0</v>
      </c>
      <c r="K114" s="966">
        <f t="shared" ca="1" si="44"/>
        <v>-4444856.7300741849</v>
      </c>
      <c r="L114" s="966">
        <f t="shared" ca="1" si="44"/>
        <v>164153528.90581259</v>
      </c>
      <c r="M114" s="966">
        <f t="shared" ca="1" si="44"/>
        <v>-163173647.54804358</v>
      </c>
      <c r="N114" s="966">
        <f t="shared" ca="1" si="44"/>
        <v>-1894474207.6561258</v>
      </c>
      <c r="O114" s="966">
        <f t="shared" ca="1" si="44"/>
        <v>-10159083116.331455</v>
      </c>
      <c r="P114" s="966">
        <f t="shared" ca="1" si="44"/>
        <v>-343488779.63134986</v>
      </c>
      <c r="Q114" s="966">
        <f t="shared" ca="1" si="44"/>
        <v>0</v>
      </c>
      <c r="R114" s="966">
        <f t="shared" ca="1" si="44"/>
        <v>-2277431492.0959244</v>
      </c>
      <c r="S114" s="966">
        <f t="shared" ca="1" si="44"/>
        <v>-706570861.60968089</v>
      </c>
      <c r="T114" s="966">
        <f t="shared" ca="1" si="44"/>
        <v>1698708231.0128512</v>
      </c>
      <c r="U114" s="966">
        <f t="shared" ca="1" si="44"/>
        <v>-971640066.22412705</v>
      </c>
      <c r="V114" s="966">
        <f t="shared" ca="1" si="44"/>
        <v>727068164.78872359</v>
      </c>
      <c r="W114" s="966">
        <f t="shared" si="44"/>
        <v>11.068200000000001</v>
      </c>
      <c r="X114" s="966">
        <f t="shared" ca="1" si="44"/>
        <v>-187147345.61661744</v>
      </c>
      <c r="Y114" s="966">
        <f t="shared" ca="1" si="44"/>
        <v>1511560885.3962336</v>
      </c>
      <c r="Z114" s="966">
        <f t="shared" ca="1" si="44"/>
        <v>-444104878.44731677</v>
      </c>
      <c r="AA114" s="966">
        <f t="shared" ca="1" si="44"/>
        <v>535475962.44203198</v>
      </c>
      <c r="AB114" s="966">
        <f t="shared" ca="1" si="44"/>
        <v>15849597445.124378</v>
      </c>
      <c r="AC114" s="967">
        <f t="shared" ca="1" si="44"/>
        <v>722623308.05864954</v>
      </c>
      <c r="AD114" s="132"/>
    </row>
    <row r="115" spans="1:33" ht="13.8" thickBot="1" x14ac:dyDescent="0.3">
      <c r="E115" s="968" t="s">
        <v>147</v>
      </c>
      <c r="F115" s="949">
        <f t="shared" ref="F115:AC115" ca="1" si="45">NPV(nominal_irr,F65:F113)</f>
        <v>2536729043.4717073</v>
      </c>
      <c r="G115" s="949">
        <f t="shared" ca="1" si="45"/>
        <v>-403540942.87002218</v>
      </c>
      <c r="H115" s="949">
        <f t="shared" ca="1" si="45"/>
        <v>-269027295.24668151</v>
      </c>
      <c r="I115" s="949">
        <f t="shared" ca="1" si="45"/>
        <v>-34379784.722653948</v>
      </c>
      <c r="J115" s="949">
        <f t="shared" ca="1" si="45"/>
        <v>-27360449.459354293</v>
      </c>
      <c r="K115" s="949">
        <f t="shared" ca="1" si="45"/>
        <v>-4038869.561729169</v>
      </c>
      <c r="L115" s="949">
        <f t="shared" ca="1" si="45"/>
        <v>2670169.4653678755</v>
      </c>
      <c r="M115" s="949">
        <f t="shared" ca="1" si="45"/>
        <v>-2654230.4276960185</v>
      </c>
      <c r="N115" s="949">
        <f t="shared" ca="1" si="45"/>
        <v>-281388286.7012679</v>
      </c>
      <c r="O115" s="949">
        <f t="shared" ca="1" si="45"/>
        <v>-1335501199.8807015</v>
      </c>
      <c r="P115" s="949">
        <f t="shared" ca="1" si="45"/>
        <v>-51018756.978041112</v>
      </c>
      <c r="Q115" s="949">
        <f t="shared" ca="1" si="45"/>
        <v>0</v>
      </c>
      <c r="R115" s="949">
        <f t="shared" ca="1" si="45"/>
        <v>-338269343.04544842</v>
      </c>
      <c r="S115" s="949">
        <f t="shared" ca="1" si="45"/>
        <v>-160809736.50048035</v>
      </c>
      <c r="T115" s="949">
        <f t="shared" ca="1" si="45"/>
        <v>369757659.40343922</v>
      </c>
      <c r="U115" s="949">
        <f t="shared" ca="1" si="45"/>
        <v>-262036912.8779721</v>
      </c>
      <c r="V115" s="949">
        <f t="shared" ca="1" si="45"/>
        <v>107720746.5254672</v>
      </c>
      <c r="W115" s="949">
        <f t="shared" ca="1" si="45"/>
        <v>2.5190315964626389</v>
      </c>
      <c r="X115" s="949">
        <f t="shared" ca="1" si="45"/>
        <v>-27727320.155655265</v>
      </c>
      <c r="Y115" s="949">
        <f t="shared" ca="1" si="45"/>
        <v>342030339.24778408</v>
      </c>
      <c r="Z115" s="949">
        <f t="shared" ca="1" si="45"/>
        <v>-7223940.2573632235</v>
      </c>
      <c r="AA115" s="949">
        <f t="shared" ca="1" si="45"/>
        <v>1.8990003429625394E-6</v>
      </c>
      <c r="AB115" s="949">
        <f t="shared" ca="1" si="45"/>
        <v>-86651503.370002866</v>
      </c>
      <c r="AC115" s="951">
        <f t="shared" ca="1" si="45"/>
        <v>27727320.155657165</v>
      </c>
      <c r="AD115" s="132"/>
    </row>
    <row r="116" spans="1:33" ht="13.8" thickBot="1" x14ac:dyDescent="0.3">
      <c r="D116" s="189"/>
      <c r="E116" s="969" t="s">
        <v>1089</v>
      </c>
      <c r="F116" s="970">
        <f t="shared" ref="F116:AC116" ca="1" si="46">+F65+NPV($X$59,F66:F113)</f>
        <v>2791721046.921483</v>
      </c>
      <c r="G116" s="970">
        <f t="shared" ca="1" si="46"/>
        <v>-444104878.44731677</v>
      </c>
      <c r="H116" s="970">
        <f ca="1">+H65+NPV($X$59,H66:H113)</f>
        <v>-296069918.9648779</v>
      </c>
      <c r="I116" s="970">
        <f t="shared" ca="1" si="46"/>
        <v>-37835640.682975136</v>
      </c>
      <c r="J116" s="970">
        <f t="shared" ca="1" si="46"/>
        <v>-30110721.83900857</v>
      </c>
      <c r="K116" s="970">
        <f t="shared" ca="1" si="46"/>
        <v>-4444856.7300741849</v>
      </c>
      <c r="L116" s="970">
        <f t="shared" ca="1" si="46"/>
        <v>2938574.9000266544</v>
      </c>
      <c r="M116" s="970">
        <f t="shared" ca="1" si="46"/>
        <v>-2921033.6702880226</v>
      </c>
      <c r="N116" s="970">
        <f t="shared" ca="1" si="46"/>
        <v>-309673437.28047925</v>
      </c>
      <c r="O116" s="970">
        <f t="shared" ca="1" si="46"/>
        <v>-1469745780.4927099</v>
      </c>
      <c r="P116" s="970">
        <f t="shared" ca="1" si="46"/>
        <v>-56147162.42947381</v>
      </c>
      <c r="Q116" s="970">
        <f t="shared" ca="1" si="46"/>
        <v>0</v>
      </c>
      <c r="R116" s="970">
        <f t="shared" ca="1" si="46"/>
        <v>-372272177.40837687</v>
      </c>
      <c r="S116" s="970">
        <f t="shared" ca="1" si="46"/>
        <v>-176974331.21350864</v>
      </c>
      <c r="T116" s="970">
        <f t="shared" ca="1" si="46"/>
        <v>406925699.32667309</v>
      </c>
      <c r="U116" s="970">
        <f t="shared" ca="1" si="46"/>
        <v>-288376863.36046576</v>
      </c>
      <c r="V116" s="970">
        <f t="shared" ca="1" si="46"/>
        <v>118548835.96620715</v>
      </c>
      <c r="W116" s="970">
        <f t="shared" ca="1" si="46"/>
        <v>2.7722446525390634</v>
      </c>
      <c r="X116" s="970">
        <f t="shared" ca="1" si="46"/>
        <v>-30514470.377701722</v>
      </c>
      <c r="Y116" s="970">
        <f t="shared" ca="1" si="46"/>
        <v>376411228.94897121</v>
      </c>
      <c r="Z116" s="970">
        <f t="shared" ca="1" si="46"/>
        <v>-7950090.7320333738</v>
      </c>
      <c r="AA116" s="970">
        <f t="shared" ca="1" si="46"/>
        <v>2.0861625671386719E-6</v>
      </c>
      <c r="AB116" s="970">
        <f t="shared" ca="1" si="46"/>
        <v>-95361712.48875612</v>
      </c>
      <c r="AC116" s="971">
        <f t="shared" ca="1" si="46"/>
        <v>30514470.377703905</v>
      </c>
      <c r="AD116" s="972"/>
      <c r="AE116" s="973">
        <f ca="1">+AE65+NPV(real_irr,AE66:AE113)</f>
        <v>1622106255.9203749</v>
      </c>
      <c r="AF116" s="974">
        <f ca="1">+AF65+NPV($X$59,AF66:AF113)</f>
        <v>0</v>
      </c>
      <c r="AG116" s="975"/>
    </row>
    <row r="117" spans="1:33" ht="16.8" thickTop="1" thickBot="1" x14ac:dyDescent="0.35">
      <c r="A117" s="47" t="s">
        <v>76</v>
      </c>
      <c r="B117" s="147"/>
      <c r="C117" s="147"/>
      <c r="D117" s="147"/>
      <c r="E117" s="976" t="s">
        <v>1145</v>
      </c>
      <c r="F117" s="986"/>
      <c r="G117" s="986"/>
      <c r="H117" s="986">
        <f ca="1">-H116/$AE$116*(1+inflation_rate)^construct/INFLATION_FACTOR</f>
        <v>0.19679394037475487</v>
      </c>
      <c r="I117" s="986">
        <f ca="1">-I116/$AE$116*(1+inflation_rate)^construct/INFLATION_FACTOR</f>
        <v>2.5148873085919069E-2</v>
      </c>
      <c r="J117" s="986">
        <f ca="1">-J116/$AE$116*(1+inflation_rate)^construct/INFLATION_FACTOR</f>
        <v>2.0014216975989454E-2</v>
      </c>
      <c r="K117" s="986">
        <f ca="1">-K116/$AE$116*(1+inflation_rate)^construct/INFLATION_FACTOR</f>
        <v>2.9544401990271528E-3</v>
      </c>
      <c r="L117" s="986"/>
      <c r="M117" s="986">
        <f ca="1">-M116/$AE$116*(1+inflation_rate)^construct/INFLATION_FACTOR</f>
        <v>1.9415742333874339E-3</v>
      </c>
      <c r="N117" s="986">
        <f ca="1">-N116/$AE$116*(1+inflation_rate)^construct/INFLATION_FACTOR</f>
        <v>0.20583602739814111</v>
      </c>
      <c r="O117" s="986">
        <f ca="1">-O116/$AE$116*(1+inflation_rate)^construct/INFLATION_FACTOR</f>
        <v>0.97692148024886449</v>
      </c>
      <c r="P117" s="986">
        <f ca="1">-P116/$AE$116*(1+inflation_rate)^construct/INFLATION_FACTOR</f>
        <v>3.7320310600916916E-2</v>
      </c>
      <c r="Q117" s="986"/>
      <c r="R117" s="986">
        <f ca="1">-R116/$AE$116*(1+inflation_rate)^construct/INFLATION_FACTOR</f>
        <v>0.24744462031205222</v>
      </c>
      <c r="S117" s="986">
        <f ca="1">-S116/$AE$116*(1+inflation_rate)^construct/INFLATION_FACTOR</f>
        <v>0.11763260552256523</v>
      </c>
      <c r="T117" s="986"/>
      <c r="U117" s="986"/>
      <c r="V117" s="986"/>
      <c r="W117" s="986"/>
      <c r="X117" s="986">
        <f ca="1">-X116/$AE$116*(1+inflation_rate)^construct/INFLATION_FACTOR</f>
        <v>2.02825835365903E-2</v>
      </c>
      <c r="Y117" s="986"/>
      <c r="Z117" s="986">
        <f ca="1">-Z116/$AE$116*(1+inflation_rate)^construct/INFLATION_FACTOR</f>
        <v>5.2843250235065703E-3</v>
      </c>
      <c r="AA117" s="986"/>
      <c r="AB117" s="986"/>
      <c r="AC117" s="987"/>
      <c r="AD117" s="988"/>
      <c r="AE117" s="989"/>
      <c r="AF117" s="989"/>
      <c r="AG117" s="987">
        <f ca="1">+SUM(F117:AC117)</f>
        <v>1.8575749975117148</v>
      </c>
    </row>
    <row r="118" spans="1:33" ht="15" customHeight="1" thickTop="1" thickBot="1" x14ac:dyDescent="0.3">
      <c r="A118" s="52" t="s">
        <v>77</v>
      </c>
      <c r="B118" s="54" t="s">
        <v>148</v>
      </c>
      <c r="C118" s="54" t="s">
        <v>149</v>
      </c>
      <c r="D118" s="874" t="s">
        <v>150</v>
      </c>
      <c r="E118" s="977" t="s">
        <v>1146</v>
      </c>
      <c r="F118" s="990">
        <f ca="1">F116/$AE$116*(1+inflation_rate)^construct/INFLATION_FACTOR</f>
        <v>1.8556217638441947</v>
      </c>
      <c r="G118" s="990"/>
      <c r="H118" s="990"/>
      <c r="I118" s="990"/>
      <c r="J118" s="990"/>
      <c r="K118" s="990"/>
      <c r="L118" s="990">
        <f ca="1">L116/$AE$116*(1+inflation_rate)^construct/INFLATION_FACTOR</f>
        <v>1.9532336675216178E-3</v>
      </c>
      <c r="M118" s="990"/>
      <c r="N118" s="990"/>
      <c r="O118" s="990"/>
      <c r="P118" s="990"/>
      <c r="Q118" s="990">
        <f ca="1">Q116/$AE$116*(1+inflation_rate)^construct/INFLATION_FACTOR</f>
        <v>0</v>
      </c>
      <c r="R118" s="990"/>
      <c r="S118" s="990"/>
      <c r="T118" s="990"/>
      <c r="U118" s="990"/>
      <c r="V118" s="990"/>
      <c r="W118" s="990"/>
      <c r="X118" s="990"/>
      <c r="Y118" s="990"/>
      <c r="Z118" s="990"/>
      <c r="AA118" s="990"/>
      <c r="AB118" s="990"/>
      <c r="AC118" s="991"/>
      <c r="AD118" s="992"/>
      <c r="AE118" s="993"/>
      <c r="AF118" s="993"/>
      <c r="AG118" s="991">
        <f ca="1">+SUM(F118:AC118)</f>
        <v>1.8575749975117164</v>
      </c>
    </row>
    <row r="119" spans="1:33" ht="15" customHeight="1" x14ac:dyDescent="0.25">
      <c r="A119" s="192" t="s">
        <v>151</v>
      </c>
      <c r="B119" s="185">
        <f ca="1">(SUM(H115:K115)+L115*(1-total_tax_rate)+S115*(1-total_tax_rate)+U115*(-total_tax_rate)+Z115)/(1-total_tax_rate)</f>
        <v>-527897226.4385491</v>
      </c>
      <c r="C119" s="193">
        <f t="shared" ref="C119:C125" ca="1" si="47">B119/SUM($B$118:$B$125)</f>
        <v>0.20810154233740397</v>
      </c>
      <c r="D119" s="194">
        <f t="shared" ref="D119:D125" ca="1" si="48">H2_price_real*C119</f>
        <v>0.38615775105083039</v>
      </c>
      <c r="E119" s="190"/>
    </row>
    <row r="120" spans="1:33" ht="15" customHeight="1" x14ac:dyDescent="0.25">
      <c r="A120" s="192" t="s">
        <v>81</v>
      </c>
      <c r="B120" s="185">
        <f ca="1">M115</f>
        <v>-2654230.4276960185</v>
      </c>
      <c r="C120" s="193">
        <f t="shared" ca="1" si="47"/>
        <v>1.0463200374224851E-3</v>
      </c>
      <c r="D120" s="194">
        <f t="shared" ca="1" si="48"/>
        <v>1.9415742333874332E-3</v>
      </c>
      <c r="E120" s="190"/>
      <c r="V120" s="149"/>
      <c r="W120" s="132"/>
      <c r="X120" s="132"/>
      <c r="Y120" s="132"/>
    </row>
    <row r="121" spans="1:33" ht="15" customHeight="1" x14ac:dyDescent="0.25">
      <c r="A121" s="192" t="s">
        <v>82</v>
      </c>
      <c r="B121" s="185">
        <f ca="1">N115</f>
        <v>-281388286.7012679</v>
      </c>
      <c r="C121" s="193">
        <f t="shared" ca="1" si="47"/>
        <v>0.11092563765350631</v>
      </c>
      <c r="D121" s="194">
        <f t="shared" ca="1" si="48"/>
        <v>0.20583602739814114</v>
      </c>
      <c r="E121" s="190"/>
      <c r="V121" s="149"/>
      <c r="W121" s="132"/>
      <c r="X121" s="132"/>
      <c r="Y121" s="132"/>
    </row>
    <row r="122" spans="1:33" ht="15" customHeight="1" x14ac:dyDescent="0.25">
      <c r="A122" s="192" t="s">
        <v>977</v>
      </c>
      <c r="B122" s="185">
        <f ca="1">O115</f>
        <v>-1335501199.8807015</v>
      </c>
      <c r="C122" s="193">
        <f t="shared" ca="1" si="47"/>
        <v>0.52646584518659034</v>
      </c>
      <c r="D122" s="194">
        <f t="shared" ca="1" si="48"/>
        <v>0.97692148024886427</v>
      </c>
      <c r="E122" s="190"/>
      <c r="V122" s="149"/>
      <c r="W122" s="132"/>
      <c r="X122" s="132"/>
      <c r="Y122" s="132"/>
    </row>
    <row r="123" spans="1:33" ht="15" customHeight="1" x14ac:dyDescent="0.25">
      <c r="A123" s="192" t="s">
        <v>83</v>
      </c>
      <c r="B123" s="185">
        <f ca="1">P115</f>
        <v>-51018756.978041112</v>
      </c>
      <c r="C123" s="193">
        <f t="shared" ca="1" si="47"/>
        <v>2.0112024620579153E-2</v>
      </c>
      <c r="D123" s="194">
        <f t="shared" ca="1" si="48"/>
        <v>3.7320310600916909E-2</v>
      </c>
      <c r="E123" s="190"/>
      <c r="V123" s="149"/>
      <c r="W123" s="132"/>
      <c r="X123" s="132"/>
      <c r="Y123" s="132"/>
    </row>
    <row r="124" spans="1:33" ht="15" customHeight="1" x14ac:dyDescent="0.25">
      <c r="A124" s="192" t="s">
        <v>84</v>
      </c>
      <c r="B124" s="185">
        <f ca="1">Q115</f>
        <v>0</v>
      </c>
      <c r="C124" s="193">
        <f t="shared" ca="1" si="47"/>
        <v>0</v>
      </c>
      <c r="D124" s="194">
        <f t="shared" ca="1" si="48"/>
        <v>0</v>
      </c>
      <c r="E124" s="190"/>
      <c r="V124" s="149"/>
      <c r="W124" s="132"/>
      <c r="X124" s="132"/>
      <c r="Y124" s="132"/>
    </row>
    <row r="125" spans="1:33" ht="29.25" customHeight="1" thickBot="1" x14ac:dyDescent="0.3">
      <c r="A125" s="195" t="s">
        <v>85</v>
      </c>
      <c r="B125" s="188">
        <f ca="1">R115</f>
        <v>-338269343.04544842</v>
      </c>
      <c r="C125" s="196">
        <f t="shared" ca="1" si="47"/>
        <v>0.13334863016449777</v>
      </c>
      <c r="D125" s="197">
        <f t="shared" ca="1" si="48"/>
        <v>0.24744462031205222</v>
      </c>
      <c r="E125" s="190"/>
      <c r="V125" s="149"/>
      <c r="W125" s="132"/>
      <c r="X125" s="132"/>
      <c r="Y125" s="132"/>
    </row>
    <row r="126" spans="1:33" ht="15" customHeight="1" thickTop="1" x14ac:dyDescent="0.25">
      <c r="D126" s="189"/>
      <c r="E126" s="190"/>
      <c r="K126"/>
      <c r="L126"/>
      <c r="M126"/>
      <c r="V126" s="149"/>
      <c r="W126" s="132"/>
      <c r="X126" s="132"/>
      <c r="Y126" s="132"/>
    </row>
    <row r="127" spans="1:33" ht="15" customHeight="1" x14ac:dyDescent="0.25">
      <c r="D127" s="189"/>
      <c r="E127" s="190"/>
      <c r="K127"/>
      <c r="L127"/>
      <c r="M127"/>
      <c r="V127" s="149"/>
      <c r="W127" s="132"/>
      <c r="X127" s="132"/>
      <c r="Y127" s="132"/>
    </row>
    <row r="128" spans="1:33" ht="42.75" customHeight="1" thickBot="1" x14ac:dyDescent="0.3">
      <c r="A128" s="226" t="s">
        <v>258</v>
      </c>
      <c r="B128" s="398">
        <f>(1+inflation_rate)^(startup_year-ref_year)</f>
        <v>0.9813542688910698</v>
      </c>
      <c r="P128" s="703"/>
    </row>
    <row r="129" spans="1:22" ht="51.75" customHeight="1" thickBot="1" x14ac:dyDescent="0.35">
      <c r="A129" s="198" t="s">
        <v>152</v>
      </c>
      <c r="B129" s="199"/>
      <c r="C129" s="199"/>
      <c r="D129" s="199"/>
      <c r="E129" s="199"/>
      <c r="F129" s="199"/>
      <c r="G129" s="199"/>
      <c r="H129" s="199"/>
      <c r="I129" s="199"/>
      <c r="J129" s="199"/>
      <c r="K129" s="199"/>
      <c r="L129" s="199"/>
      <c r="M129" s="199"/>
      <c r="N129" s="199"/>
      <c r="O129" s="199"/>
      <c r="P129" s="702"/>
      <c r="Q129" s="199"/>
      <c r="R129" s="199"/>
      <c r="S129" s="199"/>
      <c r="T129" s="199"/>
      <c r="U129" s="199"/>
      <c r="V129" s="234"/>
    </row>
    <row r="130" spans="1:22" ht="31.95" customHeight="1" thickTop="1" thickBot="1" x14ac:dyDescent="0.35">
      <c r="A130" s="355"/>
      <c r="B130" s="200" t="s">
        <v>64</v>
      </c>
      <c r="C130" s="228"/>
      <c r="D130" s="228"/>
      <c r="E130" s="147"/>
      <c r="F130" s="201" t="s">
        <v>65</v>
      </c>
      <c r="G130" s="228"/>
      <c r="H130" s="228"/>
      <c r="I130" s="229"/>
      <c r="J130" s="508" t="s">
        <v>976</v>
      </c>
      <c r="K130" s="231" t="s">
        <v>66</v>
      </c>
      <c r="L130" s="147"/>
      <c r="M130" s="147"/>
      <c r="N130" s="191"/>
      <c r="O130" s="376" t="s">
        <v>67</v>
      </c>
      <c r="P130" s="381"/>
      <c r="Q130" s="381"/>
      <c r="R130" s="382"/>
      <c r="S130" s="200" t="s">
        <v>70</v>
      </c>
      <c r="T130" s="392"/>
      <c r="U130" s="392"/>
      <c r="V130" s="393"/>
    </row>
    <row r="131" spans="1:22" ht="30.75" customHeight="1" thickTop="1" thickBot="1" x14ac:dyDescent="0.35">
      <c r="A131" s="356" t="s">
        <v>260</v>
      </c>
      <c r="B131" s="358" t="str">
        <f>Input_Sheet_Template!$B$75</f>
        <v>Industrial Electricity</v>
      </c>
      <c r="C131" s="359" t="str">
        <f>Input_Sheet_Template!$B$77</f>
        <v>Industrial Natural Gas</v>
      </c>
      <c r="D131" s="359"/>
      <c r="E131" s="359"/>
      <c r="F131" s="360"/>
      <c r="G131" s="359"/>
      <c r="H131" s="359"/>
      <c r="I131" s="361"/>
      <c r="J131" s="516" t="str">
        <f>IF(CO2_CashFlow_eUse&gt;0,'HyARC Physical Property Data'!A77,"")</f>
        <v/>
      </c>
      <c r="K131" s="510"/>
      <c r="L131" s="362"/>
      <c r="M131" s="362"/>
      <c r="N131" s="363"/>
      <c r="O131" s="377" t="s">
        <v>68</v>
      </c>
      <c r="P131" s="383" t="str">
        <f>Input_Sheet_Template!$B$137</f>
        <v>Process Water</v>
      </c>
      <c r="Q131" s="383"/>
      <c r="R131" s="384"/>
      <c r="S131" s="377" t="s">
        <v>68</v>
      </c>
      <c r="T131" s="383"/>
      <c r="U131" s="383"/>
      <c r="V131" s="384"/>
    </row>
    <row r="132" spans="1:22" ht="31.5" customHeight="1" thickBot="1" x14ac:dyDescent="0.35">
      <c r="A132" s="357" t="s">
        <v>912</v>
      </c>
      <c r="B132" s="364">
        <f>Input_Sheet_Template!$C$75</f>
        <v>3.5999999999999995E-3</v>
      </c>
      <c r="C132" s="365">
        <f>Input_Sheet_Template!$C$77</f>
        <v>1.0549999999999999</v>
      </c>
      <c r="D132" s="365"/>
      <c r="E132" s="365"/>
      <c r="F132" s="366"/>
      <c r="G132" s="365"/>
      <c r="H132" s="365"/>
      <c r="I132" s="367"/>
      <c r="J132" s="517">
        <f>IF(J131="",0,VLOOKUP(J131,MASTER_PROPERTY_TABLE,9,FALSE))</f>
        <v>0</v>
      </c>
      <c r="K132" s="511"/>
      <c r="L132" s="368"/>
      <c r="M132" s="368"/>
      <c r="N132" s="369"/>
      <c r="O132" s="378" t="s">
        <v>261</v>
      </c>
      <c r="P132" s="704">
        <f>Input_Sheet_Template!$D$137</f>
        <v>8.1301863354037263</v>
      </c>
      <c r="Q132" s="704"/>
      <c r="R132" s="705"/>
      <c r="S132" s="378" t="s">
        <v>261</v>
      </c>
      <c r="T132" s="385"/>
      <c r="U132" s="385"/>
      <c r="V132" s="386"/>
    </row>
    <row r="133" spans="1:22" ht="16.5" customHeight="1" thickBot="1" x14ac:dyDescent="0.35">
      <c r="A133" s="357" t="s">
        <v>261</v>
      </c>
      <c r="B133" s="364">
        <f>feedstockIndustrial_Electricity_Usage</f>
        <v>1.5026086956521738</v>
      </c>
      <c r="C133" s="365">
        <f>feedstockIndustrial_Natural_Gas_Usage</f>
        <v>0.16777966335265296</v>
      </c>
      <c r="D133" s="365"/>
      <c r="E133" s="365"/>
      <c r="F133" s="366"/>
      <c r="G133" s="365"/>
      <c r="H133" s="365"/>
      <c r="I133" s="367"/>
      <c r="J133" s="517">
        <v>0</v>
      </c>
      <c r="K133" s="511"/>
      <c r="L133" s="368"/>
      <c r="M133" s="368"/>
      <c r="N133" s="369"/>
      <c r="O133" s="378" t="s">
        <v>69</v>
      </c>
      <c r="P133" s="385">
        <f>Input_Sheet_Template!$C$137</f>
        <v>2.374951094500801E-3</v>
      </c>
      <c r="Q133" s="385"/>
      <c r="R133" s="386"/>
      <c r="S133" s="378" t="s">
        <v>71</v>
      </c>
      <c r="T133" s="385"/>
      <c r="U133" s="385"/>
      <c r="V133" s="386"/>
    </row>
    <row r="134" spans="1:22" ht="16.5" customHeight="1" thickBot="1" x14ac:dyDescent="0.35">
      <c r="A134" s="357" t="s">
        <v>262</v>
      </c>
      <c r="B134" s="364">
        <f>feedstockIndustrial_Electricity_Price</f>
        <v>6.9980611257164108E-2</v>
      </c>
      <c r="C134" s="365">
        <f>feedstockIndustrial_Natural_Gas_Price</f>
        <v>3.7336748144174337</v>
      </c>
      <c r="D134" s="365"/>
      <c r="E134" s="365"/>
      <c r="F134" s="366"/>
      <c r="G134" s="365"/>
      <c r="H134" s="365"/>
      <c r="I134" s="367"/>
      <c r="J134" s="517"/>
      <c r="K134" s="511"/>
      <c r="L134" s="368"/>
      <c r="M134" s="368"/>
      <c r="N134" s="369"/>
      <c r="O134" s="379" t="s">
        <v>263</v>
      </c>
      <c r="P134" s="387" t="str">
        <f>Input_Sheet_Template!$F$137</f>
        <v>Yes</v>
      </c>
      <c r="Q134" s="387"/>
      <c r="R134" s="388"/>
      <c r="S134" s="379" t="s">
        <v>263</v>
      </c>
      <c r="T134" s="394"/>
      <c r="U134" s="394"/>
      <c r="V134" s="395"/>
    </row>
    <row r="135" spans="1:22" ht="16.5" customHeight="1" thickBot="1" x14ac:dyDescent="0.35">
      <c r="A135" s="399" t="s">
        <v>263</v>
      </c>
      <c r="B135" s="370" t="str">
        <f>Input_Sheet_Template!$G$75</f>
        <v>yes</v>
      </c>
      <c r="C135" s="371" t="str">
        <f>Input_Sheet_Template!$G$77</f>
        <v>yes</v>
      </c>
      <c r="D135" s="371"/>
      <c r="E135" s="371"/>
      <c r="F135" s="372"/>
      <c r="G135" s="371"/>
      <c r="H135" s="371"/>
      <c r="I135" s="373"/>
      <c r="J135" s="518" t="str">
        <f>IF(J131="","","yes")</f>
        <v/>
      </c>
      <c r="K135" s="512"/>
      <c r="L135" s="374"/>
      <c r="M135" s="374"/>
      <c r="N135" s="375"/>
      <c r="O135" s="380"/>
      <c r="P135" s="389"/>
      <c r="Q135" s="389"/>
      <c r="R135" s="390"/>
      <c r="S135" s="391"/>
      <c r="T135" s="396"/>
      <c r="U135" s="396"/>
      <c r="V135" s="397"/>
    </row>
    <row r="136" spans="1:22" ht="30" customHeight="1" thickBot="1" x14ac:dyDescent="0.35">
      <c r="A136" s="357" t="s">
        <v>516</v>
      </c>
      <c r="B136" s="463">
        <f ca="1">IF(B131="",0,VLOOKUP(B131,MASTER_PROPERTY_TABLE,11,FALSE)*B132*B133)</f>
        <v>0</v>
      </c>
      <c r="C136" s="464">
        <f ca="1">IF(C131="",0,VLOOKUP(C131,MASTER_PROPERTY_TABLE,11,FALSE)*C132*C133)</f>
        <v>9.9682398293291374</v>
      </c>
      <c r="D136" s="464">
        <f>IF(D131="",0,VLOOKUP(D131,MASTER_PROPERTY_TABLE,11,FALSE)*D132*D133)</f>
        <v>0</v>
      </c>
      <c r="E136" s="465">
        <f>IF(E131="",0,VLOOKUP(E131,MASTER_PROPERTY_TABLE,11,FALSE)*E132*E133)</f>
        <v>0</v>
      </c>
      <c r="F136" s="463">
        <f>IF(F131="",,VLOOKUP(F131,MASTER_PROPERTY_TABLE,11,FALSE)*F132*F133)</f>
        <v>0</v>
      </c>
      <c r="G136" s="464">
        <f>IF(G131="",,VLOOKUP(G131,MASTER_PROPERTY_TABLE,11,FALSE)*G132*G133)</f>
        <v>0</v>
      </c>
      <c r="H136" s="464">
        <f>IF(H131="",,VLOOKUP(H131,MASTER_PROPERTY_TABLE,11,FALSE)*H132*H133)</f>
        <v>0</v>
      </c>
      <c r="I136" s="464">
        <f>IF(I131="",,VLOOKUP(I131,MASTER_PROPERTY_TABLE,11,FALSE)*I132*I133)</f>
        <v>0</v>
      </c>
      <c r="J136" s="465">
        <f>IF($J$131="",0,VLOOKUP($J$131,MASTER_PROPERTY_TABLE,12,FALSE)*$J$132*$J$133)</f>
        <v>0</v>
      </c>
      <c r="K136" s="365"/>
      <c r="L136" s="368"/>
      <c r="M136" s="368"/>
      <c r="N136" s="369"/>
      <c r="O136" s="402"/>
      <c r="P136" s="400"/>
      <c r="Q136" s="400"/>
      <c r="R136" s="401"/>
      <c r="S136" s="403"/>
      <c r="T136" s="404"/>
      <c r="U136" s="404"/>
      <c r="V136" s="405"/>
    </row>
    <row r="137" spans="1:22" ht="30" customHeight="1" thickBot="1" x14ac:dyDescent="0.35">
      <c r="A137" s="462" t="s">
        <v>913</v>
      </c>
      <c r="B137" s="406">
        <f ca="1">IF(B131="",0,IF(VLOOKUP(B131,MASTER_PROPERTY_TABLE,12,FALSE)="English",mmBTU_to_GJ,1))</f>
        <v>1</v>
      </c>
      <c r="C137" s="407">
        <f ca="1">IF(C131="",0,IF(VLOOKUP(C131,MASTER_PROPERTY_TABLE,12,FALSE)="English",mmBTU_to_GJ,1))</f>
        <v>1</v>
      </c>
      <c r="D137" s="407">
        <f>IF(D131="",0,IF(VLOOKUP(D131,MASTER_PROPERTY_TABLE,12,FALSE)="English",mmBTU_to_GJ,1))</f>
        <v>0</v>
      </c>
      <c r="E137" s="408">
        <f>IF(E131="",,IF(VLOOKUP(E131,MASTER_PROPERTY_TABLE,12,FALSE)="English",mmBTU_to_GJ,1))</f>
        <v>0</v>
      </c>
      <c r="F137" s="406">
        <f>IF(F131="",,IF(VLOOKUP(F131,MASTER_PROPERTY_TABLE,12,FALSE)="English",mmBTU_to_GJ,1))</f>
        <v>0</v>
      </c>
      <c r="G137" s="407">
        <f>IF(G131="",,IF(VLOOKUP(G131,MASTER_PROPERTY_TABLE,12,FALSE)="English",mmBTU_to_GJ,1))</f>
        <v>0</v>
      </c>
      <c r="H137" s="407">
        <f>IF(H131="",,IF(VLOOKUP(H131,MASTER_PROPERTY_TABLE,12,FALSE)="English",mmBTU_to_GJ,1))</f>
        <v>0</v>
      </c>
      <c r="I137" s="407">
        <f>IF(I131="",,IF(VLOOKUP(I131,MASTER_PROPERTY_TABLE,12,FALSE)="English",mmBTU_to_GJ,1))</f>
        <v>0</v>
      </c>
      <c r="J137" s="408">
        <f>IF($J$131="",0,IF(VLOOKUP($J$131,MASTER_PROPERTY_TABLE,12,FALSE)="English",mmBTU_to_GJ,1))</f>
        <v>0</v>
      </c>
      <c r="K137" s="407">
        <f>IF(K131="",,IF(VLOOKUP(K131,MASTER_PROPERTY_TABLE,12,FALSE)="English",mmBTU_to_GJ,1))</f>
        <v>0</v>
      </c>
      <c r="L137" s="407">
        <f>IF(L131="",,IF(VLOOKUP(L131,MASTER_PROPERTY_TABLE,12,FALSE)="English",mmBTU_to_GJ,1))</f>
        <v>0</v>
      </c>
      <c r="M137" s="407">
        <f>IF(M131="",,IF(VLOOKUP(M131,MASTER_PROPERTY_TABLE,12,FALSE)="English",mmBTU_to_GJ,1))</f>
        <v>0</v>
      </c>
      <c r="N137" s="407">
        <f>IF(N131="",,IF(VLOOKUP(N131,MASTER_PROPERTY_TABLE,12,FALSE)="English",mmBTU_to_GJ,1))</f>
        <v>0</v>
      </c>
      <c r="O137" s="461"/>
      <c r="P137" s="459"/>
      <c r="Q137" s="459"/>
      <c r="R137" s="460"/>
      <c r="S137" s="391"/>
      <c r="T137" s="396"/>
      <c r="U137" s="396"/>
      <c r="V137" s="397"/>
    </row>
    <row r="138" spans="1:22" ht="38.25" customHeight="1" thickTop="1" x14ac:dyDescent="0.25">
      <c r="A138" s="202" t="s">
        <v>1007</v>
      </c>
      <c r="B138" s="235" t="str">
        <f t="shared" ref="B138:N138" si="49">IF(B$131="","",B$131&amp;" ($/kg of H2)")</f>
        <v>Industrial Electricity ($/kg of H2)</v>
      </c>
      <c r="C138" s="235" t="str">
        <f t="shared" si="49"/>
        <v>Industrial Natural Gas ($/kg of H2)</v>
      </c>
      <c r="D138" s="235" t="str">
        <f t="shared" si="49"/>
        <v/>
      </c>
      <c r="E138" s="235" t="str">
        <f t="shared" si="49"/>
        <v/>
      </c>
      <c r="F138" s="235" t="str">
        <f t="shared" si="49"/>
        <v/>
      </c>
      <c r="G138" s="235" t="str">
        <f t="shared" si="49"/>
        <v/>
      </c>
      <c r="H138" s="235" t="str">
        <f t="shared" si="49"/>
        <v/>
      </c>
      <c r="I138" s="509" t="str">
        <f t="shared" si="49"/>
        <v/>
      </c>
      <c r="J138" s="515"/>
      <c r="K138" s="513" t="str">
        <f t="shared" si="49"/>
        <v/>
      </c>
      <c r="L138" s="235" t="str">
        <f t="shared" si="49"/>
        <v/>
      </c>
      <c r="M138" s="235" t="str">
        <f t="shared" si="49"/>
        <v/>
      </c>
      <c r="N138" s="235" t="str">
        <f t="shared" si="49"/>
        <v/>
      </c>
      <c r="O138" s="235"/>
      <c r="P138" s="235" t="str">
        <f>IF(P$131="","",P$131&amp;" ($/kg of H2)")</f>
        <v>Process Water ($/kg of H2)</v>
      </c>
      <c r="Q138" s="235" t="str">
        <f>IF(Q$131="","",Q$131&amp;" ($/kg of H2)")</f>
        <v/>
      </c>
      <c r="R138" s="235" t="str">
        <f>IF(R$131="","",R$131&amp;" ($/kg of H2)")</f>
        <v/>
      </c>
      <c r="S138" s="236"/>
      <c r="T138" s="235" t="str">
        <f>IF(T$131="","",T$131&amp;" ($/kg of H2)")</f>
        <v/>
      </c>
      <c r="U138" s="235" t="str">
        <f>IF(U$131="","",U$131&amp;" ($/kg of H2)")</f>
        <v/>
      </c>
      <c r="V138" s="235" t="str">
        <f>IF(V$131="","",V$131&amp;" ($/kg of H2)")</f>
        <v/>
      </c>
    </row>
    <row r="139" spans="1:22" ht="15" customHeight="1" x14ac:dyDescent="0.25">
      <c r="A139" s="203">
        <f t="shared" ref="A139:A182" si="50">IF(A65="","",A65)</f>
        <v>2012</v>
      </c>
      <c r="B139" s="205">
        <f ca="1">IF($A139="","",IF($B$131="","",IF($B$135="no",INFLATION_FACTOR*$B$133*$B$134,INFLATION_FACTOR*$B$133*$B$132*INDEX(FEEDPRICETABLE,MATCH($B$131,List_Energy_Feedstocks,0),MATCH($A139,Feedstock_Year,0)))))</f>
        <v>0.10415017224208245</v>
      </c>
      <c r="C139" s="205">
        <f t="shared" ref="C139:C182" ca="1" si="51">IF($A139="","",IF($C$131="","",IF($C$135="no",INFLATION_FACTOR*$C$133*$C$134,INFLATION_FACTOR*$C$133*$C$132*INDEX(FEEDPRICETABLE,MATCH($C$131,List_Energy_Feedstocks,0),MATCH($A139,Feedstock_Year,0)))))</f>
        <v>0.72245690439797661</v>
      </c>
      <c r="D139" s="205" t="str">
        <f t="shared" ref="D139:D182" si="52">IF($A139="","",IF($D$131="","",IF($D$135="no",INFLATION_FACTOR*$D$133*$D$134,INFLATION_FACTOR*$D$133*$D$132*INDEX(FEEDPRICETABLE,MATCH($D$131,List_Energy_Feedstocks,0),MATCH($A139,Feedstock_Year,0)))))</f>
        <v/>
      </c>
      <c r="E139" s="232" t="str">
        <f t="shared" ref="E139:E182" si="53">IF($A139="","",IF($E$131="","",IF($E$135="no",INFLATION_FACTOR*$E$133*$E$134,INFLATION_FACTOR*$E$133*$E$132*INDEX(FEEDPRICETABLE,MATCH($E$131,List_Energy_Feedstocks,0),MATCH($A139,Feedstock_Year,0)))))</f>
        <v/>
      </c>
      <c r="F139" s="204" t="str">
        <f>IF($A139="","",IF($F$131="","",IF($F$135="no",INFLATION_FACTOR*$F$133*$F$134,INFLATION_FACTOR*$F$133*$F$132*INDEX(FEEDPRICETABLE,MATCH($F$131,List_Energy_Feedstocks,0),MATCH($A139,Feedstock_Year,0)))))</f>
        <v/>
      </c>
      <c r="G139" s="205" t="str">
        <f t="shared" ref="G139:G182" si="54">IF($A139="","",IF($G$131="","",IF($G$135="no",INFLATION_FACTOR*$G$133*$G$134,INFLATION_FACTOR*$G$133*$G$132*INDEX(FEEDPRICETABLE,MATCH($G$131,List_Energy_Feedstocks,0),MATCH($A139,Feedstock_Year,0)))))</f>
        <v/>
      </c>
      <c r="H139" s="205" t="str">
        <f t="shared" ref="H139:H182" si="55">IF($A139="","",IF($H$131="","",IF($H$135="no",INFLATION_FACTOR*$H$133*$H$134,INFLATION_FACTOR*$H$133*$H$132*INDEX(FEEDPRICETABLE,MATCH(H$131,List_Energy_Feedstocks,0),MATCH($A139,Feedstock_Year,0)))))</f>
        <v/>
      </c>
      <c r="I139" s="232" t="str">
        <f t="shared" ref="I139:I182" si="56">IF($A139="","",IF($I$131="","",IF($I$135="no",INFLATION_FACTOR*$I$133*$I$134,INFLATION_FACTOR*$I$133*$I$132*INDEX(FEEDPRICETABLE,MATCH($I$131,List_Energy_Feedstocks,0),MATCH($A139,Feedstock_Year,0)))))</f>
        <v/>
      </c>
      <c r="J139" s="514" t="str">
        <f t="shared" ref="J139:J182" si="57">IF($A139="","",IF($J$131="","",IF($J$135="no",INFLATION_FACTOR*$J$133*$J$134,INFLATION_FACTOR*$J$133*$J$132*INDEX(FEEDPRICETABLE,MATCH($J$131,List_Energy_Feedstocks,0),MATCH($A139,Feedstock_Year,0)))))</f>
        <v/>
      </c>
      <c r="K139" s="230" t="str">
        <f t="shared" ref="K139:K182" si="58">IF($A139="","",IF($K$131="","",IF($K$135="no",INFLATION_FACTOR*$K$133*$K$134,INFLATION_FACTOR*$K$133*$K$132*INDEX(FEEDPRICETABLE,MATCH($K$131,List_Energy_Feedstocks,0),MATCH($A139,Feedstock_Year,0)))))</f>
        <v/>
      </c>
      <c r="L139" s="230" t="str">
        <f t="shared" ref="L139:L182" si="59">IF($A139="","",IF($L$131="","",IF($L$135="no",INFLATION_FACTOR*$L$133*$L$134,INFLATION_FACTOR*$L$133*$L$132*INDEX(FEEDPRICETABLE,MATCH($L$131,List_Energy_Feedstocks,0),MATCH($A139,Feedstock_Year,0)))))</f>
        <v/>
      </c>
      <c r="M139" s="205" t="str">
        <f t="shared" ref="M139:M182" si="60">IF($A139="","",IF(M$131="","",IF($M$135="no",INFLATION_FACTOR*$M$133*$M$134,INFLATION_FACTOR*$M$133*$M$132*INDEX(FEEDPRICETABLE,MATCH($M$131,List_Energy_Feedstocks,0),MATCH($A139,Feedstock_Year,0)))))</f>
        <v/>
      </c>
      <c r="N139" s="233" t="str">
        <f t="shared" ref="N139:N182" si="61">IF($A139="","",IF($N$131="","",IF($N$135="no",INFLATION_FACTOR*$N$133*$N$134,INFLATION_FACTOR*$N$133*$N$132*INDEX(FEEDPRICETABLE,MATCH($N$131,List_Energy_Feedstocks,0),MATCH($A139,Feedstock_Year,0)))))</f>
        <v/>
      </c>
      <c r="O139" s="237"/>
      <c r="P139" s="227">
        <f ca="1">IF(OR($A139="",$P$131=""),"",IF($P$134="No",INFLATION_FACTOR*$P$132*$P$133,INFLATION_FACTOR*$P$132*INDEX(Tbl_Other_Inputs_and_Byproducts,MATCH($P$131,Other_Inputs_List,0),MATCH($A139,Other_Inputs_years,0))))</f>
        <v>1.8948768337352834E-2</v>
      </c>
      <c r="Q139" s="227" t="str">
        <f>IF(OR($A139="",$Q$131=""),"",IF($Q$134="No",INFLATION_FACTOR*$Q$132*$Q$133,INFLATION_FACTOR*$Q$132*INDEX(Tbl_Other_Inputs_and_Byproducts,MATCH($Q$131,Other_Inputs_List,0),MATCH($A139,Other_Inputs_years,0))))</f>
        <v/>
      </c>
      <c r="R139" s="227" t="str">
        <f t="shared" ref="R139:R182" si="62">IF(OR($A139="",$R$131=""),"",IF($R$134="No",INFLATION_FACTOR*$R$132*$R$133,INFLATION_FACTOR*$R$132*INDEX(Tbl_Other_Inputs_and_Byproducts,MATCH($R$131,Other_Inputs_List,0),MATCH($A139,Other_Inputs_years,0))))</f>
        <v/>
      </c>
      <c r="S139" s="237"/>
      <c r="T139" s="227" t="str">
        <f t="shared" ref="T139:T182" si="63">IF(OR($A139="",$T$131=""),"",IF($T$134="No",INFLATION_FACTOR*$T$132*$T$133,INFLATION_FACTOR*$T$132*INDEX(Tbl_Other_Inputs_and_Byproducts,MATCH($T$131,Other_Inputs_List,0),MATCH($A139,Other_Inputs_years,0))))</f>
        <v/>
      </c>
      <c r="U139" s="227" t="str">
        <f t="shared" ref="U139:U182" si="64">IF(OR($A139="",$U$131=""),"",IF($U$134="No",INFLATION_FACTOR*$U$132*$U$133,INFLATION_FACTOR*$U$132*INDEX(Tbl_Other_Inputs_and_Byproducts,MATCH($U$131,Other_Inputs_List,0),MATCH($A139,Other_Inputs_years,0))))</f>
        <v/>
      </c>
      <c r="V139" s="227" t="str">
        <f t="shared" ref="V139:V182" si="65">IF(OR($A139="",$V$131=""),"",IF($V$134="No",INFLATION_FACTOR*$V$132*$V$133,INFLATION_FACTOR*$V$132*INDEX(Tbl_Other_Inputs_and_Byproducts,MATCH($V$131,Other_Inputs_List,0),MATCH($A139,Other_Inputs_years,0))))</f>
        <v/>
      </c>
    </row>
    <row r="140" spans="1:22" ht="15" customHeight="1" x14ac:dyDescent="0.25">
      <c r="A140" s="203">
        <f t="shared" si="50"/>
        <v>2013</v>
      </c>
      <c r="B140" s="205">
        <f t="shared" ref="B140:B182" ca="1" si="66">IF($A140="","",IF($B$131="","",IF($B$135="no",INFLATION_FACTOR*$B$133*$B$134,INFLATION_FACTOR*$B$133*$B$132*INDEX(FEEDPRICETABLE,MATCH($B$131,List_Energy_Feedstocks,0),MATCH($A140,Feedstock_Year,0)))))</f>
        <v>0.10587768940823551</v>
      </c>
      <c r="C140" s="205">
        <f t="shared" ca="1" si="51"/>
        <v>0.85025515832868581</v>
      </c>
      <c r="D140" s="205" t="str">
        <f t="shared" si="52"/>
        <v/>
      </c>
      <c r="E140" s="232" t="str">
        <f t="shared" si="53"/>
        <v/>
      </c>
      <c r="F140" s="204" t="str">
        <f t="shared" ref="F140:F182" si="67">IF($A140="","",IF($F$131="","",IF($F$135="no",INFLATION_FACTOR*$F$133*$F$134,INFLATION_FACTOR*$F$133*$F$132*INDEX(FEEDPRICETABLE,MATCH($F$131,List_Energy_Feedstocks,0),MATCH($A140,Feedstock_Year,0)))))</f>
        <v/>
      </c>
      <c r="G140" s="205" t="str">
        <f t="shared" si="54"/>
        <v/>
      </c>
      <c r="H140" s="205" t="str">
        <f t="shared" si="55"/>
        <v/>
      </c>
      <c r="I140" s="232" t="str">
        <f t="shared" si="56"/>
        <v/>
      </c>
      <c r="J140" s="514" t="str">
        <f t="shared" si="57"/>
        <v/>
      </c>
      <c r="K140" s="230" t="str">
        <f t="shared" si="58"/>
        <v/>
      </c>
      <c r="L140" s="230" t="str">
        <f t="shared" si="59"/>
        <v/>
      </c>
      <c r="M140" s="205" t="str">
        <f t="shared" si="60"/>
        <v/>
      </c>
      <c r="N140" s="233" t="str">
        <f t="shared" si="61"/>
        <v/>
      </c>
      <c r="O140" s="238"/>
      <c r="P140" s="227">
        <f t="shared" ref="P140:P182" ca="1" si="68">IF(OR($A140="",$P$131=""),"",IF($P$134="No",INFLATION_FACTOR*$P$132*$P$133,INFLATION_FACTOR*$P$132*INDEX(Tbl_Other_Inputs_and_Byproducts,MATCH($P$131,Other_Inputs_List,0),MATCH($A140,Other_Inputs_years,0))))</f>
        <v>1.8948768337352834E-2</v>
      </c>
      <c r="Q140" s="227" t="str">
        <f t="shared" ref="Q140:Q182" si="69">IF(OR($A140="",$Q$131=""),"",IF($Q$134="No",INFLATION_FACTOR*$Q$132*$Q$133,INFLATION_FACTOR*$Q$132*INDEX(Tbl_Other_Inputs_and_Byproducts,MATCH($Q$131,Other_Inputs_List,0),MATCH($A140,Other_Inputs_years,0))))</f>
        <v/>
      </c>
      <c r="R140" s="227" t="str">
        <f t="shared" si="62"/>
        <v/>
      </c>
      <c r="S140" s="237"/>
      <c r="T140" s="227" t="str">
        <f t="shared" si="63"/>
        <v/>
      </c>
      <c r="U140" s="227" t="str">
        <f t="shared" si="64"/>
        <v/>
      </c>
      <c r="V140" s="227" t="str">
        <f t="shared" si="65"/>
        <v/>
      </c>
    </row>
    <row r="141" spans="1:22" ht="15" customHeight="1" x14ac:dyDescent="0.25">
      <c r="A141" s="203">
        <f t="shared" si="50"/>
        <v>2014</v>
      </c>
      <c r="B141" s="205">
        <f t="shared" ca="1" si="66"/>
        <v>0.10718283848136415</v>
      </c>
      <c r="C141" s="205">
        <f t="shared" ca="1" si="51"/>
        <v>1.0116942523341566</v>
      </c>
      <c r="D141" s="205" t="str">
        <f t="shared" si="52"/>
        <v/>
      </c>
      <c r="E141" s="232" t="str">
        <f t="shared" si="53"/>
        <v/>
      </c>
      <c r="F141" s="204" t="str">
        <f t="shared" si="67"/>
        <v/>
      </c>
      <c r="G141" s="205" t="str">
        <f t="shared" si="54"/>
        <v/>
      </c>
      <c r="H141" s="205" t="str">
        <f t="shared" si="55"/>
        <v/>
      </c>
      <c r="I141" s="232" t="str">
        <f t="shared" si="56"/>
        <v/>
      </c>
      <c r="J141" s="514" t="str">
        <f t="shared" si="57"/>
        <v/>
      </c>
      <c r="K141" s="230" t="str">
        <f t="shared" si="58"/>
        <v/>
      </c>
      <c r="L141" s="230" t="str">
        <f t="shared" si="59"/>
        <v/>
      </c>
      <c r="M141" s="205" t="str">
        <f t="shared" si="60"/>
        <v/>
      </c>
      <c r="N141" s="233" t="str">
        <f t="shared" si="61"/>
        <v/>
      </c>
      <c r="O141" s="238"/>
      <c r="P141" s="227">
        <f t="shared" ca="1" si="68"/>
        <v>1.8948768337352834E-2</v>
      </c>
      <c r="Q141" s="227" t="str">
        <f t="shared" si="69"/>
        <v/>
      </c>
      <c r="R141" s="227" t="str">
        <f t="shared" si="62"/>
        <v/>
      </c>
      <c r="S141" s="237"/>
      <c r="T141" s="227" t="str">
        <f t="shared" si="63"/>
        <v/>
      </c>
      <c r="U141" s="227" t="str">
        <f t="shared" si="64"/>
        <v/>
      </c>
      <c r="V141" s="227" t="str">
        <f t="shared" si="65"/>
        <v/>
      </c>
    </row>
    <row r="142" spans="1:22" ht="15" customHeight="1" x14ac:dyDescent="0.25">
      <c r="A142" s="203">
        <f t="shared" si="50"/>
        <v>2015</v>
      </c>
      <c r="B142" s="205">
        <f t="shared" ca="1" si="66"/>
        <v>0.10319281158201099</v>
      </c>
      <c r="C142" s="205">
        <f t="shared" ca="1" si="51"/>
        <v>0.6147543703937548</v>
      </c>
      <c r="D142" s="205" t="str">
        <f t="shared" si="52"/>
        <v/>
      </c>
      <c r="E142" s="232" t="str">
        <f t="shared" si="53"/>
        <v/>
      </c>
      <c r="F142" s="204" t="str">
        <f t="shared" si="67"/>
        <v/>
      </c>
      <c r="G142" s="205" t="str">
        <f t="shared" si="54"/>
        <v/>
      </c>
      <c r="H142" s="205" t="str">
        <f t="shared" si="55"/>
        <v/>
      </c>
      <c r="I142" s="232" t="str">
        <f t="shared" si="56"/>
        <v/>
      </c>
      <c r="J142" s="514" t="str">
        <f t="shared" si="57"/>
        <v/>
      </c>
      <c r="K142" s="230" t="str">
        <f t="shared" si="58"/>
        <v/>
      </c>
      <c r="L142" s="230" t="str">
        <f t="shared" si="59"/>
        <v/>
      </c>
      <c r="M142" s="205" t="str">
        <f t="shared" si="60"/>
        <v/>
      </c>
      <c r="N142" s="233" t="str">
        <f t="shared" si="61"/>
        <v/>
      </c>
      <c r="O142" s="238"/>
      <c r="P142" s="227">
        <f t="shared" ca="1" si="68"/>
        <v>1.8948768337352834E-2</v>
      </c>
      <c r="Q142" s="227" t="str">
        <f t="shared" si="69"/>
        <v/>
      </c>
      <c r="R142" s="227" t="str">
        <f t="shared" si="62"/>
        <v/>
      </c>
      <c r="S142" s="237"/>
      <c r="T142" s="227" t="str">
        <f t="shared" si="63"/>
        <v/>
      </c>
      <c r="U142" s="227" t="str">
        <f t="shared" si="64"/>
        <v/>
      </c>
      <c r="V142" s="227" t="str">
        <f t="shared" si="65"/>
        <v/>
      </c>
    </row>
    <row r="143" spans="1:22" ht="15" customHeight="1" x14ac:dyDescent="0.25">
      <c r="A143" s="203">
        <f t="shared" si="50"/>
        <v>2016</v>
      </c>
      <c r="B143" s="205">
        <f t="shared" ca="1" si="66"/>
        <v>9.9682354646427399E-2</v>
      </c>
      <c r="C143" s="205">
        <f t="shared" ca="1" si="51"/>
        <v>0.57615869928708496</v>
      </c>
      <c r="D143" s="205" t="str">
        <f t="shared" si="52"/>
        <v/>
      </c>
      <c r="E143" s="232" t="str">
        <f t="shared" si="53"/>
        <v/>
      </c>
      <c r="F143" s="204" t="str">
        <f t="shared" si="67"/>
        <v/>
      </c>
      <c r="G143" s="205" t="str">
        <f t="shared" si="54"/>
        <v/>
      </c>
      <c r="H143" s="205" t="str">
        <f t="shared" si="55"/>
        <v/>
      </c>
      <c r="I143" s="232" t="str">
        <f t="shared" si="56"/>
        <v/>
      </c>
      <c r="J143" s="514" t="str">
        <f t="shared" si="57"/>
        <v/>
      </c>
      <c r="K143" s="230" t="str">
        <f t="shared" si="58"/>
        <v/>
      </c>
      <c r="L143" s="230" t="str">
        <f t="shared" si="59"/>
        <v/>
      </c>
      <c r="M143" s="205" t="str">
        <f t="shared" si="60"/>
        <v/>
      </c>
      <c r="N143" s="233" t="str">
        <f t="shared" si="61"/>
        <v/>
      </c>
      <c r="O143" s="238"/>
      <c r="P143" s="227">
        <f t="shared" ca="1" si="68"/>
        <v>1.8948768337352834E-2</v>
      </c>
      <c r="Q143" s="227" t="str">
        <f t="shared" si="69"/>
        <v/>
      </c>
      <c r="R143" s="227" t="str">
        <f t="shared" si="62"/>
        <v/>
      </c>
      <c r="S143" s="237"/>
      <c r="T143" s="227" t="str">
        <f t="shared" si="63"/>
        <v/>
      </c>
      <c r="U143" s="227" t="str">
        <f t="shared" si="64"/>
        <v/>
      </c>
      <c r="V143" s="227" t="str">
        <f t="shared" si="65"/>
        <v/>
      </c>
    </row>
    <row r="144" spans="1:22" ht="15" customHeight="1" x14ac:dyDescent="0.25">
      <c r="A144" s="203">
        <f t="shared" si="50"/>
        <v>2017</v>
      </c>
      <c r="B144" s="205">
        <f t="shared" ca="1" si="66"/>
        <v>0.10371535698699709</v>
      </c>
      <c r="C144" s="205">
        <f t="shared" ca="1" si="51"/>
        <v>0.6720132623465418</v>
      </c>
      <c r="D144" s="205" t="str">
        <f t="shared" si="52"/>
        <v/>
      </c>
      <c r="E144" s="232" t="str">
        <f t="shared" si="53"/>
        <v/>
      </c>
      <c r="F144" s="204" t="str">
        <f t="shared" si="67"/>
        <v/>
      </c>
      <c r="G144" s="205" t="str">
        <f t="shared" si="54"/>
        <v/>
      </c>
      <c r="H144" s="205" t="str">
        <f t="shared" si="55"/>
        <v/>
      </c>
      <c r="I144" s="232" t="str">
        <f t="shared" si="56"/>
        <v/>
      </c>
      <c r="J144" s="514" t="str">
        <f t="shared" si="57"/>
        <v/>
      </c>
      <c r="K144" s="230" t="str">
        <f t="shared" si="58"/>
        <v/>
      </c>
      <c r="L144" s="230" t="str">
        <f t="shared" si="59"/>
        <v/>
      </c>
      <c r="M144" s="205" t="str">
        <f t="shared" si="60"/>
        <v/>
      </c>
      <c r="N144" s="233" t="str">
        <f t="shared" si="61"/>
        <v/>
      </c>
      <c r="O144" s="238"/>
      <c r="P144" s="227">
        <f t="shared" ca="1" si="68"/>
        <v>1.8948768337352834E-2</v>
      </c>
      <c r="Q144" s="227" t="str">
        <f t="shared" si="69"/>
        <v/>
      </c>
      <c r="R144" s="227" t="str">
        <f t="shared" si="62"/>
        <v/>
      </c>
      <c r="S144" s="237"/>
      <c r="T144" s="227" t="str">
        <f t="shared" si="63"/>
        <v/>
      </c>
      <c r="U144" s="227" t="str">
        <f t="shared" si="64"/>
        <v/>
      </c>
      <c r="V144" s="227" t="str">
        <f t="shared" si="65"/>
        <v/>
      </c>
    </row>
    <row r="145" spans="1:22" ht="15" customHeight="1" x14ac:dyDescent="0.25">
      <c r="A145" s="203">
        <f t="shared" si="50"/>
        <v>2018</v>
      </c>
      <c r="B145" s="205">
        <f t="shared" ca="1" si="66"/>
        <v>0.10136471405573169</v>
      </c>
      <c r="C145" s="205">
        <f t="shared" ca="1" si="51"/>
        <v>0.73485485386926908</v>
      </c>
      <c r="D145" s="205" t="str">
        <f t="shared" si="52"/>
        <v/>
      </c>
      <c r="E145" s="232" t="str">
        <f t="shared" si="53"/>
        <v/>
      </c>
      <c r="F145" s="204" t="str">
        <f t="shared" si="67"/>
        <v/>
      </c>
      <c r="G145" s="205" t="str">
        <f t="shared" si="54"/>
        <v/>
      </c>
      <c r="H145" s="205" t="str">
        <f t="shared" si="55"/>
        <v/>
      </c>
      <c r="I145" s="232" t="str">
        <f t="shared" si="56"/>
        <v/>
      </c>
      <c r="J145" s="514" t="str">
        <f t="shared" si="57"/>
        <v/>
      </c>
      <c r="K145" s="230" t="str">
        <f t="shared" si="58"/>
        <v/>
      </c>
      <c r="L145" s="230" t="str">
        <f t="shared" si="59"/>
        <v/>
      </c>
      <c r="M145" s="205" t="str">
        <f t="shared" si="60"/>
        <v/>
      </c>
      <c r="N145" s="233" t="str">
        <f t="shared" si="61"/>
        <v/>
      </c>
      <c r="O145" s="238"/>
      <c r="P145" s="227">
        <f t="shared" ca="1" si="68"/>
        <v>1.8948768337352834E-2</v>
      </c>
      <c r="Q145" s="227" t="str">
        <f t="shared" si="69"/>
        <v/>
      </c>
      <c r="R145" s="227" t="str">
        <f t="shared" si="62"/>
        <v/>
      </c>
      <c r="S145" s="237"/>
      <c r="T145" s="227" t="str">
        <f t="shared" si="63"/>
        <v/>
      </c>
      <c r="U145" s="227" t="str">
        <f t="shared" si="64"/>
        <v/>
      </c>
      <c r="V145" s="227" t="str">
        <f t="shared" si="65"/>
        <v/>
      </c>
    </row>
    <row r="146" spans="1:22" ht="15" customHeight="1" x14ac:dyDescent="0.25">
      <c r="A146" s="203">
        <f t="shared" si="50"/>
        <v>2019</v>
      </c>
      <c r="B146" s="205">
        <f t="shared" ca="1" si="66"/>
        <v>0.1026716297438213</v>
      </c>
      <c r="C146" s="205">
        <f t="shared" ca="1" si="51"/>
        <v>0.8055650421198064</v>
      </c>
      <c r="D146" s="205" t="str">
        <f t="shared" si="52"/>
        <v/>
      </c>
      <c r="E146" s="232" t="str">
        <f t="shared" si="53"/>
        <v/>
      </c>
      <c r="F146" s="204" t="str">
        <f t="shared" si="67"/>
        <v/>
      </c>
      <c r="G146" s="205" t="str">
        <f t="shared" si="54"/>
        <v/>
      </c>
      <c r="H146" s="205" t="str">
        <f t="shared" si="55"/>
        <v/>
      </c>
      <c r="I146" s="232" t="str">
        <f t="shared" si="56"/>
        <v/>
      </c>
      <c r="J146" s="514" t="str">
        <f t="shared" si="57"/>
        <v/>
      </c>
      <c r="K146" s="230" t="str">
        <f t="shared" si="58"/>
        <v/>
      </c>
      <c r="L146" s="230" t="str">
        <f t="shared" si="59"/>
        <v/>
      </c>
      <c r="M146" s="205" t="str">
        <f t="shared" si="60"/>
        <v/>
      </c>
      <c r="N146" s="233" t="str">
        <f t="shared" si="61"/>
        <v/>
      </c>
      <c r="O146" s="238"/>
      <c r="P146" s="227">
        <f t="shared" ca="1" si="68"/>
        <v>1.8948768337352834E-2</v>
      </c>
      <c r="Q146" s="227" t="str">
        <f t="shared" si="69"/>
        <v/>
      </c>
      <c r="R146" s="227" t="str">
        <f t="shared" si="62"/>
        <v/>
      </c>
      <c r="S146" s="237"/>
      <c r="T146" s="227" t="str">
        <f t="shared" si="63"/>
        <v/>
      </c>
      <c r="U146" s="227" t="str">
        <f t="shared" si="64"/>
        <v/>
      </c>
      <c r="V146" s="227" t="str">
        <f t="shared" si="65"/>
        <v/>
      </c>
    </row>
    <row r="147" spans="1:22" ht="15" customHeight="1" x14ac:dyDescent="0.25">
      <c r="A147" s="203">
        <f t="shared" si="50"/>
        <v>2020</v>
      </c>
      <c r="B147" s="205">
        <f t="shared" ca="1" si="66"/>
        <v>0.10458188436298282</v>
      </c>
      <c r="C147" s="205">
        <f t="shared" ca="1" si="51"/>
        <v>0.87546255474579426</v>
      </c>
      <c r="D147" s="205" t="str">
        <f t="shared" si="52"/>
        <v/>
      </c>
      <c r="E147" s="232" t="str">
        <f t="shared" si="53"/>
        <v/>
      </c>
      <c r="F147" s="204" t="str">
        <f t="shared" si="67"/>
        <v/>
      </c>
      <c r="G147" s="205" t="str">
        <f t="shared" si="54"/>
        <v/>
      </c>
      <c r="H147" s="205" t="str">
        <f t="shared" si="55"/>
        <v/>
      </c>
      <c r="I147" s="232" t="str">
        <f t="shared" si="56"/>
        <v/>
      </c>
      <c r="J147" s="514" t="str">
        <f t="shared" si="57"/>
        <v/>
      </c>
      <c r="K147" s="230" t="str">
        <f t="shared" si="58"/>
        <v/>
      </c>
      <c r="L147" s="230" t="str">
        <f t="shared" si="59"/>
        <v/>
      </c>
      <c r="M147" s="205" t="str">
        <f t="shared" si="60"/>
        <v/>
      </c>
      <c r="N147" s="233" t="str">
        <f t="shared" si="61"/>
        <v/>
      </c>
      <c r="O147" s="238"/>
      <c r="P147" s="227">
        <f t="shared" ca="1" si="68"/>
        <v>1.8948768337352834E-2</v>
      </c>
      <c r="Q147" s="227" t="str">
        <f t="shared" si="69"/>
        <v/>
      </c>
      <c r="R147" s="227" t="str">
        <f t="shared" si="62"/>
        <v/>
      </c>
      <c r="S147" s="237"/>
      <c r="T147" s="227" t="str">
        <f t="shared" si="63"/>
        <v/>
      </c>
      <c r="U147" s="227" t="str">
        <f t="shared" si="64"/>
        <v/>
      </c>
      <c r="V147" s="227" t="str">
        <f t="shared" si="65"/>
        <v/>
      </c>
    </row>
    <row r="148" spans="1:22" ht="15" customHeight="1" x14ac:dyDescent="0.25">
      <c r="A148" s="203">
        <f t="shared" si="50"/>
        <v>2021</v>
      </c>
      <c r="B148" s="205">
        <f t="shared" ca="1" si="66"/>
        <v>0.10515788707739156</v>
      </c>
      <c r="C148" s="205">
        <f t="shared" ca="1" si="51"/>
        <v>0.8763909740826733</v>
      </c>
      <c r="D148" s="205" t="str">
        <f t="shared" si="52"/>
        <v/>
      </c>
      <c r="E148" s="232" t="str">
        <f t="shared" si="53"/>
        <v/>
      </c>
      <c r="F148" s="204" t="str">
        <f t="shared" si="67"/>
        <v/>
      </c>
      <c r="G148" s="205" t="str">
        <f t="shared" si="54"/>
        <v/>
      </c>
      <c r="H148" s="205" t="str">
        <f t="shared" si="55"/>
        <v/>
      </c>
      <c r="I148" s="232" t="str">
        <f t="shared" si="56"/>
        <v/>
      </c>
      <c r="J148" s="514" t="str">
        <f t="shared" si="57"/>
        <v/>
      </c>
      <c r="K148" s="230" t="str">
        <f t="shared" si="58"/>
        <v/>
      </c>
      <c r="L148" s="230" t="str">
        <f t="shared" si="59"/>
        <v/>
      </c>
      <c r="M148" s="205" t="str">
        <f t="shared" si="60"/>
        <v/>
      </c>
      <c r="N148" s="233" t="str">
        <f t="shared" si="61"/>
        <v/>
      </c>
      <c r="O148" s="238"/>
      <c r="P148" s="227">
        <f t="shared" ca="1" si="68"/>
        <v>1.8948768337352834E-2</v>
      </c>
      <c r="Q148" s="227" t="str">
        <f t="shared" si="69"/>
        <v/>
      </c>
      <c r="R148" s="227" t="str">
        <f t="shared" si="62"/>
        <v/>
      </c>
      <c r="S148" s="237"/>
      <c r="T148" s="227" t="str">
        <f t="shared" si="63"/>
        <v/>
      </c>
      <c r="U148" s="227" t="str">
        <f t="shared" si="64"/>
        <v/>
      </c>
      <c r="V148" s="227" t="str">
        <f t="shared" si="65"/>
        <v/>
      </c>
    </row>
    <row r="149" spans="1:22" ht="15" customHeight="1" x14ac:dyDescent="0.25">
      <c r="A149" s="203">
        <f t="shared" si="50"/>
        <v>2022</v>
      </c>
      <c r="B149" s="205">
        <f t="shared" ca="1" si="66"/>
        <v>0.10855214152700607</v>
      </c>
      <c r="C149" s="205">
        <f t="shared" ca="1" si="51"/>
        <v>0.86670258325475269</v>
      </c>
      <c r="D149" s="205" t="str">
        <f t="shared" si="52"/>
        <v/>
      </c>
      <c r="E149" s="232" t="str">
        <f t="shared" si="53"/>
        <v/>
      </c>
      <c r="F149" s="204" t="str">
        <f t="shared" si="67"/>
        <v/>
      </c>
      <c r="G149" s="205" t="str">
        <f t="shared" si="54"/>
        <v/>
      </c>
      <c r="H149" s="205" t="str">
        <f t="shared" si="55"/>
        <v/>
      </c>
      <c r="I149" s="232" t="str">
        <f t="shared" si="56"/>
        <v/>
      </c>
      <c r="J149" s="514" t="str">
        <f t="shared" si="57"/>
        <v/>
      </c>
      <c r="K149" s="230" t="str">
        <f t="shared" si="58"/>
        <v/>
      </c>
      <c r="L149" s="230" t="str">
        <f t="shared" si="59"/>
        <v/>
      </c>
      <c r="M149" s="205" t="str">
        <f t="shared" si="60"/>
        <v/>
      </c>
      <c r="N149" s="233" t="str">
        <f t="shared" si="61"/>
        <v/>
      </c>
      <c r="O149" s="238"/>
      <c r="P149" s="227">
        <f t="shared" ca="1" si="68"/>
        <v>1.8948768337352834E-2</v>
      </c>
      <c r="Q149" s="227" t="str">
        <f t="shared" si="69"/>
        <v/>
      </c>
      <c r="R149" s="227" t="str">
        <f t="shared" si="62"/>
        <v/>
      </c>
      <c r="S149" s="237"/>
      <c r="T149" s="227" t="str">
        <f t="shared" si="63"/>
        <v/>
      </c>
      <c r="U149" s="227" t="str">
        <f t="shared" si="64"/>
        <v/>
      </c>
      <c r="V149" s="227" t="str">
        <f t="shared" si="65"/>
        <v/>
      </c>
    </row>
    <row r="150" spans="1:22" ht="15" customHeight="1" x14ac:dyDescent="0.25">
      <c r="A150" s="203">
        <f t="shared" si="50"/>
        <v>2023</v>
      </c>
      <c r="B150" s="205">
        <f t="shared" ca="1" si="66"/>
        <v>0.10889618640515698</v>
      </c>
      <c r="C150" s="205">
        <f t="shared" ca="1" si="51"/>
        <v>0.86868767847460537</v>
      </c>
      <c r="D150" s="205" t="str">
        <f t="shared" si="52"/>
        <v/>
      </c>
      <c r="E150" s="232" t="str">
        <f t="shared" si="53"/>
        <v/>
      </c>
      <c r="F150" s="204" t="str">
        <f t="shared" si="67"/>
        <v/>
      </c>
      <c r="G150" s="205" t="str">
        <f t="shared" si="54"/>
        <v/>
      </c>
      <c r="H150" s="205" t="str">
        <f t="shared" si="55"/>
        <v/>
      </c>
      <c r="I150" s="232" t="str">
        <f t="shared" si="56"/>
        <v/>
      </c>
      <c r="J150" s="514" t="str">
        <f t="shared" si="57"/>
        <v/>
      </c>
      <c r="K150" s="230" t="str">
        <f t="shared" si="58"/>
        <v/>
      </c>
      <c r="L150" s="230" t="str">
        <f t="shared" si="59"/>
        <v/>
      </c>
      <c r="M150" s="205" t="str">
        <f t="shared" si="60"/>
        <v/>
      </c>
      <c r="N150" s="233" t="str">
        <f t="shared" si="61"/>
        <v/>
      </c>
      <c r="O150" s="238"/>
      <c r="P150" s="227">
        <f t="shared" ca="1" si="68"/>
        <v>1.8948768337352834E-2</v>
      </c>
      <c r="Q150" s="227" t="str">
        <f t="shared" si="69"/>
        <v/>
      </c>
      <c r="R150" s="227" t="str">
        <f t="shared" si="62"/>
        <v/>
      </c>
      <c r="S150" s="237"/>
      <c r="T150" s="227" t="str">
        <f t="shared" si="63"/>
        <v/>
      </c>
      <c r="U150" s="227" t="str">
        <f t="shared" si="64"/>
        <v/>
      </c>
      <c r="V150" s="227" t="str">
        <f t="shared" si="65"/>
        <v/>
      </c>
    </row>
    <row r="151" spans="1:22" ht="15" customHeight="1" x14ac:dyDescent="0.25">
      <c r="A151" s="203">
        <f t="shared" si="50"/>
        <v>2024</v>
      </c>
      <c r="B151" s="205">
        <f t="shared" ca="1" si="66"/>
        <v>0.1086091183938372</v>
      </c>
      <c r="C151" s="205">
        <f t="shared" ca="1" si="51"/>
        <v>0.88358601814029847</v>
      </c>
      <c r="D151" s="205" t="str">
        <f t="shared" si="52"/>
        <v/>
      </c>
      <c r="E151" s="232" t="str">
        <f t="shared" si="53"/>
        <v/>
      </c>
      <c r="F151" s="204" t="str">
        <f t="shared" si="67"/>
        <v/>
      </c>
      <c r="G151" s="205" t="str">
        <f t="shared" si="54"/>
        <v/>
      </c>
      <c r="H151" s="205" t="str">
        <f t="shared" si="55"/>
        <v/>
      </c>
      <c r="I151" s="232" t="str">
        <f t="shared" si="56"/>
        <v/>
      </c>
      <c r="J151" s="514" t="str">
        <f t="shared" si="57"/>
        <v/>
      </c>
      <c r="K151" s="230" t="str">
        <f t="shared" si="58"/>
        <v/>
      </c>
      <c r="L151" s="230" t="str">
        <f t="shared" si="59"/>
        <v/>
      </c>
      <c r="M151" s="205" t="str">
        <f t="shared" si="60"/>
        <v/>
      </c>
      <c r="N151" s="233" t="str">
        <f t="shared" si="61"/>
        <v/>
      </c>
      <c r="O151" s="238"/>
      <c r="P151" s="227">
        <f t="shared" ca="1" si="68"/>
        <v>1.8948768337352834E-2</v>
      </c>
      <c r="Q151" s="227" t="str">
        <f t="shared" si="69"/>
        <v/>
      </c>
      <c r="R151" s="227" t="str">
        <f t="shared" si="62"/>
        <v/>
      </c>
      <c r="S151" s="237"/>
      <c r="T151" s="227" t="str">
        <f t="shared" si="63"/>
        <v/>
      </c>
      <c r="U151" s="227" t="str">
        <f t="shared" si="64"/>
        <v/>
      </c>
      <c r="V151" s="227" t="str">
        <f t="shared" si="65"/>
        <v/>
      </c>
    </row>
    <row r="152" spans="1:22" ht="15" customHeight="1" x14ac:dyDescent="0.25">
      <c r="A152" s="203">
        <f t="shared" si="50"/>
        <v>2025</v>
      </c>
      <c r="B152" s="205">
        <f t="shared" ca="1" si="66"/>
        <v>0.11121699245720049</v>
      </c>
      <c r="C152" s="205">
        <f t="shared" ca="1" si="51"/>
        <v>0.90302585789261502</v>
      </c>
      <c r="D152" s="205" t="str">
        <f t="shared" si="52"/>
        <v/>
      </c>
      <c r="E152" s="232" t="str">
        <f t="shared" si="53"/>
        <v/>
      </c>
      <c r="F152" s="204" t="str">
        <f t="shared" si="67"/>
        <v/>
      </c>
      <c r="G152" s="205" t="str">
        <f t="shared" si="54"/>
        <v/>
      </c>
      <c r="H152" s="205" t="str">
        <f t="shared" si="55"/>
        <v/>
      </c>
      <c r="I152" s="232" t="str">
        <f t="shared" si="56"/>
        <v/>
      </c>
      <c r="J152" s="514" t="str">
        <f t="shared" si="57"/>
        <v/>
      </c>
      <c r="K152" s="230" t="str">
        <f t="shared" si="58"/>
        <v/>
      </c>
      <c r="L152" s="230" t="str">
        <f t="shared" si="59"/>
        <v/>
      </c>
      <c r="M152" s="205" t="str">
        <f t="shared" si="60"/>
        <v/>
      </c>
      <c r="N152" s="233" t="str">
        <f t="shared" si="61"/>
        <v/>
      </c>
      <c r="O152" s="238"/>
      <c r="P152" s="227">
        <f t="shared" ca="1" si="68"/>
        <v>1.8948768337352834E-2</v>
      </c>
      <c r="Q152" s="227" t="str">
        <f t="shared" si="69"/>
        <v/>
      </c>
      <c r="R152" s="227" t="str">
        <f t="shared" si="62"/>
        <v/>
      </c>
      <c r="S152" s="237"/>
      <c r="T152" s="227" t="str">
        <f t="shared" si="63"/>
        <v/>
      </c>
      <c r="U152" s="227" t="str">
        <f t="shared" si="64"/>
        <v/>
      </c>
      <c r="V152" s="227" t="str">
        <f t="shared" si="65"/>
        <v/>
      </c>
    </row>
    <row r="153" spans="1:22" ht="15" customHeight="1" x14ac:dyDescent="0.25">
      <c r="A153" s="203">
        <f t="shared" si="50"/>
        <v>2026</v>
      </c>
      <c r="B153" s="205">
        <f t="shared" ca="1" si="66"/>
        <v>0.11234644663936154</v>
      </c>
      <c r="C153" s="205">
        <f t="shared" ca="1" si="51"/>
        <v>0.92312723140899977</v>
      </c>
      <c r="D153" s="205" t="str">
        <f t="shared" si="52"/>
        <v/>
      </c>
      <c r="E153" s="232" t="str">
        <f t="shared" si="53"/>
        <v/>
      </c>
      <c r="F153" s="204" t="str">
        <f t="shared" si="67"/>
        <v/>
      </c>
      <c r="G153" s="205" t="str">
        <f t="shared" si="54"/>
        <v/>
      </c>
      <c r="H153" s="205" t="str">
        <f t="shared" si="55"/>
        <v/>
      </c>
      <c r="I153" s="232" t="str">
        <f t="shared" si="56"/>
        <v/>
      </c>
      <c r="J153" s="514" t="str">
        <f t="shared" si="57"/>
        <v/>
      </c>
      <c r="K153" s="230" t="str">
        <f t="shared" si="58"/>
        <v/>
      </c>
      <c r="L153" s="230" t="str">
        <f t="shared" si="59"/>
        <v/>
      </c>
      <c r="M153" s="205" t="str">
        <f t="shared" si="60"/>
        <v/>
      </c>
      <c r="N153" s="233" t="str">
        <f t="shared" si="61"/>
        <v/>
      </c>
      <c r="O153" s="238"/>
      <c r="P153" s="227">
        <f t="shared" ca="1" si="68"/>
        <v>1.8948768337352834E-2</v>
      </c>
      <c r="Q153" s="227" t="str">
        <f t="shared" si="69"/>
        <v/>
      </c>
      <c r="R153" s="227" t="str">
        <f t="shared" si="62"/>
        <v/>
      </c>
      <c r="S153" s="237"/>
      <c r="T153" s="227" t="str">
        <f t="shared" si="63"/>
        <v/>
      </c>
      <c r="U153" s="227" t="str">
        <f t="shared" si="64"/>
        <v/>
      </c>
      <c r="V153" s="227" t="str">
        <f t="shared" si="65"/>
        <v/>
      </c>
    </row>
    <row r="154" spans="1:22" ht="15" customHeight="1" x14ac:dyDescent="0.25">
      <c r="A154" s="203">
        <f t="shared" si="50"/>
        <v>2027</v>
      </c>
      <c r="B154" s="205">
        <f t="shared" ca="1" si="66"/>
        <v>0.11299375597305067</v>
      </c>
      <c r="C154" s="205">
        <f t="shared" ca="1" si="51"/>
        <v>0.93923026060970682</v>
      </c>
      <c r="D154" s="205" t="str">
        <f t="shared" si="52"/>
        <v/>
      </c>
      <c r="E154" s="232" t="str">
        <f t="shared" si="53"/>
        <v/>
      </c>
      <c r="F154" s="204" t="str">
        <f t="shared" si="67"/>
        <v/>
      </c>
      <c r="G154" s="205" t="str">
        <f t="shared" si="54"/>
        <v/>
      </c>
      <c r="H154" s="205" t="str">
        <f t="shared" si="55"/>
        <v/>
      </c>
      <c r="I154" s="232" t="str">
        <f t="shared" si="56"/>
        <v/>
      </c>
      <c r="J154" s="514" t="str">
        <f t="shared" si="57"/>
        <v/>
      </c>
      <c r="K154" s="230" t="str">
        <f t="shared" si="58"/>
        <v/>
      </c>
      <c r="L154" s="230" t="str">
        <f t="shared" si="59"/>
        <v/>
      </c>
      <c r="M154" s="205" t="str">
        <f t="shared" si="60"/>
        <v/>
      </c>
      <c r="N154" s="233" t="str">
        <f t="shared" si="61"/>
        <v/>
      </c>
      <c r="O154" s="238"/>
      <c r="P154" s="227">
        <f t="shared" ca="1" si="68"/>
        <v>1.8948768337352834E-2</v>
      </c>
      <c r="Q154" s="227" t="str">
        <f t="shared" si="69"/>
        <v/>
      </c>
      <c r="R154" s="227" t="str">
        <f t="shared" si="62"/>
        <v/>
      </c>
      <c r="S154" s="237"/>
      <c r="T154" s="227" t="str">
        <f t="shared" si="63"/>
        <v/>
      </c>
      <c r="U154" s="227" t="str">
        <f t="shared" si="64"/>
        <v/>
      </c>
      <c r="V154" s="227" t="str">
        <f t="shared" si="65"/>
        <v/>
      </c>
    </row>
    <row r="155" spans="1:22" ht="15" customHeight="1" x14ac:dyDescent="0.25">
      <c r="A155" s="203">
        <f t="shared" si="50"/>
        <v>2028</v>
      </c>
      <c r="B155" s="205">
        <f t="shared" ca="1" si="66"/>
        <v>0.1137279343994491</v>
      </c>
      <c r="C155" s="205">
        <f t="shared" ca="1" si="51"/>
        <v>0.95519515471134653</v>
      </c>
      <c r="D155" s="205" t="str">
        <f t="shared" si="52"/>
        <v/>
      </c>
      <c r="E155" s="232" t="str">
        <f t="shared" si="53"/>
        <v/>
      </c>
      <c r="F155" s="204" t="str">
        <f t="shared" si="67"/>
        <v/>
      </c>
      <c r="G155" s="205" t="str">
        <f t="shared" si="54"/>
        <v/>
      </c>
      <c r="H155" s="205" t="str">
        <f t="shared" si="55"/>
        <v/>
      </c>
      <c r="I155" s="232" t="str">
        <f t="shared" si="56"/>
        <v/>
      </c>
      <c r="J155" s="514" t="str">
        <f t="shared" si="57"/>
        <v/>
      </c>
      <c r="K155" s="230" t="str">
        <f t="shared" si="58"/>
        <v/>
      </c>
      <c r="L155" s="230" t="str">
        <f t="shared" si="59"/>
        <v/>
      </c>
      <c r="M155" s="205" t="str">
        <f t="shared" si="60"/>
        <v/>
      </c>
      <c r="N155" s="233" t="str">
        <f t="shared" si="61"/>
        <v/>
      </c>
      <c r="O155" s="238"/>
      <c r="P155" s="227">
        <f t="shared" ca="1" si="68"/>
        <v>1.8948768337352834E-2</v>
      </c>
      <c r="Q155" s="227" t="str">
        <f t="shared" si="69"/>
        <v/>
      </c>
      <c r="R155" s="227" t="str">
        <f t="shared" si="62"/>
        <v/>
      </c>
      <c r="S155" s="237"/>
      <c r="T155" s="227" t="str">
        <f t="shared" si="63"/>
        <v/>
      </c>
      <c r="U155" s="227" t="str">
        <f t="shared" si="64"/>
        <v/>
      </c>
      <c r="V155" s="227" t="str">
        <f t="shared" si="65"/>
        <v/>
      </c>
    </row>
    <row r="156" spans="1:22" ht="15" customHeight="1" x14ac:dyDescent="0.25">
      <c r="A156" s="203">
        <f t="shared" si="50"/>
        <v>2029</v>
      </c>
      <c r="B156" s="205">
        <f t="shared" ca="1" si="66"/>
        <v>0.11430475221915866</v>
      </c>
      <c r="C156" s="205">
        <f t="shared" ca="1" si="51"/>
        <v>0.96860957107799883</v>
      </c>
      <c r="D156" s="205" t="str">
        <f t="shared" si="52"/>
        <v/>
      </c>
      <c r="E156" s="232" t="str">
        <f t="shared" si="53"/>
        <v/>
      </c>
      <c r="F156" s="204" t="str">
        <f t="shared" si="67"/>
        <v/>
      </c>
      <c r="G156" s="205" t="str">
        <f t="shared" si="54"/>
        <v/>
      </c>
      <c r="H156" s="205" t="str">
        <f t="shared" si="55"/>
        <v/>
      </c>
      <c r="I156" s="232" t="str">
        <f t="shared" si="56"/>
        <v/>
      </c>
      <c r="J156" s="514" t="str">
        <f t="shared" si="57"/>
        <v/>
      </c>
      <c r="K156" s="230" t="str">
        <f t="shared" si="58"/>
        <v/>
      </c>
      <c r="L156" s="230" t="str">
        <f t="shared" si="59"/>
        <v/>
      </c>
      <c r="M156" s="205" t="str">
        <f t="shared" si="60"/>
        <v/>
      </c>
      <c r="N156" s="233" t="str">
        <f t="shared" si="61"/>
        <v/>
      </c>
      <c r="O156" s="238"/>
      <c r="P156" s="227">
        <f t="shared" ca="1" si="68"/>
        <v>1.8948768337352834E-2</v>
      </c>
      <c r="Q156" s="227" t="str">
        <f t="shared" si="69"/>
        <v/>
      </c>
      <c r="R156" s="227" t="str">
        <f t="shared" si="62"/>
        <v/>
      </c>
      <c r="S156" s="237"/>
      <c r="T156" s="227" t="str">
        <f t="shared" si="63"/>
        <v/>
      </c>
      <c r="U156" s="227" t="str">
        <f t="shared" si="64"/>
        <v/>
      </c>
      <c r="V156" s="227" t="str">
        <f t="shared" si="65"/>
        <v/>
      </c>
    </row>
    <row r="157" spans="1:22" ht="15" customHeight="1" x14ac:dyDescent="0.25">
      <c r="A157" s="203">
        <f t="shared" si="50"/>
        <v>2030</v>
      </c>
      <c r="B157" s="205">
        <f t="shared" ca="1" si="66"/>
        <v>0.11470548716783119</v>
      </c>
      <c r="C157" s="205">
        <f t="shared" ca="1" si="51"/>
        <v>0.97196037624631959</v>
      </c>
      <c r="D157" s="205" t="str">
        <f t="shared" si="52"/>
        <v/>
      </c>
      <c r="E157" s="232" t="str">
        <f t="shared" si="53"/>
        <v/>
      </c>
      <c r="F157" s="204" t="str">
        <f t="shared" si="67"/>
        <v/>
      </c>
      <c r="G157" s="205" t="str">
        <f t="shared" si="54"/>
        <v/>
      </c>
      <c r="H157" s="205" t="str">
        <f t="shared" si="55"/>
        <v/>
      </c>
      <c r="I157" s="232" t="str">
        <f t="shared" si="56"/>
        <v/>
      </c>
      <c r="J157" s="514" t="str">
        <f t="shared" si="57"/>
        <v/>
      </c>
      <c r="K157" s="230" t="str">
        <f t="shared" si="58"/>
        <v/>
      </c>
      <c r="L157" s="230" t="str">
        <f t="shared" si="59"/>
        <v/>
      </c>
      <c r="M157" s="205" t="str">
        <f t="shared" si="60"/>
        <v/>
      </c>
      <c r="N157" s="233" t="str">
        <f t="shared" si="61"/>
        <v/>
      </c>
      <c r="O157" s="238"/>
      <c r="P157" s="227">
        <f t="shared" ca="1" si="68"/>
        <v>1.8948768337352834E-2</v>
      </c>
      <c r="Q157" s="227" t="str">
        <f t="shared" si="69"/>
        <v/>
      </c>
      <c r="R157" s="227" t="str">
        <f t="shared" si="62"/>
        <v/>
      </c>
      <c r="S157" s="237"/>
      <c r="T157" s="227" t="str">
        <f t="shared" si="63"/>
        <v/>
      </c>
      <c r="U157" s="227" t="str">
        <f t="shared" si="64"/>
        <v/>
      </c>
      <c r="V157" s="227" t="str">
        <f t="shared" si="65"/>
        <v/>
      </c>
    </row>
    <row r="158" spans="1:22" ht="15" customHeight="1" x14ac:dyDescent="0.25">
      <c r="A158" s="203">
        <f t="shared" si="50"/>
        <v>2031</v>
      </c>
      <c r="B158" s="205">
        <f t="shared" ca="1" si="66"/>
        <v>0.11485080232951884</v>
      </c>
      <c r="C158" s="205">
        <f t="shared" ca="1" si="51"/>
        <v>0.9761317598815682</v>
      </c>
      <c r="D158" s="205" t="str">
        <f t="shared" si="52"/>
        <v/>
      </c>
      <c r="E158" s="232" t="str">
        <f t="shared" si="53"/>
        <v/>
      </c>
      <c r="F158" s="204" t="str">
        <f t="shared" si="67"/>
        <v/>
      </c>
      <c r="G158" s="205" t="str">
        <f t="shared" si="54"/>
        <v/>
      </c>
      <c r="H158" s="205" t="str">
        <f t="shared" si="55"/>
        <v/>
      </c>
      <c r="I158" s="232" t="str">
        <f t="shared" si="56"/>
        <v/>
      </c>
      <c r="J158" s="514" t="str">
        <f t="shared" si="57"/>
        <v/>
      </c>
      <c r="K158" s="230" t="str">
        <f t="shared" si="58"/>
        <v/>
      </c>
      <c r="L158" s="230" t="str">
        <f t="shared" si="59"/>
        <v/>
      </c>
      <c r="M158" s="205" t="str">
        <f t="shared" si="60"/>
        <v/>
      </c>
      <c r="N158" s="233" t="str">
        <f t="shared" si="61"/>
        <v/>
      </c>
      <c r="O158" s="238"/>
      <c r="P158" s="227">
        <f t="shared" ca="1" si="68"/>
        <v>1.8948768337352834E-2</v>
      </c>
      <c r="Q158" s="227" t="str">
        <f t="shared" si="69"/>
        <v/>
      </c>
      <c r="R158" s="227" t="str">
        <f t="shared" si="62"/>
        <v/>
      </c>
      <c r="S158" s="237"/>
      <c r="T158" s="227" t="str">
        <f t="shared" si="63"/>
        <v/>
      </c>
      <c r="U158" s="227" t="str">
        <f t="shared" si="64"/>
        <v/>
      </c>
      <c r="V158" s="227" t="str">
        <f t="shared" si="65"/>
        <v/>
      </c>
    </row>
    <row r="159" spans="1:22" ht="15" customHeight="1" x14ac:dyDescent="0.25">
      <c r="A159" s="203">
        <f t="shared" si="50"/>
        <v>2032</v>
      </c>
      <c r="B159" s="205">
        <f t="shared" ca="1" si="66"/>
        <v>0.11458877113287161</v>
      </c>
      <c r="C159" s="205">
        <f t="shared" ca="1" si="51"/>
        <v>0.97368566552299196</v>
      </c>
      <c r="D159" s="205" t="str">
        <f t="shared" si="52"/>
        <v/>
      </c>
      <c r="E159" s="232" t="str">
        <f t="shared" si="53"/>
        <v/>
      </c>
      <c r="F159" s="204" t="str">
        <f t="shared" si="67"/>
        <v/>
      </c>
      <c r="G159" s="205" t="str">
        <f t="shared" si="54"/>
        <v/>
      </c>
      <c r="H159" s="205" t="str">
        <f t="shared" si="55"/>
        <v/>
      </c>
      <c r="I159" s="232" t="str">
        <f t="shared" si="56"/>
        <v/>
      </c>
      <c r="J159" s="514" t="str">
        <f t="shared" si="57"/>
        <v/>
      </c>
      <c r="K159" s="230" t="str">
        <f t="shared" si="58"/>
        <v/>
      </c>
      <c r="L159" s="230" t="str">
        <f t="shared" si="59"/>
        <v/>
      </c>
      <c r="M159" s="205" t="str">
        <f t="shared" si="60"/>
        <v/>
      </c>
      <c r="N159" s="233" t="str">
        <f t="shared" si="61"/>
        <v/>
      </c>
      <c r="O159" s="238"/>
      <c r="P159" s="227">
        <f t="shared" ca="1" si="68"/>
        <v>1.8948768337352834E-2</v>
      </c>
      <c r="Q159" s="227" t="str">
        <f t="shared" si="69"/>
        <v/>
      </c>
      <c r="R159" s="227" t="str">
        <f t="shared" si="62"/>
        <v/>
      </c>
      <c r="S159" s="237"/>
      <c r="T159" s="227" t="str">
        <f t="shared" si="63"/>
        <v/>
      </c>
      <c r="U159" s="227" t="str">
        <f t="shared" si="64"/>
        <v/>
      </c>
      <c r="V159" s="227" t="str">
        <f t="shared" si="65"/>
        <v/>
      </c>
    </row>
    <row r="160" spans="1:22" ht="15" customHeight="1" x14ac:dyDescent="0.25">
      <c r="A160" s="203">
        <f t="shared" si="50"/>
        <v>2033</v>
      </c>
      <c r="B160" s="205">
        <f t="shared" ca="1" si="66"/>
        <v>0.11417918575071655</v>
      </c>
      <c r="C160" s="205">
        <f t="shared" ca="1" si="51"/>
        <v>0.9640158793031699</v>
      </c>
      <c r="D160" s="205" t="str">
        <f t="shared" si="52"/>
        <v/>
      </c>
      <c r="E160" s="232" t="str">
        <f t="shared" si="53"/>
        <v/>
      </c>
      <c r="F160" s="204" t="str">
        <f t="shared" si="67"/>
        <v/>
      </c>
      <c r="G160" s="205" t="str">
        <f t="shared" si="54"/>
        <v/>
      </c>
      <c r="H160" s="205" t="str">
        <f t="shared" si="55"/>
        <v/>
      </c>
      <c r="I160" s="232" t="str">
        <f t="shared" si="56"/>
        <v/>
      </c>
      <c r="J160" s="514" t="str">
        <f t="shared" si="57"/>
        <v/>
      </c>
      <c r="K160" s="230" t="str">
        <f t="shared" si="58"/>
        <v/>
      </c>
      <c r="L160" s="230" t="str">
        <f t="shared" si="59"/>
        <v/>
      </c>
      <c r="M160" s="205" t="str">
        <f t="shared" si="60"/>
        <v/>
      </c>
      <c r="N160" s="233" t="str">
        <f t="shared" si="61"/>
        <v/>
      </c>
      <c r="O160" s="238"/>
      <c r="P160" s="227">
        <f t="shared" ca="1" si="68"/>
        <v>1.8948768337352834E-2</v>
      </c>
      <c r="Q160" s="227" t="str">
        <f t="shared" si="69"/>
        <v/>
      </c>
      <c r="R160" s="227" t="str">
        <f t="shared" si="62"/>
        <v/>
      </c>
      <c r="S160" s="237"/>
      <c r="T160" s="227" t="str">
        <f t="shared" si="63"/>
        <v/>
      </c>
      <c r="U160" s="227" t="str">
        <f t="shared" si="64"/>
        <v/>
      </c>
      <c r="V160" s="227" t="str">
        <f t="shared" si="65"/>
        <v/>
      </c>
    </row>
    <row r="161" spans="1:22" ht="15" customHeight="1" x14ac:dyDescent="0.25">
      <c r="A161" s="203">
        <f t="shared" si="50"/>
        <v>2034</v>
      </c>
      <c r="B161" s="205">
        <f t="shared" ca="1" si="66"/>
        <v>0.11384734732602134</v>
      </c>
      <c r="C161" s="205">
        <f t="shared" ca="1" si="51"/>
        <v>0.96377006797670051</v>
      </c>
      <c r="D161" s="205" t="str">
        <f t="shared" si="52"/>
        <v/>
      </c>
      <c r="E161" s="232" t="str">
        <f t="shared" si="53"/>
        <v/>
      </c>
      <c r="F161" s="204" t="str">
        <f t="shared" si="67"/>
        <v/>
      </c>
      <c r="G161" s="205" t="str">
        <f t="shared" si="54"/>
        <v/>
      </c>
      <c r="H161" s="205" t="str">
        <f t="shared" si="55"/>
        <v/>
      </c>
      <c r="I161" s="232" t="str">
        <f t="shared" si="56"/>
        <v/>
      </c>
      <c r="J161" s="514" t="str">
        <f t="shared" si="57"/>
        <v/>
      </c>
      <c r="K161" s="230" t="str">
        <f t="shared" si="58"/>
        <v/>
      </c>
      <c r="L161" s="230" t="str">
        <f t="shared" si="59"/>
        <v/>
      </c>
      <c r="M161" s="205" t="str">
        <f t="shared" si="60"/>
        <v/>
      </c>
      <c r="N161" s="233" t="str">
        <f t="shared" si="61"/>
        <v/>
      </c>
      <c r="O161" s="238"/>
      <c r="P161" s="227">
        <f t="shared" ca="1" si="68"/>
        <v>1.8948768337352834E-2</v>
      </c>
      <c r="Q161" s="227" t="str">
        <f t="shared" si="69"/>
        <v/>
      </c>
      <c r="R161" s="227" t="str">
        <f t="shared" si="62"/>
        <v/>
      </c>
      <c r="S161" s="237"/>
      <c r="T161" s="227" t="str">
        <f t="shared" si="63"/>
        <v/>
      </c>
      <c r="U161" s="227" t="str">
        <f t="shared" si="64"/>
        <v/>
      </c>
      <c r="V161" s="227" t="str">
        <f t="shared" si="65"/>
        <v/>
      </c>
    </row>
    <row r="162" spans="1:22" ht="15" customHeight="1" x14ac:dyDescent="0.25">
      <c r="A162" s="203">
        <f t="shared" si="50"/>
        <v>2035</v>
      </c>
      <c r="B162" s="205">
        <f t="shared" ca="1" si="66"/>
        <v>0.11424991374586364</v>
      </c>
      <c r="C162" s="205">
        <f t="shared" ca="1" si="51"/>
        <v>0.97874430785773348</v>
      </c>
      <c r="D162" s="205" t="str">
        <f t="shared" si="52"/>
        <v/>
      </c>
      <c r="E162" s="232" t="str">
        <f t="shared" si="53"/>
        <v/>
      </c>
      <c r="F162" s="204" t="str">
        <f t="shared" si="67"/>
        <v/>
      </c>
      <c r="G162" s="205" t="str">
        <f t="shared" si="54"/>
        <v/>
      </c>
      <c r="H162" s="205" t="str">
        <f t="shared" si="55"/>
        <v/>
      </c>
      <c r="I162" s="232" t="str">
        <f t="shared" si="56"/>
        <v/>
      </c>
      <c r="J162" s="514" t="str">
        <f t="shared" si="57"/>
        <v/>
      </c>
      <c r="K162" s="230" t="str">
        <f t="shared" si="58"/>
        <v/>
      </c>
      <c r="L162" s="230" t="str">
        <f t="shared" si="59"/>
        <v/>
      </c>
      <c r="M162" s="205" t="str">
        <f t="shared" si="60"/>
        <v/>
      </c>
      <c r="N162" s="233" t="str">
        <f t="shared" si="61"/>
        <v/>
      </c>
      <c r="O162" s="238"/>
      <c r="P162" s="227">
        <f t="shared" ca="1" si="68"/>
        <v>1.8948768337352834E-2</v>
      </c>
      <c r="Q162" s="227" t="str">
        <f t="shared" si="69"/>
        <v/>
      </c>
      <c r="R162" s="227" t="str">
        <f t="shared" si="62"/>
        <v/>
      </c>
      <c r="S162" s="237"/>
      <c r="T162" s="227" t="str">
        <f t="shared" si="63"/>
        <v/>
      </c>
      <c r="U162" s="227" t="str">
        <f t="shared" si="64"/>
        <v/>
      </c>
      <c r="V162" s="227" t="str">
        <f t="shared" si="65"/>
        <v/>
      </c>
    </row>
    <row r="163" spans="1:22" ht="15" customHeight="1" x14ac:dyDescent="0.25">
      <c r="A163" s="203">
        <f t="shared" si="50"/>
        <v>2036</v>
      </c>
      <c r="B163" s="205">
        <f t="shared" ca="1" si="66"/>
        <v>0.11466531555843702</v>
      </c>
      <c r="C163" s="205">
        <f t="shared" ca="1" si="51"/>
        <v>0.97939448128588302</v>
      </c>
      <c r="D163" s="205" t="str">
        <f t="shared" si="52"/>
        <v/>
      </c>
      <c r="E163" s="232" t="str">
        <f t="shared" si="53"/>
        <v/>
      </c>
      <c r="F163" s="204" t="str">
        <f t="shared" si="67"/>
        <v/>
      </c>
      <c r="G163" s="205" t="str">
        <f t="shared" si="54"/>
        <v/>
      </c>
      <c r="H163" s="205" t="str">
        <f t="shared" si="55"/>
        <v/>
      </c>
      <c r="I163" s="232" t="str">
        <f t="shared" si="56"/>
        <v/>
      </c>
      <c r="J163" s="514" t="str">
        <f t="shared" si="57"/>
        <v/>
      </c>
      <c r="K163" s="230" t="str">
        <f t="shared" si="58"/>
        <v/>
      </c>
      <c r="L163" s="230" t="str">
        <f t="shared" si="59"/>
        <v/>
      </c>
      <c r="M163" s="205" t="str">
        <f t="shared" si="60"/>
        <v/>
      </c>
      <c r="N163" s="233" t="str">
        <f t="shared" si="61"/>
        <v/>
      </c>
      <c r="O163" s="238"/>
      <c r="P163" s="227">
        <f t="shared" ca="1" si="68"/>
        <v>1.8948768337352834E-2</v>
      </c>
      <c r="Q163" s="227" t="str">
        <f t="shared" si="69"/>
        <v/>
      </c>
      <c r="R163" s="227" t="str">
        <f t="shared" si="62"/>
        <v/>
      </c>
      <c r="S163" s="237"/>
      <c r="T163" s="227" t="str">
        <f t="shared" si="63"/>
        <v/>
      </c>
      <c r="U163" s="227" t="str">
        <f t="shared" si="64"/>
        <v/>
      </c>
      <c r="V163" s="227" t="str">
        <f t="shared" si="65"/>
        <v/>
      </c>
    </row>
    <row r="164" spans="1:22" ht="15" customHeight="1" x14ac:dyDescent="0.25">
      <c r="A164" s="203">
        <f t="shared" si="50"/>
        <v>2037</v>
      </c>
      <c r="B164" s="205">
        <f t="shared" ca="1" si="66"/>
        <v>0.11457861753721059</v>
      </c>
      <c r="C164" s="205">
        <f t="shared" ca="1" si="51"/>
        <v>0.98118743865041802</v>
      </c>
      <c r="D164" s="205" t="str">
        <f t="shared" si="52"/>
        <v/>
      </c>
      <c r="E164" s="232" t="str">
        <f t="shared" si="53"/>
        <v/>
      </c>
      <c r="F164" s="204" t="str">
        <f t="shared" si="67"/>
        <v/>
      </c>
      <c r="G164" s="205" t="str">
        <f t="shared" si="54"/>
        <v/>
      </c>
      <c r="H164" s="205" t="str">
        <f t="shared" si="55"/>
        <v/>
      </c>
      <c r="I164" s="232" t="str">
        <f t="shared" si="56"/>
        <v/>
      </c>
      <c r="J164" s="514" t="str">
        <f t="shared" si="57"/>
        <v/>
      </c>
      <c r="K164" s="230" t="str">
        <f t="shared" si="58"/>
        <v/>
      </c>
      <c r="L164" s="230" t="str">
        <f t="shared" si="59"/>
        <v/>
      </c>
      <c r="M164" s="205" t="str">
        <f t="shared" si="60"/>
        <v/>
      </c>
      <c r="N164" s="233" t="str">
        <f t="shared" si="61"/>
        <v/>
      </c>
      <c r="O164" s="238"/>
      <c r="P164" s="227">
        <f t="shared" ca="1" si="68"/>
        <v>1.8948768337352834E-2</v>
      </c>
      <c r="Q164" s="227" t="str">
        <f t="shared" si="69"/>
        <v/>
      </c>
      <c r="R164" s="227" t="str">
        <f t="shared" si="62"/>
        <v/>
      </c>
      <c r="S164" s="237"/>
      <c r="T164" s="227" t="str">
        <f t="shared" si="63"/>
        <v/>
      </c>
      <c r="U164" s="227" t="str">
        <f t="shared" si="64"/>
        <v/>
      </c>
      <c r="V164" s="227" t="str">
        <f t="shared" si="65"/>
        <v/>
      </c>
    </row>
    <row r="165" spans="1:22" ht="15" customHeight="1" x14ac:dyDescent="0.25">
      <c r="A165" s="203">
        <f t="shared" si="50"/>
        <v>2038</v>
      </c>
      <c r="B165" s="205">
        <f t="shared" ca="1" si="66"/>
        <v>0.11460406693604777</v>
      </c>
      <c r="C165" s="205">
        <f t="shared" ca="1" si="51"/>
        <v>0.98023135936521555</v>
      </c>
      <c r="D165" s="205" t="str">
        <f t="shared" si="52"/>
        <v/>
      </c>
      <c r="E165" s="232" t="str">
        <f t="shared" si="53"/>
        <v/>
      </c>
      <c r="F165" s="204" t="str">
        <f t="shared" si="67"/>
        <v/>
      </c>
      <c r="G165" s="205" t="str">
        <f t="shared" si="54"/>
        <v/>
      </c>
      <c r="H165" s="205" t="str">
        <f t="shared" si="55"/>
        <v/>
      </c>
      <c r="I165" s="232" t="str">
        <f t="shared" si="56"/>
        <v/>
      </c>
      <c r="J165" s="514" t="str">
        <f t="shared" si="57"/>
        <v/>
      </c>
      <c r="K165" s="230" t="str">
        <f t="shared" si="58"/>
        <v/>
      </c>
      <c r="L165" s="230" t="str">
        <f t="shared" si="59"/>
        <v/>
      </c>
      <c r="M165" s="205" t="str">
        <f t="shared" si="60"/>
        <v/>
      </c>
      <c r="N165" s="233" t="str">
        <f t="shared" si="61"/>
        <v/>
      </c>
      <c r="O165" s="238"/>
      <c r="P165" s="227">
        <f t="shared" ca="1" si="68"/>
        <v>1.8948768337352834E-2</v>
      </c>
      <c r="Q165" s="227" t="str">
        <f t="shared" si="69"/>
        <v/>
      </c>
      <c r="R165" s="227" t="str">
        <f t="shared" si="62"/>
        <v/>
      </c>
      <c r="S165" s="237"/>
      <c r="T165" s="227" t="str">
        <f t="shared" si="63"/>
        <v/>
      </c>
      <c r="U165" s="227" t="str">
        <f t="shared" si="64"/>
        <v/>
      </c>
      <c r="V165" s="227" t="str">
        <f t="shared" si="65"/>
        <v/>
      </c>
    </row>
    <row r="166" spans="1:22" ht="15" customHeight="1" x14ac:dyDescent="0.25">
      <c r="A166" s="203">
        <f t="shared" si="50"/>
        <v>2039</v>
      </c>
      <c r="B166" s="205">
        <f t="shared" ca="1" si="66"/>
        <v>0.11469276246841263</v>
      </c>
      <c r="C166" s="205">
        <f t="shared" ca="1" si="51"/>
        <v>0.98395326884020873</v>
      </c>
      <c r="D166" s="205" t="str">
        <f t="shared" si="52"/>
        <v/>
      </c>
      <c r="E166" s="232" t="str">
        <f t="shared" si="53"/>
        <v/>
      </c>
      <c r="F166" s="204" t="str">
        <f t="shared" si="67"/>
        <v/>
      </c>
      <c r="G166" s="205" t="str">
        <f t="shared" si="54"/>
        <v/>
      </c>
      <c r="H166" s="205" t="str">
        <f t="shared" si="55"/>
        <v/>
      </c>
      <c r="I166" s="232" t="str">
        <f t="shared" si="56"/>
        <v/>
      </c>
      <c r="J166" s="514" t="str">
        <f t="shared" si="57"/>
        <v/>
      </c>
      <c r="K166" s="230" t="str">
        <f t="shared" si="58"/>
        <v/>
      </c>
      <c r="L166" s="230" t="str">
        <f t="shared" si="59"/>
        <v/>
      </c>
      <c r="M166" s="205" t="str">
        <f t="shared" si="60"/>
        <v/>
      </c>
      <c r="N166" s="233" t="str">
        <f t="shared" si="61"/>
        <v/>
      </c>
      <c r="O166" s="238"/>
      <c r="P166" s="227">
        <f t="shared" ca="1" si="68"/>
        <v>1.8948768337352834E-2</v>
      </c>
      <c r="Q166" s="227" t="str">
        <f t="shared" si="69"/>
        <v/>
      </c>
      <c r="R166" s="227" t="str">
        <f t="shared" si="62"/>
        <v/>
      </c>
      <c r="S166" s="237"/>
      <c r="T166" s="227" t="str">
        <f t="shared" si="63"/>
        <v/>
      </c>
      <c r="U166" s="227" t="str">
        <f t="shared" si="64"/>
        <v/>
      </c>
      <c r="V166" s="227" t="str">
        <f t="shared" si="65"/>
        <v/>
      </c>
    </row>
    <row r="167" spans="1:22" ht="15" customHeight="1" x14ac:dyDescent="0.25">
      <c r="A167" s="203">
        <f t="shared" si="50"/>
        <v>2040</v>
      </c>
      <c r="B167" s="205">
        <f t="shared" ca="1" si="66"/>
        <v>0.11442383809730772</v>
      </c>
      <c r="C167" s="205">
        <f t="shared" ca="1" si="51"/>
        <v>0.97649973597979911</v>
      </c>
      <c r="D167" s="205" t="str">
        <f t="shared" si="52"/>
        <v/>
      </c>
      <c r="E167" s="232" t="str">
        <f t="shared" si="53"/>
        <v/>
      </c>
      <c r="F167" s="204" t="str">
        <f t="shared" si="67"/>
        <v/>
      </c>
      <c r="G167" s="205" t="str">
        <f t="shared" si="54"/>
        <v/>
      </c>
      <c r="H167" s="205" t="str">
        <f t="shared" si="55"/>
        <v/>
      </c>
      <c r="I167" s="232" t="str">
        <f t="shared" si="56"/>
        <v/>
      </c>
      <c r="J167" s="514" t="str">
        <f t="shared" si="57"/>
        <v/>
      </c>
      <c r="K167" s="230" t="str">
        <f t="shared" si="58"/>
        <v/>
      </c>
      <c r="L167" s="230" t="str">
        <f t="shared" si="59"/>
        <v/>
      </c>
      <c r="M167" s="205" t="str">
        <f t="shared" si="60"/>
        <v/>
      </c>
      <c r="N167" s="233" t="str">
        <f t="shared" si="61"/>
        <v/>
      </c>
      <c r="O167" s="238"/>
      <c r="P167" s="227">
        <f t="shared" ca="1" si="68"/>
        <v>1.8948768337352834E-2</v>
      </c>
      <c r="Q167" s="227" t="str">
        <f t="shared" si="69"/>
        <v/>
      </c>
      <c r="R167" s="227" t="str">
        <f t="shared" si="62"/>
        <v/>
      </c>
      <c r="S167" s="237"/>
      <c r="T167" s="227" t="str">
        <f t="shared" si="63"/>
        <v/>
      </c>
      <c r="U167" s="227" t="str">
        <f t="shared" si="64"/>
        <v/>
      </c>
      <c r="V167" s="227" t="str">
        <f t="shared" si="65"/>
        <v/>
      </c>
    </row>
    <row r="168" spans="1:22" ht="15" customHeight="1" x14ac:dyDescent="0.25">
      <c r="A168" s="203">
        <f t="shared" si="50"/>
        <v>2041</v>
      </c>
      <c r="B168" s="205">
        <f t="shared" ca="1" si="66"/>
        <v>0.11408732539591822</v>
      </c>
      <c r="C168" s="205">
        <f t="shared" ca="1" si="51"/>
        <v>0.97728952628996202</v>
      </c>
      <c r="D168" s="205" t="str">
        <f t="shared" si="52"/>
        <v/>
      </c>
      <c r="E168" s="232" t="str">
        <f t="shared" si="53"/>
        <v/>
      </c>
      <c r="F168" s="204" t="str">
        <f t="shared" si="67"/>
        <v/>
      </c>
      <c r="G168" s="205" t="str">
        <f t="shared" si="54"/>
        <v/>
      </c>
      <c r="H168" s="205" t="str">
        <f t="shared" si="55"/>
        <v/>
      </c>
      <c r="I168" s="232" t="str">
        <f t="shared" si="56"/>
        <v/>
      </c>
      <c r="J168" s="514" t="str">
        <f t="shared" si="57"/>
        <v/>
      </c>
      <c r="K168" s="230" t="str">
        <f t="shared" si="58"/>
        <v/>
      </c>
      <c r="L168" s="230" t="str">
        <f t="shared" si="59"/>
        <v/>
      </c>
      <c r="M168" s="205" t="str">
        <f t="shared" si="60"/>
        <v/>
      </c>
      <c r="N168" s="233" t="str">
        <f t="shared" si="61"/>
        <v/>
      </c>
      <c r="O168" s="238"/>
      <c r="P168" s="227">
        <f t="shared" ca="1" si="68"/>
        <v>1.8948768337352834E-2</v>
      </c>
      <c r="Q168" s="227" t="str">
        <f t="shared" si="69"/>
        <v/>
      </c>
      <c r="R168" s="227" t="str">
        <f t="shared" si="62"/>
        <v/>
      </c>
      <c r="S168" s="237"/>
      <c r="T168" s="227" t="str">
        <f t="shared" si="63"/>
        <v/>
      </c>
      <c r="U168" s="227" t="str">
        <f t="shared" si="64"/>
        <v/>
      </c>
      <c r="V168" s="227" t="str">
        <f t="shared" si="65"/>
        <v/>
      </c>
    </row>
    <row r="169" spans="1:22" ht="15" customHeight="1" x14ac:dyDescent="0.25">
      <c r="A169" s="203">
        <f t="shared" si="50"/>
        <v>2042</v>
      </c>
      <c r="B169" s="205">
        <f t="shared" ca="1" si="66"/>
        <v>0.11421964918793452</v>
      </c>
      <c r="C169" s="205">
        <f t="shared" ca="1" si="51"/>
        <v>0.98669934192405417</v>
      </c>
      <c r="D169" s="205" t="str">
        <f t="shared" si="52"/>
        <v/>
      </c>
      <c r="E169" s="232" t="str">
        <f t="shared" si="53"/>
        <v/>
      </c>
      <c r="F169" s="204" t="str">
        <f t="shared" si="67"/>
        <v/>
      </c>
      <c r="G169" s="205" t="str">
        <f t="shared" si="54"/>
        <v/>
      </c>
      <c r="H169" s="205" t="str">
        <f t="shared" si="55"/>
        <v/>
      </c>
      <c r="I169" s="232" t="str">
        <f t="shared" si="56"/>
        <v/>
      </c>
      <c r="J169" s="514" t="str">
        <f t="shared" si="57"/>
        <v/>
      </c>
      <c r="K169" s="230" t="str">
        <f t="shared" si="58"/>
        <v/>
      </c>
      <c r="L169" s="230" t="str">
        <f t="shared" si="59"/>
        <v/>
      </c>
      <c r="M169" s="205" t="str">
        <f t="shared" si="60"/>
        <v/>
      </c>
      <c r="N169" s="233" t="str">
        <f t="shared" si="61"/>
        <v/>
      </c>
      <c r="O169" s="238"/>
      <c r="P169" s="227">
        <f t="shared" ca="1" si="68"/>
        <v>1.8948768337352834E-2</v>
      </c>
      <c r="Q169" s="227" t="str">
        <f t="shared" si="69"/>
        <v/>
      </c>
      <c r="R169" s="227" t="str">
        <f t="shared" si="62"/>
        <v/>
      </c>
      <c r="S169" s="237"/>
      <c r="T169" s="227" t="str">
        <f t="shared" si="63"/>
        <v/>
      </c>
      <c r="U169" s="227" t="str">
        <f t="shared" si="64"/>
        <v/>
      </c>
      <c r="V169" s="227" t="str">
        <f t="shared" si="65"/>
        <v/>
      </c>
    </row>
    <row r="170" spans="1:22" ht="15" customHeight="1" x14ac:dyDescent="0.25">
      <c r="A170" s="203">
        <f t="shared" si="50"/>
        <v>2043</v>
      </c>
      <c r="B170" s="205">
        <f t="shared" ca="1" si="66"/>
        <v>0.11456822242886786</v>
      </c>
      <c r="C170" s="205">
        <f t="shared" ca="1" si="51"/>
        <v>1.0011022721581693</v>
      </c>
      <c r="D170" s="205" t="str">
        <f t="shared" si="52"/>
        <v/>
      </c>
      <c r="E170" s="232" t="str">
        <f t="shared" si="53"/>
        <v/>
      </c>
      <c r="F170" s="204" t="str">
        <f t="shared" si="67"/>
        <v/>
      </c>
      <c r="G170" s="205" t="str">
        <f t="shared" si="54"/>
        <v/>
      </c>
      <c r="H170" s="205" t="str">
        <f t="shared" si="55"/>
        <v/>
      </c>
      <c r="I170" s="232" t="str">
        <f t="shared" si="56"/>
        <v/>
      </c>
      <c r="J170" s="514" t="str">
        <f t="shared" si="57"/>
        <v/>
      </c>
      <c r="K170" s="230" t="str">
        <f t="shared" si="58"/>
        <v/>
      </c>
      <c r="L170" s="230" t="str">
        <f t="shared" si="59"/>
        <v/>
      </c>
      <c r="M170" s="205" t="str">
        <f t="shared" si="60"/>
        <v/>
      </c>
      <c r="N170" s="233" t="str">
        <f t="shared" si="61"/>
        <v/>
      </c>
      <c r="O170" s="238"/>
      <c r="P170" s="227">
        <f t="shared" ca="1" si="68"/>
        <v>1.8948768337352834E-2</v>
      </c>
      <c r="Q170" s="227" t="str">
        <f t="shared" si="69"/>
        <v/>
      </c>
      <c r="R170" s="227" t="str">
        <f t="shared" si="62"/>
        <v/>
      </c>
      <c r="S170" s="237"/>
      <c r="T170" s="227" t="str">
        <f t="shared" si="63"/>
        <v/>
      </c>
      <c r="U170" s="227" t="str">
        <f t="shared" si="64"/>
        <v/>
      </c>
      <c r="V170" s="227" t="str">
        <f t="shared" si="65"/>
        <v/>
      </c>
    </row>
    <row r="171" spans="1:22" ht="15" customHeight="1" x14ac:dyDescent="0.25">
      <c r="A171" s="203">
        <f t="shared" si="50"/>
        <v>2044</v>
      </c>
      <c r="B171" s="205">
        <f t="shared" ca="1" si="66"/>
        <v>0.1149999011898869</v>
      </c>
      <c r="C171" s="205">
        <f t="shared" ca="1" si="51"/>
        <v>1.0109739101437325</v>
      </c>
      <c r="D171" s="205" t="str">
        <f t="shared" si="52"/>
        <v/>
      </c>
      <c r="E171" s="232" t="str">
        <f t="shared" si="53"/>
        <v/>
      </c>
      <c r="F171" s="204" t="str">
        <f t="shared" si="67"/>
        <v/>
      </c>
      <c r="G171" s="205" t="str">
        <f t="shared" si="54"/>
        <v/>
      </c>
      <c r="H171" s="205" t="str">
        <f t="shared" si="55"/>
        <v/>
      </c>
      <c r="I171" s="232" t="str">
        <f t="shared" si="56"/>
        <v/>
      </c>
      <c r="J171" s="514" t="str">
        <f t="shared" si="57"/>
        <v/>
      </c>
      <c r="K171" s="230" t="str">
        <f t="shared" si="58"/>
        <v/>
      </c>
      <c r="L171" s="230" t="str">
        <f t="shared" si="59"/>
        <v/>
      </c>
      <c r="M171" s="205" t="str">
        <f t="shared" si="60"/>
        <v/>
      </c>
      <c r="N171" s="233" t="str">
        <f t="shared" si="61"/>
        <v/>
      </c>
      <c r="O171" s="238"/>
      <c r="P171" s="227">
        <f t="shared" ca="1" si="68"/>
        <v>1.8948768337352834E-2</v>
      </c>
      <c r="Q171" s="227" t="str">
        <f t="shared" si="69"/>
        <v/>
      </c>
      <c r="R171" s="227" t="str">
        <f t="shared" si="62"/>
        <v/>
      </c>
      <c r="S171" s="237"/>
      <c r="T171" s="227" t="str">
        <f t="shared" si="63"/>
        <v/>
      </c>
      <c r="U171" s="227" t="str">
        <f t="shared" si="64"/>
        <v/>
      </c>
      <c r="V171" s="227" t="str">
        <f t="shared" si="65"/>
        <v/>
      </c>
    </row>
    <row r="172" spans="1:22" ht="15" customHeight="1" x14ac:dyDescent="0.25">
      <c r="A172" s="203">
        <f t="shared" si="50"/>
        <v>2045</v>
      </c>
      <c r="B172" s="205">
        <f t="shared" ca="1" si="66"/>
        <v>0.11541999237369714</v>
      </c>
      <c r="C172" s="205">
        <f t="shared" ca="1" si="51"/>
        <v>1.0239554812476335</v>
      </c>
      <c r="D172" s="205" t="str">
        <f t="shared" si="52"/>
        <v/>
      </c>
      <c r="E172" s="232" t="str">
        <f t="shared" si="53"/>
        <v/>
      </c>
      <c r="F172" s="204" t="str">
        <f t="shared" si="67"/>
        <v/>
      </c>
      <c r="G172" s="205" t="str">
        <f t="shared" si="54"/>
        <v/>
      </c>
      <c r="H172" s="205" t="str">
        <f t="shared" si="55"/>
        <v/>
      </c>
      <c r="I172" s="232" t="str">
        <f t="shared" si="56"/>
        <v/>
      </c>
      <c r="J172" s="514" t="str">
        <f t="shared" si="57"/>
        <v/>
      </c>
      <c r="K172" s="230" t="str">
        <f t="shared" si="58"/>
        <v/>
      </c>
      <c r="L172" s="230" t="str">
        <f t="shared" si="59"/>
        <v/>
      </c>
      <c r="M172" s="205" t="str">
        <f t="shared" si="60"/>
        <v/>
      </c>
      <c r="N172" s="233" t="str">
        <f t="shared" si="61"/>
        <v/>
      </c>
      <c r="O172" s="238"/>
      <c r="P172" s="227">
        <f t="shared" ca="1" si="68"/>
        <v>1.8948768337352834E-2</v>
      </c>
      <c r="Q172" s="227" t="str">
        <f t="shared" si="69"/>
        <v/>
      </c>
      <c r="R172" s="227" t="str">
        <f t="shared" si="62"/>
        <v/>
      </c>
      <c r="S172" s="237"/>
      <c r="T172" s="227" t="str">
        <f t="shared" si="63"/>
        <v/>
      </c>
      <c r="U172" s="227" t="str">
        <f t="shared" si="64"/>
        <v/>
      </c>
      <c r="V172" s="227" t="str">
        <f t="shared" si="65"/>
        <v/>
      </c>
    </row>
    <row r="173" spans="1:22" ht="15" customHeight="1" x14ac:dyDescent="0.25">
      <c r="A173" s="203">
        <f t="shared" si="50"/>
        <v>2046</v>
      </c>
      <c r="B173" s="205">
        <f t="shared" ca="1" si="66"/>
        <v>0.11584710251982012</v>
      </c>
      <c r="C173" s="205">
        <f t="shared" ca="1" si="51"/>
        <v>1.0338794755639515</v>
      </c>
      <c r="D173" s="205" t="str">
        <f t="shared" si="52"/>
        <v/>
      </c>
      <c r="E173" s="232" t="str">
        <f t="shared" si="53"/>
        <v/>
      </c>
      <c r="F173" s="204" t="str">
        <f t="shared" si="67"/>
        <v/>
      </c>
      <c r="G173" s="205" t="str">
        <f t="shared" si="54"/>
        <v/>
      </c>
      <c r="H173" s="205" t="str">
        <f t="shared" si="55"/>
        <v/>
      </c>
      <c r="I173" s="232" t="str">
        <f t="shared" si="56"/>
        <v/>
      </c>
      <c r="J173" s="514" t="str">
        <f t="shared" si="57"/>
        <v/>
      </c>
      <c r="K173" s="230" t="str">
        <f t="shared" si="58"/>
        <v/>
      </c>
      <c r="L173" s="230" t="str">
        <f t="shared" si="59"/>
        <v/>
      </c>
      <c r="M173" s="205" t="str">
        <f t="shared" si="60"/>
        <v/>
      </c>
      <c r="N173" s="233" t="str">
        <f t="shared" si="61"/>
        <v/>
      </c>
      <c r="O173" s="238"/>
      <c r="P173" s="227">
        <f t="shared" ca="1" si="68"/>
        <v>1.8948768337352834E-2</v>
      </c>
      <c r="Q173" s="227" t="str">
        <f t="shared" si="69"/>
        <v/>
      </c>
      <c r="R173" s="227" t="str">
        <f t="shared" si="62"/>
        <v/>
      </c>
      <c r="S173" s="237"/>
      <c r="T173" s="227" t="str">
        <f t="shared" si="63"/>
        <v/>
      </c>
      <c r="U173" s="227" t="str">
        <f t="shared" si="64"/>
        <v/>
      </c>
      <c r="V173" s="227" t="str">
        <f t="shared" si="65"/>
        <v/>
      </c>
    </row>
    <row r="174" spans="1:22" ht="15" customHeight="1" x14ac:dyDescent="0.25">
      <c r="A174" s="203">
        <f t="shared" si="50"/>
        <v>2047</v>
      </c>
      <c r="B174" s="205">
        <f t="shared" ca="1" si="66"/>
        <v>0.11623037811420939</v>
      </c>
      <c r="C174" s="205">
        <f t="shared" ca="1" si="51"/>
        <v>1.0447646530845081</v>
      </c>
      <c r="D174" s="205" t="str">
        <f t="shared" si="52"/>
        <v/>
      </c>
      <c r="E174" s="232" t="str">
        <f t="shared" si="53"/>
        <v/>
      </c>
      <c r="F174" s="204" t="str">
        <f t="shared" si="67"/>
        <v/>
      </c>
      <c r="G174" s="205" t="str">
        <f t="shared" si="54"/>
        <v/>
      </c>
      <c r="H174" s="205" t="str">
        <f t="shared" si="55"/>
        <v/>
      </c>
      <c r="I174" s="232" t="str">
        <f t="shared" si="56"/>
        <v/>
      </c>
      <c r="J174" s="514" t="str">
        <f t="shared" si="57"/>
        <v/>
      </c>
      <c r="K174" s="230" t="str">
        <f t="shared" si="58"/>
        <v/>
      </c>
      <c r="L174" s="230" t="str">
        <f t="shared" si="59"/>
        <v/>
      </c>
      <c r="M174" s="205" t="str">
        <f t="shared" si="60"/>
        <v/>
      </c>
      <c r="N174" s="233" t="str">
        <f t="shared" si="61"/>
        <v/>
      </c>
      <c r="O174" s="238"/>
      <c r="P174" s="227">
        <f t="shared" ca="1" si="68"/>
        <v>1.8948768337352834E-2</v>
      </c>
      <c r="Q174" s="227" t="str">
        <f t="shared" si="69"/>
        <v/>
      </c>
      <c r="R174" s="227" t="str">
        <f t="shared" si="62"/>
        <v/>
      </c>
      <c r="S174" s="237"/>
      <c r="T174" s="227" t="str">
        <f t="shared" si="63"/>
        <v/>
      </c>
      <c r="U174" s="227" t="str">
        <f t="shared" si="64"/>
        <v/>
      </c>
      <c r="V174" s="227" t="str">
        <f t="shared" si="65"/>
        <v/>
      </c>
    </row>
    <row r="175" spans="1:22" ht="15" customHeight="1" x14ac:dyDescent="0.25">
      <c r="A175" s="203">
        <f t="shared" si="50"/>
        <v>2048</v>
      </c>
      <c r="B175" s="205">
        <f t="shared" ca="1" si="66"/>
        <v>0.11666150844018032</v>
      </c>
      <c r="C175" s="205">
        <f t="shared" ca="1" si="51"/>
        <v>1.063914721949627</v>
      </c>
      <c r="D175" s="205" t="str">
        <f t="shared" si="52"/>
        <v/>
      </c>
      <c r="E175" s="232" t="str">
        <f t="shared" si="53"/>
        <v/>
      </c>
      <c r="F175" s="204" t="str">
        <f t="shared" si="67"/>
        <v/>
      </c>
      <c r="G175" s="205" t="str">
        <f t="shared" si="54"/>
        <v/>
      </c>
      <c r="H175" s="205" t="str">
        <f t="shared" si="55"/>
        <v/>
      </c>
      <c r="I175" s="232" t="str">
        <f t="shared" si="56"/>
        <v/>
      </c>
      <c r="J175" s="514" t="str">
        <f t="shared" si="57"/>
        <v/>
      </c>
      <c r="K175" s="230" t="str">
        <f t="shared" si="58"/>
        <v/>
      </c>
      <c r="L175" s="230" t="str">
        <f t="shared" si="59"/>
        <v/>
      </c>
      <c r="M175" s="205" t="str">
        <f t="shared" si="60"/>
        <v/>
      </c>
      <c r="N175" s="233" t="str">
        <f t="shared" si="61"/>
        <v/>
      </c>
      <c r="O175" s="238"/>
      <c r="P175" s="227">
        <f t="shared" ca="1" si="68"/>
        <v>1.8948768337352834E-2</v>
      </c>
      <c r="Q175" s="227" t="str">
        <f t="shared" si="69"/>
        <v/>
      </c>
      <c r="R175" s="227" t="str">
        <f t="shared" si="62"/>
        <v/>
      </c>
      <c r="S175" s="237"/>
      <c r="T175" s="227" t="str">
        <f t="shared" si="63"/>
        <v/>
      </c>
      <c r="U175" s="227" t="str">
        <f t="shared" si="64"/>
        <v/>
      </c>
      <c r="V175" s="227" t="str">
        <f t="shared" si="65"/>
        <v/>
      </c>
    </row>
    <row r="176" spans="1:22" ht="15" customHeight="1" x14ac:dyDescent="0.25">
      <c r="A176" s="203">
        <f t="shared" si="50"/>
        <v>2049</v>
      </c>
      <c r="B176" s="205">
        <f t="shared" ca="1" si="66"/>
        <v>0.11703503799155898</v>
      </c>
      <c r="C176" s="205">
        <f t="shared" ca="1" si="51"/>
        <v>1.0701456192371224</v>
      </c>
      <c r="D176" s="205" t="str">
        <f t="shared" si="52"/>
        <v/>
      </c>
      <c r="E176" s="232" t="str">
        <f t="shared" si="53"/>
        <v/>
      </c>
      <c r="F176" s="204" t="str">
        <f t="shared" si="67"/>
        <v/>
      </c>
      <c r="G176" s="205" t="str">
        <f t="shared" si="54"/>
        <v/>
      </c>
      <c r="H176" s="205" t="str">
        <f t="shared" si="55"/>
        <v/>
      </c>
      <c r="I176" s="232" t="str">
        <f t="shared" si="56"/>
        <v/>
      </c>
      <c r="J176" s="514" t="str">
        <f t="shared" si="57"/>
        <v/>
      </c>
      <c r="K176" s="230" t="str">
        <f t="shared" si="58"/>
        <v/>
      </c>
      <c r="L176" s="230" t="str">
        <f t="shared" si="59"/>
        <v/>
      </c>
      <c r="M176" s="205" t="str">
        <f t="shared" si="60"/>
        <v/>
      </c>
      <c r="N176" s="233" t="str">
        <f t="shared" si="61"/>
        <v/>
      </c>
      <c r="O176" s="238"/>
      <c r="P176" s="227">
        <f t="shared" ca="1" si="68"/>
        <v>1.8948768337352834E-2</v>
      </c>
      <c r="Q176" s="227" t="str">
        <f t="shared" si="69"/>
        <v/>
      </c>
      <c r="R176" s="227" t="str">
        <f t="shared" si="62"/>
        <v/>
      </c>
      <c r="S176" s="237"/>
      <c r="T176" s="227" t="str">
        <f t="shared" si="63"/>
        <v/>
      </c>
      <c r="U176" s="227" t="str">
        <f t="shared" si="64"/>
        <v/>
      </c>
      <c r="V176" s="227" t="str">
        <f t="shared" si="65"/>
        <v/>
      </c>
    </row>
    <row r="177" spans="1:22" ht="15" customHeight="1" x14ac:dyDescent="0.25">
      <c r="A177" s="203">
        <f t="shared" si="50"/>
        <v>2050</v>
      </c>
      <c r="B177" s="205">
        <f t="shared" ca="1" si="66"/>
        <v>0.11739716613175433</v>
      </c>
      <c r="C177" s="205">
        <f t="shared" ca="1" si="51"/>
        <v>1.083695042494401</v>
      </c>
      <c r="D177" s="205" t="str">
        <f t="shared" si="52"/>
        <v/>
      </c>
      <c r="E177" s="232" t="str">
        <f t="shared" si="53"/>
        <v/>
      </c>
      <c r="F177" s="204" t="str">
        <f t="shared" si="67"/>
        <v/>
      </c>
      <c r="G177" s="205" t="str">
        <f t="shared" si="54"/>
        <v/>
      </c>
      <c r="H177" s="205" t="str">
        <f t="shared" si="55"/>
        <v/>
      </c>
      <c r="I177" s="232" t="str">
        <f t="shared" si="56"/>
        <v/>
      </c>
      <c r="J177" s="514" t="str">
        <f t="shared" si="57"/>
        <v/>
      </c>
      <c r="K177" s="230" t="str">
        <f t="shared" si="58"/>
        <v/>
      </c>
      <c r="L177" s="230" t="str">
        <f t="shared" si="59"/>
        <v/>
      </c>
      <c r="M177" s="205" t="str">
        <f t="shared" si="60"/>
        <v/>
      </c>
      <c r="N177" s="233" t="str">
        <f t="shared" si="61"/>
        <v/>
      </c>
      <c r="O177" s="238"/>
      <c r="P177" s="227">
        <f t="shared" ca="1" si="68"/>
        <v>1.8948768337352834E-2</v>
      </c>
      <c r="Q177" s="227" t="str">
        <f t="shared" si="69"/>
        <v/>
      </c>
      <c r="R177" s="227" t="str">
        <f t="shared" si="62"/>
        <v/>
      </c>
      <c r="S177" s="237"/>
      <c r="T177" s="227" t="str">
        <f t="shared" si="63"/>
        <v/>
      </c>
      <c r="U177" s="227" t="str">
        <f t="shared" si="64"/>
        <v/>
      </c>
      <c r="V177" s="227" t="str">
        <f t="shared" si="65"/>
        <v/>
      </c>
    </row>
    <row r="178" spans="1:22" ht="15" customHeight="1" x14ac:dyDescent="0.25">
      <c r="A178" s="203">
        <f t="shared" si="50"/>
        <v>2051</v>
      </c>
      <c r="B178" s="205">
        <f t="shared" ca="1" si="66"/>
        <v>0.11750364012610363</v>
      </c>
      <c r="C178" s="205">
        <f t="shared" ca="1" si="51"/>
        <v>1.0897196731433947</v>
      </c>
      <c r="D178" s="205" t="str">
        <f t="shared" si="52"/>
        <v/>
      </c>
      <c r="E178" s="232" t="str">
        <f t="shared" si="53"/>
        <v/>
      </c>
      <c r="F178" s="204" t="str">
        <f t="shared" si="67"/>
        <v/>
      </c>
      <c r="G178" s="205" t="str">
        <f t="shared" si="54"/>
        <v/>
      </c>
      <c r="H178" s="205" t="str">
        <f t="shared" si="55"/>
        <v/>
      </c>
      <c r="I178" s="232" t="str">
        <f t="shared" si="56"/>
        <v/>
      </c>
      <c r="J178" s="514" t="str">
        <f t="shared" si="57"/>
        <v/>
      </c>
      <c r="K178" s="230" t="str">
        <f t="shared" si="58"/>
        <v/>
      </c>
      <c r="L178" s="230" t="str">
        <f t="shared" si="59"/>
        <v/>
      </c>
      <c r="M178" s="205" t="str">
        <f t="shared" si="60"/>
        <v/>
      </c>
      <c r="N178" s="233" t="str">
        <f t="shared" si="61"/>
        <v/>
      </c>
      <c r="O178" s="238"/>
      <c r="P178" s="227">
        <f t="shared" ca="1" si="68"/>
        <v>1.8948768337352834E-2</v>
      </c>
      <c r="Q178" s="227" t="str">
        <f t="shared" si="69"/>
        <v/>
      </c>
      <c r="R178" s="227" t="str">
        <f t="shared" si="62"/>
        <v/>
      </c>
      <c r="S178" s="237"/>
      <c r="T178" s="227" t="str">
        <f t="shared" si="63"/>
        <v/>
      </c>
      <c r="U178" s="227" t="str">
        <f t="shared" si="64"/>
        <v/>
      </c>
      <c r="V178" s="227" t="str">
        <f t="shared" si="65"/>
        <v/>
      </c>
    </row>
    <row r="179" spans="1:22" ht="15" customHeight="1" x14ac:dyDescent="0.25">
      <c r="A179" s="203">
        <f t="shared" si="50"/>
        <v>2052</v>
      </c>
      <c r="B179" s="205">
        <f t="shared" ca="1" si="66"/>
        <v>0.11761021068761761</v>
      </c>
      <c r="C179" s="205">
        <f t="shared" ca="1" si="51"/>
        <v>1.0957777967706097</v>
      </c>
      <c r="D179" s="205" t="str">
        <f t="shared" si="52"/>
        <v/>
      </c>
      <c r="E179" s="232" t="str">
        <f t="shared" si="53"/>
        <v/>
      </c>
      <c r="F179" s="204" t="str">
        <f t="shared" si="67"/>
        <v/>
      </c>
      <c r="G179" s="205" t="str">
        <f t="shared" si="54"/>
        <v/>
      </c>
      <c r="H179" s="205" t="str">
        <f t="shared" si="55"/>
        <v/>
      </c>
      <c r="I179" s="232" t="str">
        <f t="shared" si="56"/>
        <v/>
      </c>
      <c r="J179" s="514" t="str">
        <f t="shared" si="57"/>
        <v/>
      </c>
      <c r="K179" s="230" t="str">
        <f t="shared" si="58"/>
        <v/>
      </c>
      <c r="L179" s="230" t="str">
        <f t="shared" si="59"/>
        <v/>
      </c>
      <c r="M179" s="205" t="str">
        <f t="shared" si="60"/>
        <v/>
      </c>
      <c r="N179" s="233" t="str">
        <f t="shared" si="61"/>
        <v/>
      </c>
      <c r="O179" s="238"/>
      <c r="P179" s="227">
        <f t="shared" ca="1" si="68"/>
        <v>1.8948768337352834E-2</v>
      </c>
      <c r="Q179" s="227" t="str">
        <f t="shared" si="69"/>
        <v/>
      </c>
      <c r="R179" s="227" t="str">
        <f t="shared" si="62"/>
        <v/>
      </c>
      <c r="S179" s="237"/>
      <c r="T179" s="227" t="str">
        <f t="shared" si="63"/>
        <v/>
      </c>
      <c r="U179" s="227" t="str">
        <f t="shared" si="64"/>
        <v/>
      </c>
      <c r="V179" s="227" t="str">
        <f t="shared" si="65"/>
        <v/>
      </c>
    </row>
    <row r="180" spans="1:22" ht="15" customHeight="1" x14ac:dyDescent="0.25">
      <c r="A180" s="203">
        <f t="shared" si="50"/>
        <v>2053</v>
      </c>
      <c r="B180" s="205">
        <f t="shared" ca="1" si="66"/>
        <v>0.11771687790387834</v>
      </c>
      <c r="C180" s="205">
        <f t="shared" ca="1" si="51"/>
        <v>1.1018695995749446</v>
      </c>
      <c r="D180" s="205" t="str">
        <f t="shared" si="52"/>
        <v/>
      </c>
      <c r="E180" s="232" t="str">
        <f t="shared" si="53"/>
        <v/>
      </c>
      <c r="F180" s="204" t="str">
        <f t="shared" si="67"/>
        <v/>
      </c>
      <c r="G180" s="205" t="str">
        <f t="shared" si="54"/>
        <v/>
      </c>
      <c r="H180" s="205" t="str">
        <f t="shared" si="55"/>
        <v/>
      </c>
      <c r="I180" s="232" t="str">
        <f t="shared" si="56"/>
        <v/>
      </c>
      <c r="J180" s="514" t="str">
        <f t="shared" si="57"/>
        <v/>
      </c>
      <c r="K180" s="230" t="str">
        <f t="shared" si="58"/>
        <v/>
      </c>
      <c r="L180" s="230" t="str">
        <f t="shared" si="59"/>
        <v/>
      </c>
      <c r="M180" s="205" t="str">
        <f t="shared" si="60"/>
        <v/>
      </c>
      <c r="N180" s="233" t="str">
        <f t="shared" si="61"/>
        <v/>
      </c>
      <c r="O180" s="238"/>
      <c r="P180" s="227">
        <f t="shared" ca="1" si="68"/>
        <v>1.8948768337352834E-2</v>
      </c>
      <c r="Q180" s="227" t="str">
        <f t="shared" si="69"/>
        <v/>
      </c>
      <c r="R180" s="227" t="str">
        <f t="shared" si="62"/>
        <v/>
      </c>
      <c r="S180" s="237"/>
      <c r="T180" s="227" t="str">
        <f t="shared" si="63"/>
        <v/>
      </c>
      <c r="U180" s="227" t="str">
        <f t="shared" si="64"/>
        <v/>
      </c>
      <c r="V180" s="227" t="str">
        <f t="shared" si="65"/>
        <v/>
      </c>
    </row>
    <row r="181" spans="1:22" ht="15" customHeight="1" x14ac:dyDescent="0.25">
      <c r="A181" s="203">
        <f t="shared" si="50"/>
        <v>2054</v>
      </c>
      <c r="B181" s="205">
        <f t="shared" ca="1" si="66"/>
        <v>0.11782364186254742</v>
      </c>
      <c r="C181" s="205">
        <f t="shared" ca="1" si="51"/>
        <v>1.1079952687904406</v>
      </c>
      <c r="D181" s="205" t="str">
        <f t="shared" si="52"/>
        <v/>
      </c>
      <c r="E181" s="232" t="str">
        <f t="shared" si="53"/>
        <v/>
      </c>
      <c r="F181" s="204" t="str">
        <f t="shared" si="67"/>
        <v/>
      </c>
      <c r="G181" s="205" t="str">
        <f t="shared" si="54"/>
        <v/>
      </c>
      <c r="H181" s="205" t="str">
        <f t="shared" si="55"/>
        <v/>
      </c>
      <c r="I181" s="232" t="str">
        <f t="shared" si="56"/>
        <v/>
      </c>
      <c r="J181" s="514" t="str">
        <f t="shared" si="57"/>
        <v/>
      </c>
      <c r="K181" s="230" t="str">
        <f t="shared" si="58"/>
        <v/>
      </c>
      <c r="L181" s="230" t="str">
        <f t="shared" si="59"/>
        <v/>
      </c>
      <c r="M181" s="205" t="str">
        <f t="shared" si="60"/>
        <v/>
      </c>
      <c r="N181" s="233" t="str">
        <f t="shared" si="61"/>
        <v/>
      </c>
      <c r="O181" s="238"/>
      <c r="P181" s="227">
        <f t="shared" ca="1" si="68"/>
        <v>1.8948768337352834E-2</v>
      </c>
      <c r="Q181" s="227" t="str">
        <f t="shared" si="69"/>
        <v/>
      </c>
      <c r="R181" s="227" t="str">
        <f t="shared" si="62"/>
        <v/>
      </c>
      <c r="S181" s="237"/>
      <c r="T181" s="227" t="str">
        <f t="shared" si="63"/>
        <v/>
      </c>
      <c r="U181" s="227" t="str">
        <f t="shared" si="64"/>
        <v/>
      </c>
      <c r="V181" s="227" t="str">
        <f t="shared" si="65"/>
        <v/>
      </c>
    </row>
    <row r="182" spans="1:22" ht="15" customHeight="1" thickBot="1" x14ac:dyDescent="0.3">
      <c r="A182" s="206" t="str">
        <f t="shared" si="50"/>
        <v/>
      </c>
      <c r="B182" s="205" t="str">
        <f t="shared" si="66"/>
        <v/>
      </c>
      <c r="C182" s="205" t="str">
        <f t="shared" si="51"/>
        <v/>
      </c>
      <c r="D182" s="205" t="str">
        <f t="shared" si="52"/>
        <v/>
      </c>
      <c r="E182" s="232" t="str">
        <f t="shared" si="53"/>
        <v/>
      </c>
      <c r="F182" s="204" t="str">
        <f t="shared" si="67"/>
        <v/>
      </c>
      <c r="G182" s="205" t="str">
        <f t="shared" si="54"/>
        <v/>
      </c>
      <c r="H182" s="205" t="str">
        <f t="shared" si="55"/>
        <v/>
      </c>
      <c r="I182" s="232" t="str">
        <f t="shared" si="56"/>
        <v/>
      </c>
      <c r="J182" s="514" t="str">
        <f t="shared" si="57"/>
        <v/>
      </c>
      <c r="K182" s="230" t="str">
        <f t="shared" si="58"/>
        <v/>
      </c>
      <c r="L182" s="230" t="str">
        <f t="shared" si="59"/>
        <v/>
      </c>
      <c r="M182" s="205" t="str">
        <f t="shared" si="60"/>
        <v/>
      </c>
      <c r="N182" s="233" t="str">
        <f t="shared" si="61"/>
        <v/>
      </c>
      <c r="O182" s="239"/>
      <c r="P182" s="227" t="str">
        <f t="shared" si="68"/>
        <v/>
      </c>
      <c r="Q182" s="227" t="str">
        <f t="shared" si="69"/>
        <v/>
      </c>
      <c r="R182" s="227" t="str">
        <f t="shared" si="62"/>
        <v/>
      </c>
      <c r="S182" s="237"/>
      <c r="T182" s="227" t="str">
        <f t="shared" si="63"/>
        <v/>
      </c>
      <c r="U182" s="227" t="str">
        <f t="shared" si="64"/>
        <v/>
      </c>
      <c r="V182" s="227" t="str">
        <f t="shared" si="65"/>
        <v/>
      </c>
    </row>
    <row r="184" spans="1:22" ht="13.8" thickBot="1" x14ac:dyDescent="0.3">
      <c r="A184" s="867" t="s">
        <v>1159</v>
      </c>
    </row>
    <row r="185" spans="1:22" ht="27" thickTop="1" x14ac:dyDescent="0.25">
      <c r="A185" s="202" t="s">
        <v>1007</v>
      </c>
      <c r="B185" s="235" t="str">
        <f>IF(B$131="","",B$131&amp;" ($/year)")</f>
        <v>Industrial Electricity ($/year)</v>
      </c>
      <c r="C185" s="235" t="str">
        <f t="shared" ref="C185:N185" si="70">IF(C$131="","",C$131&amp;" ($/year)")</f>
        <v>Industrial Natural Gas ($/year)</v>
      </c>
      <c r="D185" s="235" t="str">
        <f t="shared" si="70"/>
        <v/>
      </c>
      <c r="E185" s="235" t="str">
        <f t="shared" si="70"/>
        <v/>
      </c>
      <c r="F185" s="235" t="str">
        <f t="shared" si="70"/>
        <v/>
      </c>
      <c r="G185" s="235" t="str">
        <f t="shared" si="70"/>
        <v/>
      </c>
      <c r="H185" s="235" t="str">
        <f t="shared" si="70"/>
        <v/>
      </c>
      <c r="I185" s="509" t="str">
        <f t="shared" si="70"/>
        <v/>
      </c>
      <c r="J185" s="235" t="str">
        <f t="shared" si="70"/>
        <v/>
      </c>
      <c r="K185" s="235" t="str">
        <f t="shared" si="70"/>
        <v/>
      </c>
      <c r="L185" s="235" t="str">
        <f t="shared" si="70"/>
        <v/>
      </c>
      <c r="M185" s="235" t="str">
        <f t="shared" si="70"/>
        <v/>
      </c>
      <c r="N185" s="235" t="str">
        <f t="shared" si="70"/>
        <v/>
      </c>
    </row>
    <row r="186" spans="1:22" x14ac:dyDescent="0.25">
      <c r="A186" s="203">
        <f>+A139</f>
        <v>2012</v>
      </c>
      <c r="B186" s="205">
        <f>IF($C65="","",IF($C65&lt;0,0,IF(AND($C65=1,start_time&lt;1),-(SUM(B139)*output_kgyear*$E65*percnt_var*start_time+SUM(B139)*output_kgyear*$E65*(1-start_time)),IF($C65&lt;=start_time,-SUM(B139)*output_kgyear*$E65*percnt_var,-SUM(B139)*output_kgyear*$E65))))</f>
        <v>0</v>
      </c>
      <c r="C186" s="205">
        <f t="shared" ref="C186:N186" si="71">IF($C65="","",IF($C65&lt;0,0,IF(AND($C65=1,start_time&lt;1),-(SUM(C139)*output_kgyear*$E65*percnt_var*start_time+SUM(C139)*output_kgyear*$E65*(1-start_time)),IF($C65&lt;=start_time,-SUM(C139)*output_kgyear*$E65*percnt_var,-SUM(C139)*output_kgyear*$E65))))</f>
        <v>0</v>
      </c>
      <c r="D186" s="205">
        <f t="shared" si="71"/>
        <v>0</v>
      </c>
      <c r="E186" s="232">
        <f t="shared" si="71"/>
        <v>0</v>
      </c>
      <c r="F186" s="204">
        <f t="shared" si="71"/>
        <v>0</v>
      </c>
      <c r="G186" s="205">
        <f t="shared" si="71"/>
        <v>0</v>
      </c>
      <c r="H186" s="205">
        <f t="shared" si="71"/>
        <v>0</v>
      </c>
      <c r="I186" s="232">
        <f t="shared" si="71"/>
        <v>0</v>
      </c>
      <c r="J186" s="514">
        <f t="shared" si="71"/>
        <v>0</v>
      </c>
      <c r="K186" s="230">
        <f t="shared" si="71"/>
        <v>0</v>
      </c>
      <c r="L186" s="230">
        <f t="shared" si="71"/>
        <v>0</v>
      </c>
      <c r="M186" s="205">
        <f t="shared" si="71"/>
        <v>0</v>
      </c>
      <c r="N186" s="233">
        <f t="shared" si="71"/>
        <v>0</v>
      </c>
    </row>
    <row r="187" spans="1:22" x14ac:dyDescent="0.25">
      <c r="A187" s="203">
        <f t="shared" ref="A187:A229" si="72">+A140</f>
        <v>2013</v>
      </c>
      <c r="B187" s="205">
        <f t="shared" ref="B187:N187" si="73">IF($C66="","",IF($C66&lt;0,0,IF(AND($C66=1,start_time&lt;1),-(SUM(B140)*output_kgyear*$E66*percnt_var*start_time+SUM(B140)*output_kgyear*$E66*(1-start_time)),IF($C66&lt;=start_time,-SUM(B140)*output_kgyear*$E66*percnt_var,-SUM(B140)*output_kgyear*$E66))))</f>
        <v>0</v>
      </c>
      <c r="C187" s="205">
        <f t="shared" si="73"/>
        <v>0</v>
      </c>
      <c r="D187" s="205">
        <f t="shared" si="73"/>
        <v>0</v>
      </c>
      <c r="E187" s="232">
        <f t="shared" si="73"/>
        <v>0</v>
      </c>
      <c r="F187" s="204">
        <f t="shared" si="73"/>
        <v>0</v>
      </c>
      <c r="G187" s="205">
        <f t="shared" si="73"/>
        <v>0</v>
      </c>
      <c r="H187" s="205">
        <f t="shared" si="73"/>
        <v>0</v>
      </c>
      <c r="I187" s="232">
        <f t="shared" si="73"/>
        <v>0</v>
      </c>
      <c r="J187" s="514">
        <f t="shared" si="73"/>
        <v>0</v>
      </c>
      <c r="K187" s="230">
        <f t="shared" si="73"/>
        <v>0</v>
      </c>
      <c r="L187" s="230">
        <f t="shared" si="73"/>
        <v>0</v>
      </c>
      <c r="M187" s="205">
        <f t="shared" si="73"/>
        <v>0</v>
      </c>
      <c r="N187" s="233">
        <f t="shared" si="73"/>
        <v>0</v>
      </c>
    </row>
    <row r="188" spans="1:22" x14ac:dyDescent="0.25">
      <c r="A188" s="203">
        <f t="shared" si="72"/>
        <v>2014</v>
      </c>
      <c r="B188" s="205">
        <f t="shared" ref="B188:N188" si="74">IF($C67="","",IF($C67&lt;0,0,IF(AND($C67=1,start_time&lt;1),-(SUM(B141)*output_kgyear*$E67*percnt_var*start_time+SUM(B141)*output_kgyear*$E67*(1-start_time)),IF($C67&lt;=start_time,-SUM(B141)*output_kgyear*$E67*percnt_var,-SUM(B141)*output_kgyear*$E67))))</f>
        <v>0</v>
      </c>
      <c r="C188" s="205">
        <f t="shared" si="74"/>
        <v>0</v>
      </c>
      <c r="D188" s="205">
        <f t="shared" si="74"/>
        <v>0</v>
      </c>
      <c r="E188" s="232">
        <f t="shared" si="74"/>
        <v>0</v>
      </c>
      <c r="F188" s="204">
        <f t="shared" si="74"/>
        <v>0</v>
      </c>
      <c r="G188" s="205">
        <f t="shared" si="74"/>
        <v>0</v>
      </c>
      <c r="H188" s="205">
        <f t="shared" si="74"/>
        <v>0</v>
      </c>
      <c r="I188" s="232">
        <f t="shared" si="74"/>
        <v>0</v>
      </c>
      <c r="J188" s="514">
        <f t="shared" si="74"/>
        <v>0</v>
      </c>
      <c r="K188" s="230">
        <f t="shared" si="74"/>
        <v>0</v>
      </c>
      <c r="L188" s="230">
        <f t="shared" si="74"/>
        <v>0</v>
      </c>
      <c r="M188" s="205">
        <f t="shared" si="74"/>
        <v>0</v>
      </c>
      <c r="N188" s="233">
        <f t="shared" si="74"/>
        <v>0</v>
      </c>
    </row>
    <row r="189" spans="1:22" x14ac:dyDescent="0.25">
      <c r="A189" s="203">
        <f t="shared" si="72"/>
        <v>2015</v>
      </c>
      <c r="B189" s="205">
        <f t="shared" ref="B189:N189" ca="1" si="75">IF($C68="","",IF($C68&lt;0,0,IF(AND($C68=1,start_time&lt;1),-(SUM(B142)*output_kgyear*$E68*percnt_var*start_time+SUM(B142)*output_kgyear*$E68*(1-start_time)),IF($C68&lt;=start_time,-SUM(B142)*output_kgyear*$E68*percnt_var,-SUM(B142)*output_kgyear*$E68))))</f>
        <v>-16373139.046065565</v>
      </c>
      <c r="C189" s="205">
        <f t="shared" ca="1" si="75"/>
        <v>-97540309.555710301</v>
      </c>
      <c r="D189" s="205">
        <f t="shared" ca="1" si="75"/>
        <v>0</v>
      </c>
      <c r="E189" s="232">
        <f t="shared" ca="1" si="75"/>
        <v>0</v>
      </c>
      <c r="F189" s="204">
        <f ca="1">IF($C68="","",IF($C68&lt;0,0,IF(AND($C68=1,start_time&lt;1),-(SUM(F142)*output_kgyear*$E68*percnt_var*start_time+SUM(F142)*output_kgyear*$E68*(1-start_time)),IF($C68&lt;=start_time,-SUM(F142)*output_kgyear*$E68*percnt_var,-SUM(F142)*output_kgyear*$E68))))</f>
        <v>0</v>
      </c>
      <c r="G189" s="205">
        <f t="shared" ca="1" si="75"/>
        <v>0</v>
      </c>
      <c r="H189" s="205">
        <f t="shared" ca="1" si="75"/>
        <v>0</v>
      </c>
      <c r="I189" s="232">
        <f t="shared" ca="1" si="75"/>
        <v>0</v>
      </c>
      <c r="J189" s="514">
        <f t="shared" ca="1" si="75"/>
        <v>0</v>
      </c>
      <c r="K189" s="230">
        <f t="shared" ca="1" si="75"/>
        <v>0</v>
      </c>
      <c r="L189" s="230">
        <f t="shared" ca="1" si="75"/>
        <v>0</v>
      </c>
      <c r="M189" s="205">
        <f t="shared" ca="1" si="75"/>
        <v>0</v>
      </c>
      <c r="N189" s="233">
        <f t="shared" ca="1" si="75"/>
        <v>0</v>
      </c>
    </row>
    <row r="190" spans="1:22" x14ac:dyDescent="0.25">
      <c r="A190" s="203">
        <f t="shared" si="72"/>
        <v>2016</v>
      </c>
      <c r="B190" s="205">
        <f t="shared" ref="B190:N190" ca="1" si="76">IF($C69="","",IF($C69&lt;0,0,IF(AND($C69=1,start_time&lt;1),-(SUM(B143)*output_kgyear*$E69*percnt_var*start_time+SUM(B143)*output_kgyear*$E69*(1-start_time)),IF($C69&lt;=start_time,-SUM(B143)*output_kgyear*$E69*percnt_var,-SUM(B143)*output_kgyear*$E69))))</f>
        <v>-16116657.503334627</v>
      </c>
      <c r="C190" s="205">
        <f t="shared" ca="1" si="76"/>
        <v>-93153421.75566794</v>
      </c>
      <c r="D190" s="205">
        <f t="shared" ca="1" si="76"/>
        <v>0</v>
      </c>
      <c r="E190" s="232">
        <f t="shared" ca="1" si="76"/>
        <v>0</v>
      </c>
      <c r="F190" s="204">
        <f t="shared" ca="1" si="76"/>
        <v>0</v>
      </c>
      <c r="G190" s="205">
        <f t="shared" ca="1" si="76"/>
        <v>0</v>
      </c>
      <c r="H190" s="205">
        <f t="shared" ca="1" si="76"/>
        <v>0</v>
      </c>
      <c r="I190" s="232">
        <f t="shared" ca="1" si="76"/>
        <v>0</v>
      </c>
      <c r="J190" s="514">
        <f t="shared" ca="1" si="76"/>
        <v>0</v>
      </c>
      <c r="K190" s="230">
        <f t="shared" ca="1" si="76"/>
        <v>0</v>
      </c>
      <c r="L190" s="230">
        <f t="shared" ca="1" si="76"/>
        <v>0</v>
      </c>
      <c r="M190" s="205">
        <f t="shared" ca="1" si="76"/>
        <v>0</v>
      </c>
      <c r="N190" s="233">
        <f t="shared" ca="1" si="76"/>
        <v>0</v>
      </c>
    </row>
    <row r="191" spans="1:22" x14ac:dyDescent="0.25">
      <c r="A191" s="203">
        <f t="shared" si="72"/>
        <v>2017</v>
      </c>
      <c r="B191" s="205">
        <f t="shared" ref="B191:N191" ca="1" si="77">IF($C70="","",IF($C70&lt;0,0,IF(AND($C70=1,start_time&lt;1),-(SUM(B144)*output_kgyear*$E70*percnt_var*start_time+SUM(B144)*output_kgyear*$E70*(1-start_time)),IF($C70&lt;=start_time,-SUM(B144)*output_kgyear*$E70*percnt_var,-SUM(B144)*output_kgyear*$E70))))</f>
        <v>-17087319.468712781</v>
      </c>
      <c r="C191" s="205">
        <f t="shared" ca="1" si="77"/>
        <v>-110715574.18798527</v>
      </c>
      <c r="D191" s="205">
        <f t="shared" ca="1" si="77"/>
        <v>0</v>
      </c>
      <c r="E191" s="232">
        <f t="shared" ca="1" si="77"/>
        <v>0</v>
      </c>
      <c r="F191" s="204">
        <f t="shared" ca="1" si="77"/>
        <v>0</v>
      </c>
      <c r="G191" s="205">
        <f t="shared" ca="1" si="77"/>
        <v>0</v>
      </c>
      <c r="H191" s="205">
        <f t="shared" ca="1" si="77"/>
        <v>0</v>
      </c>
      <c r="I191" s="232">
        <f t="shared" ca="1" si="77"/>
        <v>0</v>
      </c>
      <c r="J191" s="514">
        <f t="shared" ca="1" si="77"/>
        <v>0</v>
      </c>
      <c r="K191" s="230">
        <f t="shared" ca="1" si="77"/>
        <v>0</v>
      </c>
      <c r="L191" s="230">
        <f t="shared" ca="1" si="77"/>
        <v>0</v>
      </c>
      <c r="M191" s="205">
        <f t="shared" ca="1" si="77"/>
        <v>0</v>
      </c>
      <c r="N191" s="233">
        <f t="shared" ca="1" si="77"/>
        <v>0</v>
      </c>
    </row>
    <row r="192" spans="1:22" x14ac:dyDescent="0.25">
      <c r="A192" s="203">
        <f t="shared" si="72"/>
        <v>2018</v>
      </c>
      <c r="B192" s="205">
        <f t="shared" ref="B192:N192" ca="1" si="78">IF($C71="","",IF($C71&lt;0,0,IF(AND($C71=1,start_time&lt;1),-(SUM(B145)*output_kgyear*$E71*percnt_var*start_time+SUM(B145)*output_kgyear*$E71*(1-start_time)),IF($C71&lt;=start_time,-SUM(B145)*output_kgyear*$E71*percnt_var,-SUM(B145)*output_kgyear*$E71))))</f>
        <v>-17017347.063972969</v>
      </c>
      <c r="C192" s="205">
        <f t="shared" ca="1" si="78"/>
        <v>-123369164.57005857</v>
      </c>
      <c r="D192" s="205">
        <f t="shared" ca="1" si="78"/>
        <v>0</v>
      </c>
      <c r="E192" s="232">
        <f t="shared" ca="1" si="78"/>
        <v>0</v>
      </c>
      <c r="F192" s="204">
        <f t="shared" ca="1" si="78"/>
        <v>0</v>
      </c>
      <c r="G192" s="205">
        <f t="shared" ca="1" si="78"/>
        <v>0</v>
      </c>
      <c r="H192" s="205">
        <f t="shared" ca="1" si="78"/>
        <v>0</v>
      </c>
      <c r="I192" s="232">
        <f t="shared" ca="1" si="78"/>
        <v>0</v>
      </c>
      <c r="J192" s="514">
        <f t="shared" ca="1" si="78"/>
        <v>0</v>
      </c>
      <c r="K192" s="230">
        <f t="shared" ca="1" si="78"/>
        <v>0</v>
      </c>
      <c r="L192" s="230">
        <f t="shared" ca="1" si="78"/>
        <v>0</v>
      </c>
      <c r="M192" s="205">
        <f t="shared" ca="1" si="78"/>
        <v>0</v>
      </c>
      <c r="N192" s="233">
        <f t="shared" ca="1" si="78"/>
        <v>0</v>
      </c>
    </row>
    <row r="193" spans="1:14" x14ac:dyDescent="0.25">
      <c r="A193" s="203">
        <f t="shared" si="72"/>
        <v>2019</v>
      </c>
      <c r="B193" s="205">
        <f t="shared" ref="B193:N193" ca="1" si="79">IF($C72="","",IF($C72&lt;0,0,IF(AND($C72=1,start_time&lt;1),-(SUM(B146)*output_kgyear*$E72*percnt_var*start_time+SUM(B146)*output_kgyear*$E72*(1-start_time)),IF($C72&lt;=start_time,-SUM(B146)*output_kgyear*$E72*percnt_var,-SUM(B146)*output_kgyear*$E72))))</f>
        <v>-17564253.49730641</v>
      </c>
      <c r="C193" s="205">
        <f t="shared" ca="1" si="79"/>
        <v>-137809720.5982267</v>
      </c>
      <c r="D193" s="205">
        <f t="shared" ca="1" si="79"/>
        <v>0</v>
      </c>
      <c r="E193" s="232">
        <f t="shared" ca="1" si="79"/>
        <v>0</v>
      </c>
      <c r="F193" s="204">
        <f t="shared" ca="1" si="79"/>
        <v>0</v>
      </c>
      <c r="G193" s="205">
        <f t="shared" ca="1" si="79"/>
        <v>0</v>
      </c>
      <c r="H193" s="205">
        <f t="shared" ca="1" si="79"/>
        <v>0</v>
      </c>
      <c r="I193" s="232">
        <f t="shared" ca="1" si="79"/>
        <v>0</v>
      </c>
      <c r="J193" s="514">
        <f t="shared" ca="1" si="79"/>
        <v>0</v>
      </c>
      <c r="K193" s="230">
        <f t="shared" ca="1" si="79"/>
        <v>0</v>
      </c>
      <c r="L193" s="230">
        <f t="shared" ca="1" si="79"/>
        <v>0</v>
      </c>
      <c r="M193" s="205">
        <f t="shared" ca="1" si="79"/>
        <v>0</v>
      </c>
      <c r="N193" s="233">
        <f t="shared" ca="1" si="79"/>
        <v>0</v>
      </c>
    </row>
    <row r="194" spans="1:14" x14ac:dyDescent="0.25">
      <c r="A194" s="203">
        <f t="shared" si="72"/>
        <v>2020</v>
      </c>
      <c r="B194" s="205">
        <f t="shared" ref="B194:N194" ca="1" si="80">IF($C73="","",IF($C73&lt;0,0,IF(AND($C73=1,start_time&lt;1),-(SUM(B147)*output_kgyear*$E73*percnt_var*start_time+SUM(B147)*output_kgyear*$E73*(1-start_time)),IF($C73&lt;=start_time,-SUM(B147)*output_kgyear*$E73*percnt_var,-SUM(B147)*output_kgyear*$E73))))</f>
        <v>-18230974.658561219</v>
      </c>
      <c r="C194" s="205">
        <f t="shared" ca="1" si="80"/>
        <v>-152612813.84731993</v>
      </c>
      <c r="D194" s="205">
        <f t="shared" ca="1" si="80"/>
        <v>0</v>
      </c>
      <c r="E194" s="232">
        <f t="shared" ca="1" si="80"/>
        <v>0</v>
      </c>
      <c r="F194" s="204">
        <f t="shared" ca="1" si="80"/>
        <v>0</v>
      </c>
      <c r="G194" s="205">
        <f t="shared" ca="1" si="80"/>
        <v>0</v>
      </c>
      <c r="H194" s="205">
        <f t="shared" ca="1" si="80"/>
        <v>0</v>
      </c>
      <c r="I194" s="232">
        <f t="shared" ca="1" si="80"/>
        <v>0</v>
      </c>
      <c r="J194" s="514">
        <f t="shared" ca="1" si="80"/>
        <v>0</v>
      </c>
      <c r="K194" s="230">
        <f t="shared" ca="1" si="80"/>
        <v>0</v>
      </c>
      <c r="L194" s="230">
        <f t="shared" ca="1" si="80"/>
        <v>0</v>
      </c>
      <c r="M194" s="205">
        <f t="shared" ca="1" si="80"/>
        <v>0</v>
      </c>
      <c r="N194" s="233">
        <f t="shared" ca="1" si="80"/>
        <v>0</v>
      </c>
    </row>
    <row r="195" spans="1:14" x14ac:dyDescent="0.25">
      <c r="A195" s="203">
        <f t="shared" si="72"/>
        <v>2021</v>
      </c>
      <c r="B195" s="205">
        <f t="shared" ref="B195:N195" ca="1" si="81">IF($C74="","",IF($C74&lt;0,0,IF(AND($C74=1,start_time&lt;1),-(SUM(B148)*output_kgyear*$E74*percnt_var*start_time+SUM(B148)*output_kgyear*$E74*(1-start_time)),IF($C74&lt;=start_time,-SUM(B148)*output_kgyear*$E74*percnt_var,-SUM(B148)*output_kgyear*$E74))))</f>
        <v>-18679681.199757542</v>
      </c>
      <c r="C195" s="205">
        <f t="shared" ca="1" si="81"/>
        <v>-155677376.7255441</v>
      </c>
      <c r="D195" s="205">
        <f t="shared" ca="1" si="81"/>
        <v>0</v>
      </c>
      <c r="E195" s="232">
        <f t="shared" ca="1" si="81"/>
        <v>0</v>
      </c>
      <c r="F195" s="204">
        <f t="shared" ca="1" si="81"/>
        <v>0</v>
      </c>
      <c r="G195" s="205">
        <f t="shared" ca="1" si="81"/>
        <v>0</v>
      </c>
      <c r="H195" s="205">
        <f t="shared" ca="1" si="81"/>
        <v>0</v>
      </c>
      <c r="I195" s="232">
        <f t="shared" ca="1" si="81"/>
        <v>0</v>
      </c>
      <c r="J195" s="514">
        <f t="shared" ca="1" si="81"/>
        <v>0</v>
      </c>
      <c r="K195" s="230">
        <f t="shared" ca="1" si="81"/>
        <v>0</v>
      </c>
      <c r="L195" s="230">
        <f t="shared" ca="1" si="81"/>
        <v>0</v>
      </c>
      <c r="M195" s="205">
        <f t="shared" ca="1" si="81"/>
        <v>0</v>
      </c>
      <c r="N195" s="233">
        <f t="shared" ca="1" si="81"/>
        <v>0</v>
      </c>
    </row>
    <row r="196" spans="1:14" x14ac:dyDescent="0.25">
      <c r="A196" s="203">
        <f t="shared" si="72"/>
        <v>2022</v>
      </c>
      <c r="B196" s="205">
        <f t="shared" ref="B196:N196" ca="1" si="82">IF($C75="","",IF($C75&lt;0,0,IF(AND($C75=1,start_time&lt;1),-(SUM(B149)*output_kgyear*$E75*percnt_var*start_time+SUM(B149)*output_kgyear*$E75*(1-start_time)),IF($C75&lt;=start_time,-SUM(B149)*output_kgyear*$E75*percnt_var,-SUM(B149)*output_kgyear*$E75))))</f>
        <v>-19648988.043122269</v>
      </c>
      <c r="C196" s="205">
        <f t="shared" ca="1" si="82"/>
        <v>-156881554.39180407</v>
      </c>
      <c r="D196" s="205">
        <f t="shared" ca="1" si="82"/>
        <v>0</v>
      </c>
      <c r="E196" s="232">
        <f t="shared" ca="1" si="82"/>
        <v>0</v>
      </c>
      <c r="F196" s="204">
        <f t="shared" ca="1" si="82"/>
        <v>0</v>
      </c>
      <c r="G196" s="205">
        <f t="shared" ca="1" si="82"/>
        <v>0</v>
      </c>
      <c r="H196" s="205">
        <f t="shared" ca="1" si="82"/>
        <v>0</v>
      </c>
      <c r="I196" s="232">
        <f t="shared" ca="1" si="82"/>
        <v>0</v>
      </c>
      <c r="J196" s="514">
        <f t="shared" ca="1" si="82"/>
        <v>0</v>
      </c>
      <c r="K196" s="230">
        <f t="shared" ca="1" si="82"/>
        <v>0</v>
      </c>
      <c r="L196" s="230">
        <f t="shared" ca="1" si="82"/>
        <v>0</v>
      </c>
      <c r="M196" s="205">
        <f t="shared" ca="1" si="82"/>
        <v>0</v>
      </c>
      <c r="N196" s="233">
        <f t="shared" ca="1" si="82"/>
        <v>0</v>
      </c>
    </row>
    <row r="197" spans="1:14" x14ac:dyDescent="0.25">
      <c r="A197" s="203">
        <f t="shared" si="72"/>
        <v>2023</v>
      </c>
      <c r="B197" s="205">
        <f t="shared" ref="B197:N197" ca="1" si="83">IF($C76="","",IF($C76&lt;0,0,IF(AND($C76=1,start_time&lt;1),-(SUM(B150)*output_kgyear*$E76*percnt_var*start_time+SUM(B150)*output_kgyear*$E76*(1-start_time)),IF($C76&lt;=start_time,-SUM(B150)*output_kgyear*$E76*percnt_var,-SUM(B150)*output_kgyear*$E76))))</f>
        <v>-20085777.501697831</v>
      </c>
      <c r="C197" s="205">
        <f t="shared" ca="1" si="83"/>
        <v>-160228452.47665212</v>
      </c>
      <c r="D197" s="205">
        <f t="shared" ca="1" si="83"/>
        <v>0</v>
      </c>
      <c r="E197" s="232">
        <f t="shared" ca="1" si="83"/>
        <v>0</v>
      </c>
      <c r="F197" s="204">
        <f t="shared" ca="1" si="83"/>
        <v>0</v>
      </c>
      <c r="G197" s="205">
        <f t="shared" ca="1" si="83"/>
        <v>0</v>
      </c>
      <c r="H197" s="205">
        <f t="shared" ca="1" si="83"/>
        <v>0</v>
      </c>
      <c r="I197" s="232">
        <f t="shared" ca="1" si="83"/>
        <v>0</v>
      </c>
      <c r="J197" s="514">
        <f t="shared" ca="1" si="83"/>
        <v>0</v>
      </c>
      <c r="K197" s="230">
        <f t="shared" ca="1" si="83"/>
        <v>0</v>
      </c>
      <c r="L197" s="230">
        <f t="shared" ca="1" si="83"/>
        <v>0</v>
      </c>
      <c r="M197" s="205">
        <f t="shared" ca="1" si="83"/>
        <v>0</v>
      </c>
      <c r="N197" s="233">
        <f t="shared" ca="1" si="83"/>
        <v>0</v>
      </c>
    </row>
    <row r="198" spans="1:14" x14ac:dyDescent="0.25">
      <c r="A198" s="203">
        <f t="shared" si="72"/>
        <v>2024</v>
      </c>
      <c r="B198" s="205">
        <f t="shared" ref="B198:N198" ca="1" si="84">IF($C77="","",IF($C77&lt;0,0,IF(AND($C77=1,start_time&lt;1),-(SUM(B151)*output_kgyear*$E77*percnt_var*start_time+SUM(B151)*output_kgyear*$E77*(1-start_time)),IF($C77&lt;=start_time,-SUM(B151)*output_kgyear*$E77*percnt_var,-SUM(B151)*output_kgyear*$E77))))</f>
        <v>-20413451.868654866</v>
      </c>
      <c r="C198" s="205">
        <f t="shared" ca="1" si="84"/>
        <v>-166072986.50300857</v>
      </c>
      <c r="D198" s="205">
        <f t="shared" ca="1" si="84"/>
        <v>0</v>
      </c>
      <c r="E198" s="232">
        <f t="shared" ca="1" si="84"/>
        <v>0</v>
      </c>
      <c r="F198" s="204">
        <f t="shared" ca="1" si="84"/>
        <v>0</v>
      </c>
      <c r="G198" s="205">
        <f t="shared" ca="1" si="84"/>
        <v>0</v>
      </c>
      <c r="H198" s="205">
        <f t="shared" ca="1" si="84"/>
        <v>0</v>
      </c>
      <c r="I198" s="232">
        <f t="shared" ca="1" si="84"/>
        <v>0</v>
      </c>
      <c r="J198" s="514">
        <f t="shared" ca="1" si="84"/>
        <v>0</v>
      </c>
      <c r="K198" s="230">
        <f t="shared" ca="1" si="84"/>
        <v>0</v>
      </c>
      <c r="L198" s="230">
        <f t="shared" ca="1" si="84"/>
        <v>0</v>
      </c>
      <c r="M198" s="205">
        <f t="shared" ca="1" si="84"/>
        <v>0</v>
      </c>
      <c r="N198" s="233">
        <f t="shared" ca="1" si="84"/>
        <v>0</v>
      </c>
    </row>
    <row r="199" spans="1:14" x14ac:dyDescent="0.25">
      <c r="A199" s="203">
        <f t="shared" si="72"/>
        <v>2025</v>
      </c>
      <c r="B199" s="205">
        <f t="shared" ref="B199:N199" ca="1" si="85">IF($C78="","",IF($C78&lt;0,0,IF(AND($C78=1,start_time&lt;1),-(SUM(B152)*output_kgyear*$E78*percnt_var*start_time+SUM(B152)*output_kgyear*$E78*(1-start_time)),IF($C78&lt;=start_time,-SUM(B152)*output_kgyear*$E78*percnt_var,-SUM(B152)*output_kgyear*$E78))))</f>
        <v>-21300779.238812201</v>
      </c>
      <c r="C199" s="205">
        <f t="shared" ca="1" si="85"/>
        <v>-172951578.89934701</v>
      </c>
      <c r="D199" s="205">
        <f t="shared" ca="1" si="85"/>
        <v>0</v>
      </c>
      <c r="E199" s="232">
        <f t="shared" ca="1" si="85"/>
        <v>0</v>
      </c>
      <c r="F199" s="204">
        <f t="shared" ca="1" si="85"/>
        <v>0</v>
      </c>
      <c r="G199" s="205">
        <f t="shared" ca="1" si="85"/>
        <v>0</v>
      </c>
      <c r="H199" s="205">
        <f t="shared" ca="1" si="85"/>
        <v>0</v>
      </c>
      <c r="I199" s="232">
        <f t="shared" ca="1" si="85"/>
        <v>0</v>
      </c>
      <c r="J199" s="514">
        <f t="shared" ca="1" si="85"/>
        <v>0</v>
      </c>
      <c r="K199" s="230">
        <f t="shared" ca="1" si="85"/>
        <v>0</v>
      </c>
      <c r="L199" s="230">
        <f t="shared" ca="1" si="85"/>
        <v>0</v>
      </c>
      <c r="M199" s="205">
        <f t="shared" ca="1" si="85"/>
        <v>0</v>
      </c>
      <c r="N199" s="233">
        <f t="shared" ca="1" si="85"/>
        <v>0</v>
      </c>
    </row>
    <row r="200" spans="1:14" x14ac:dyDescent="0.25">
      <c r="A200" s="203">
        <f t="shared" si="72"/>
        <v>2026</v>
      </c>
      <c r="B200" s="205">
        <f t="shared" ref="B200:N200" ca="1" si="86">IF($C79="","",IF($C79&lt;0,0,IF(AND($C79=1,start_time&lt;1),-(SUM(B153)*output_kgyear*$E79*percnt_var*start_time+SUM(B153)*output_kgyear*$E79*(1-start_time)),IF($C79&lt;=start_time,-SUM(B153)*output_kgyear*$E79*percnt_var,-SUM(B153)*output_kgyear*$E79))))</f>
        <v>-21925922.240460914</v>
      </c>
      <c r="C200" s="205">
        <f t="shared" ca="1" si="86"/>
        <v>-180160712.6827836</v>
      </c>
      <c r="D200" s="205">
        <f t="shared" ca="1" si="86"/>
        <v>0</v>
      </c>
      <c r="E200" s="232">
        <f t="shared" ca="1" si="86"/>
        <v>0</v>
      </c>
      <c r="F200" s="204">
        <f t="shared" ca="1" si="86"/>
        <v>0</v>
      </c>
      <c r="G200" s="205">
        <f t="shared" ca="1" si="86"/>
        <v>0</v>
      </c>
      <c r="H200" s="205">
        <f t="shared" ca="1" si="86"/>
        <v>0</v>
      </c>
      <c r="I200" s="232">
        <f t="shared" ca="1" si="86"/>
        <v>0</v>
      </c>
      <c r="J200" s="514">
        <f t="shared" ca="1" si="86"/>
        <v>0</v>
      </c>
      <c r="K200" s="230">
        <f t="shared" ca="1" si="86"/>
        <v>0</v>
      </c>
      <c r="L200" s="230">
        <f t="shared" ca="1" si="86"/>
        <v>0</v>
      </c>
      <c r="M200" s="205">
        <f t="shared" ca="1" si="86"/>
        <v>0</v>
      </c>
      <c r="N200" s="233">
        <f t="shared" ca="1" si="86"/>
        <v>0</v>
      </c>
    </row>
    <row r="201" spans="1:14" x14ac:dyDescent="0.25">
      <c r="A201" s="203">
        <f t="shared" si="72"/>
        <v>2027</v>
      </c>
      <c r="B201" s="205">
        <f t="shared" ref="B201:N201" ca="1" si="87">IF($C80="","",IF($C80&lt;0,0,IF(AND($C80=1,start_time&lt;1),-(SUM(B154)*output_kgyear*$E80*percnt_var*start_time+SUM(B154)*output_kgyear*$E80*(1-start_time)),IF($C80&lt;=start_time,-SUM(B154)*output_kgyear*$E80*percnt_var,-SUM(B154)*output_kgyear*$E80))))</f>
        <v>-22471246.189584009</v>
      </c>
      <c r="C201" s="205">
        <f t="shared" ca="1" si="87"/>
        <v>-186786200.999475</v>
      </c>
      <c r="D201" s="205">
        <f t="shared" ca="1" si="87"/>
        <v>0</v>
      </c>
      <c r="E201" s="232">
        <f t="shared" ca="1" si="87"/>
        <v>0</v>
      </c>
      <c r="F201" s="204">
        <f t="shared" ca="1" si="87"/>
        <v>0</v>
      </c>
      <c r="G201" s="205">
        <f t="shared" ca="1" si="87"/>
        <v>0</v>
      </c>
      <c r="H201" s="205">
        <f t="shared" ca="1" si="87"/>
        <v>0</v>
      </c>
      <c r="I201" s="232">
        <f t="shared" ca="1" si="87"/>
        <v>0</v>
      </c>
      <c r="J201" s="514">
        <f t="shared" ca="1" si="87"/>
        <v>0</v>
      </c>
      <c r="K201" s="230">
        <f t="shared" ca="1" si="87"/>
        <v>0</v>
      </c>
      <c r="L201" s="230">
        <f t="shared" ca="1" si="87"/>
        <v>0</v>
      </c>
      <c r="M201" s="205">
        <f t="shared" ca="1" si="87"/>
        <v>0</v>
      </c>
      <c r="N201" s="233">
        <f t="shared" ca="1" si="87"/>
        <v>0</v>
      </c>
    </row>
    <row r="202" spans="1:14" x14ac:dyDescent="0.25">
      <c r="A202" s="203">
        <f t="shared" si="72"/>
        <v>2028</v>
      </c>
      <c r="B202" s="205">
        <f t="shared" ref="B202:N202" ca="1" si="88">IF($C81="","",IF($C81&lt;0,0,IF(AND($C81=1,start_time&lt;1),-(SUM(B155)*output_kgyear*$E81*percnt_var*start_time+SUM(B155)*output_kgyear*$E81*(1-start_time)),IF($C81&lt;=start_time,-SUM(B155)*output_kgyear*$E81*percnt_var,-SUM(B155)*output_kgyear*$E81))))</f>
        <v>-23046981.224183004</v>
      </c>
      <c r="C202" s="205">
        <f t="shared" ca="1" si="88"/>
        <v>-193570426.75849059</v>
      </c>
      <c r="D202" s="205">
        <f t="shared" ca="1" si="88"/>
        <v>0</v>
      </c>
      <c r="E202" s="232">
        <f t="shared" ca="1" si="88"/>
        <v>0</v>
      </c>
      <c r="F202" s="204">
        <f t="shared" ca="1" si="88"/>
        <v>0</v>
      </c>
      <c r="G202" s="205">
        <f t="shared" ca="1" si="88"/>
        <v>0</v>
      </c>
      <c r="H202" s="205">
        <f t="shared" ca="1" si="88"/>
        <v>0</v>
      </c>
      <c r="I202" s="232">
        <f t="shared" ca="1" si="88"/>
        <v>0</v>
      </c>
      <c r="J202" s="514">
        <f t="shared" ca="1" si="88"/>
        <v>0</v>
      </c>
      <c r="K202" s="230">
        <f t="shared" ca="1" si="88"/>
        <v>0</v>
      </c>
      <c r="L202" s="230">
        <f t="shared" ca="1" si="88"/>
        <v>0</v>
      </c>
      <c r="M202" s="205">
        <f t="shared" ca="1" si="88"/>
        <v>0</v>
      </c>
      <c r="N202" s="233">
        <f t="shared" ca="1" si="88"/>
        <v>0</v>
      </c>
    </row>
    <row r="203" spans="1:14" x14ac:dyDescent="0.25">
      <c r="A203" s="203">
        <f t="shared" si="72"/>
        <v>2029</v>
      </c>
      <c r="B203" s="205">
        <f t="shared" ref="B203:N203" ca="1" si="89">IF($C82="","",IF($C82&lt;0,0,IF(AND($C82=1,start_time&lt;1),-(SUM(B156)*output_kgyear*$E82*percnt_var*start_time+SUM(B156)*output_kgyear*$E82*(1-start_time)),IF($C82&lt;=start_time,-SUM(B156)*output_kgyear*$E82*percnt_var,-SUM(B156)*output_kgyear*$E82))))</f>
        <v>-23603987.028267097</v>
      </c>
      <c r="C203" s="205">
        <f t="shared" ca="1" si="89"/>
        <v>-200018348.38279241</v>
      </c>
      <c r="D203" s="205">
        <f t="shared" ca="1" si="89"/>
        <v>0</v>
      </c>
      <c r="E203" s="232">
        <f t="shared" ca="1" si="89"/>
        <v>0</v>
      </c>
      <c r="F203" s="204">
        <f t="shared" ca="1" si="89"/>
        <v>0</v>
      </c>
      <c r="G203" s="205">
        <f t="shared" ca="1" si="89"/>
        <v>0</v>
      </c>
      <c r="H203" s="205">
        <f t="shared" ca="1" si="89"/>
        <v>0</v>
      </c>
      <c r="I203" s="232">
        <f t="shared" ca="1" si="89"/>
        <v>0</v>
      </c>
      <c r="J203" s="514">
        <f t="shared" ca="1" si="89"/>
        <v>0</v>
      </c>
      <c r="K203" s="230">
        <f t="shared" ca="1" si="89"/>
        <v>0</v>
      </c>
      <c r="L203" s="230">
        <f t="shared" ca="1" si="89"/>
        <v>0</v>
      </c>
      <c r="M203" s="205">
        <f t="shared" ca="1" si="89"/>
        <v>0</v>
      </c>
      <c r="N203" s="233">
        <f t="shared" ca="1" si="89"/>
        <v>0</v>
      </c>
    </row>
    <row r="204" spans="1:14" x14ac:dyDescent="0.25">
      <c r="A204" s="203">
        <f t="shared" si="72"/>
        <v>2030</v>
      </c>
      <c r="B204" s="205">
        <f t="shared" ref="B204:N204" ca="1" si="90">IF($C83="","",IF($C83&lt;0,0,IF(AND($C83=1,start_time&lt;1),-(SUM(B157)*output_kgyear*$E83*percnt_var*start_time+SUM(B157)*output_kgyear*$E83*(1-start_time)),IF($C83&lt;=start_time,-SUM(B157)*output_kgyear*$E83*percnt_var,-SUM(B157)*output_kgyear*$E83))))</f>
        <v>-24136787.031244241</v>
      </c>
      <c r="C204" s="205">
        <f t="shared" ca="1" si="90"/>
        <v>-204523786.81710294</v>
      </c>
      <c r="D204" s="205">
        <f t="shared" ca="1" si="90"/>
        <v>0</v>
      </c>
      <c r="E204" s="232">
        <f t="shared" ca="1" si="90"/>
        <v>0</v>
      </c>
      <c r="F204" s="204">
        <f t="shared" ca="1" si="90"/>
        <v>0</v>
      </c>
      <c r="G204" s="205">
        <f t="shared" ca="1" si="90"/>
        <v>0</v>
      </c>
      <c r="H204" s="205">
        <f t="shared" ca="1" si="90"/>
        <v>0</v>
      </c>
      <c r="I204" s="232">
        <f t="shared" ca="1" si="90"/>
        <v>0</v>
      </c>
      <c r="J204" s="514">
        <f t="shared" ca="1" si="90"/>
        <v>0</v>
      </c>
      <c r="K204" s="230">
        <f t="shared" ca="1" si="90"/>
        <v>0</v>
      </c>
      <c r="L204" s="230">
        <f t="shared" ca="1" si="90"/>
        <v>0</v>
      </c>
      <c r="M204" s="205">
        <f t="shared" ca="1" si="90"/>
        <v>0</v>
      </c>
      <c r="N204" s="233">
        <f t="shared" ca="1" si="90"/>
        <v>0</v>
      </c>
    </row>
    <row r="205" spans="1:14" x14ac:dyDescent="0.25">
      <c r="A205" s="203">
        <f t="shared" si="72"/>
        <v>2031</v>
      </c>
      <c r="B205" s="205">
        <f t="shared" ref="B205:N205" ca="1" si="91">IF($C84="","",IF($C84&lt;0,0,IF(AND($C84=1,start_time&lt;1),-(SUM(B158)*output_kgyear*$E84*percnt_var*start_time+SUM(B158)*output_kgyear*$E84*(1-start_time)),IF($C84&lt;=start_time,-SUM(B158)*output_kgyear*$E84*percnt_var,-SUM(B158)*output_kgyear*$E84))))</f>
        <v>-24626544.760057833</v>
      </c>
      <c r="C205" s="205">
        <f t="shared" ca="1" si="91"/>
        <v>-209304175.40721908</v>
      </c>
      <c r="D205" s="205">
        <f t="shared" ca="1" si="91"/>
        <v>0</v>
      </c>
      <c r="E205" s="232">
        <f t="shared" ca="1" si="91"/>
        <v>0</v>
      </c>
      <c r="F205" s="204">
        <f t="shared" ca="1" si="91"/>
        <v>0</v>
      </c>
      <c r="G205" s="205">
        <f t="shared" ca="1" si="91"/>
        <v>0</v>
      </c>
      <c r="H205" s="205">
        <f t="shared" ca="1" si="91"/>
        <v>0</v>
      </c>
      <c r="I205" s="232">
        <f t="shared" ca="1" si="91"/>
        <v>0</v>
      </c>
      <c r="J205" s="514">
        <f t="shared" ca="1" si="91"/>
        <v>0</v>
      </c>
      <c r="K205" s="230">
        <f t="shared" ca="1" si="91"/>
        <v>0</v>
      </c>
      <c r="L205" s="230">
        <f t="shared" ca="1" si="91"/>
        <v>0</v>
      </c>
      <c r="M205" s="205">
        <f t="shared" ca="1" si="91"/>
        <v>0</v>
      </c>
      <c r="N205" s="233">
        <f t="shared" ca="1" si="91"/>
        <v>0</v>
      </c>
    </row>
    <row r="206" spans="1:14" x14ac:dyDescent="0.25">
      <c r="A206" s="203">
        <f t="shared" si="72"/>
        <v>2032</v>
      </c>
      <c r="B206" s="205">
        <f t="shared" ref="B206:N206" ca="1" si="92">IF($C85="","",IF($C85&lt;0,0,IF(AND($C85=1,start_time&lt;1),-(SUM(B159)*output_kgyear*$E85*percnt_var*start_time+SUM(B159)*output_kgyear*$E85*(1-start_time)),IF($C85&lt;=start_time,-SUM(B159)*output_kgyear*$E85*percnt_var,-SUM(B159)*output_kgyear*$E85))))</f>
        <v>-25037196.323437318</v>
      </c>
      <c r="C206" s="205">
        <f t="shared" ca="1" si="92"/>
        <v>-212746492.7322408</v>
      </c>
      <c r="D206" s="205">
        <f t="shared" ca="1" si="92"/>
        <v>0</v>
      </c>
      <c r="E206" s="232">
        <f t="shared" ca="1" si="92"/>
        <v>0</v>
      </c>
      <c r="F206" s="204">
        <f t="shared" ca="1" si="92"/>
        <v>0</v>
      </c>
      <c r="G206" s="205">
        <f t="shared" ca="1" si="92"/>
        <v>0</v>
      </c>
      <c r="H206" s="205">
        <f t="shared" ca="1" si="92"/>
        <v>0</v>
      </c>
      <c r="I206" s="232">
        <f t="shared" ca="1" si="92"/>
        <v>0</v>
      </c>
      <c r="J206" s="514">
        <f t="shared" ca="1" si="92"/>
        <v>0</v>
      </c>
      <c r="K206" s="230">
        <f t="shared" ca="1" si="92"/>
        <v>0</v>
      </c>
      <c r="L206" s="230">
        <f t="shared" ca="1" si="92"/>
        <v>0</v>
      </c>
      <c r="M206" s="205">
        <f t="shared" ca="1" si="92"/>
        <v>0</v>
      </c>
      <c r="N206" s="233">
        <f t="shared" ca="1" si="92"/>
        <v>0</v>
      </c>
    </row>
    <row r="207" spans="1:14" x14ac:dyDescent="0.25">
      <c r="A207" s="203">
        <f t="shared" si="72"/>
        <v>2033</v>
      </c>
      <c r="B207" s="205">
        <f t="shared" ref="B207:N207" ca="1" si="93">IF($C86="","",IF($C86&lt;0,0,IF(AND($C86=1,start_time&lt;1),-(SUM(B160)*output_kgyear*$E86*percnt_var*start_time+SUM(B160)*output_kgyear*$E86*(1-start_time)),IF($C86&lt;=start_time,-SUM(B160)*output_kgyear*$E86*percnt_var,-SUM(B160)*output_kgyear*$E86))))</f>
        <v>-25421709.893521857</v>
      </c>
      <c r="C207" s="205">
        <f t="shared" ca="1" si="93"/>
        <v>-214635722.3977643</v>
      </c>
      <c r="D207" s="205">
        <f t="shared" ca="1" si="93"/>
        <v>0</v>
      </c>
      <c r="E207" s="232">
        <f t="shared" ca="1" si="93"/>
        <v>0</v>
      </c>
      <c r="F207" s="204">
        <f t="shared" ca="1" si="93"/>
        <v>0</v>
      </c>
      <c r="G207" s="205">
        <f t="shared" ca="1" si="93"/>
        <v>0</v>
      </c>
      <c r="H207" s="205">
        <f t="shared" ca="1" si="93"/>
        <v>0</v>
      </c>
      <c r="I207" s="232">
        <f t="shared" ca="1" si="93"/>
        <v>0</v>
      </c>
      <c r="J207" s="514">
        <f t="shared" ca="1" si="93"/>
        <v>0</v>
      </c>
      <c r="K207" s="230">
        <f t="shared" ca="1" si="93"/>
        <v>0</v>
      </c>
      <c r="L207" s="230">
        <f t="shared" ca="1" si="93"/>
        <v>0</v>
      </c>
      <c r="M207" s="205">
        <f t="shared" ca="1" si="93"/>
        <v>0</v>
      </c>
      <c r="N207" s="233">
        <f t="shared" ca="1" si="93"/>
        <v>0</v>
      </c>
    </row>
    <row r="208" spans="1:14" x14ac:dyDescent="0.25">
      <c r="A208" s="203">
        <f t="shared" si="72"/>
        <v>2034</v>
      </c>
      <c r="B208" s="205">
        <f t="shared" ref="B208:N208" ca="1" si="94">IF($C87="","",IF($C87&lt;0,0,IF(AND($C87=1,start_time&lt;1),-(SUM(B161)*output_kgyear*$E87*percnt_var*start_time+SUM(B161)*output_kgyear*$E87*(1-start_time)),IF($C87&lt;=start_time,-SUM(B161)*output_kgyear*$E87*percnt_var,-SUM(B161)*output_kgyear*$E87))))</f>
        <v>-25829435.61000251</v>
      </c>
      <c r="C208" s="205">
        <f t="shared" ca="1" si="94"/>
        <v>-218658031.9905456</v>
      </c>
      <c r="D208" s="205">
        <f t="shared" ca="1" si="94"/>
        <v>0</v>
      </c>
      <c r="E208" s="232">
        <f t="shared" ca="1" si="94"/>
        <v>0</v>
      </c>
      <c r="F208" s="204">
        <f t="shared" ca="1" si="94"/>
        <v>0</v>
      </c>
      <c r="G208" s="205">
        <f t="shared" ca="1" si="94"/>
        <v>0</v>
      </c>
      <c r="H208" s="205">
        <f t="shared" ca="1" si="94"/>
        <v>0</v>
      </c>
      <c r="I208" s="232">
        <f t="shared" ca="1" si="94"/>
        <v>0</v>
      </c>
      <c r="J208" s="514">
        <f t="shared" ca="1" si="94"/>
        <v>0</v>
      </c>
      <c r="K208" s="230">
        <f t="shared" ca="1" si="94"/>
        <v>0</v>
      </c>
      <c r="L208" s="230">
        <f t="shared" ca="1" si="94"/>
        <v>0</v>
      </c>
      <c r="M208" s="205">
        <f t="shared" ca="1" si="94"/>
        <v>0</v>
      </c>
      <c r="N208" s="233">
        <f t="shared" ca="1" si="94"/>
        <v>0</v>
      </c>
    </row>
    <row r="209" spans="1:14" x14ac:dyDescent="0.25">
      <c r="A209" s="203">
        <f t="shared" si="72"/>
        <v>2035</v>
      </c>
      <c r="B209" s="205">
        <f t="shared" ref="B209:N209" ca="1" si="95">IF($C88="","",IF($C88&lt;0,0,IF(AND($C88=1,start_time&lt;1),-(SUM(B162)*output_kgyear*$E88*percnt_var*start_time+SUM(B162)*output_kgyear*$E88*(1-start_time)),IF($C88&lt;=start_time,-SUM(B162)*output_kgyear*$E88*percnt_var,-SUM(B162)*output_kgyear*$E88))))</f>
        <v>-26413263.604256265</v>
      </c>
      <c r="C209" s="205">
        <f t="shared" ca="1" si="95"/>
        <v>-226274406.31698164</v>
      </c>
      <c r="D209" s="205">
        <f t="shared" ca="1" si="95"/>
        <v>0</v>
      </c>
      <c r="E209" s="232">
        <f t="shared" ca="1" si="95"/>
        <v>0</v>
      </c>
      <c r="F209" s="204">
        <f t="shared" ca="1" si="95"/>
        <v>0</v>
      </c>
      <c r="G209" s="205">
        <f t="shared" ca="1" si="95"/>
        <v>0</v>
      </c>
      <c r="H209" s="205">
        <f t="shared" ca="1" si="95"/>
        <v>0</v>
      </c>
      <c r="I209" s="232">
        <f t="shared" ca="1" si="95"/>
        <v>0</v>
      </c>
      <c r="J209" s="514">
        <f t="shared" ca="1" si="95"/>
        <v>0</v>
      </c>
      <c r="K209" s="230">
        <f t="shared" ca="1" si="95"/>
        <v>0</v>
      </c>
      <c r="L209" s="230">
        <f t="shared" ca="1" si="95"/>
        <v>0</v>
      </c>
      <c r="M209" s="205">
        <f t="shared" ca="1" si="95"/>
        <v>0</v>
      </c>
      <c r="N209" s="233">
        <f t="shared" ca="1" si="95"/>
        <v>0</v>
      </c>
    </row>
    <row r="210" spans="1:14" x14ac:dyDescent="0.25">
      <c r="A210" s="203">
        <f t="shared" si="72"/>
        <v>2036</v>
      </c>
      <c r="B210" s="205">
        <f t="shared" ref="B210:N210" ca="1" si="96">IF($C89="","",IF($C89&lt;0,0,IF(AND($C89=1,start_time&lt;1),-(SUM(B163)*output_kgyear*$E89*percnt_var*start_time+SUM(B163)*output_kgyear*$E89*(1-start_time)),IF($C89&lt;=start_time,-SUM(B163)*output_kgyear*$E89*percnt_var,-SUM(B163)*output_kgyear*$E89))))</f>
        <v>-27012976.411442179</v>
      </c>
      <c r="C210" s="205">
        <f t="shared" ca="1" si="96"/>
        <v>-230726788.58141035</v>
      </c>
      <c r="D210" s="205">
        <f t="shared" ca="1" si="96"/>
        <v>0</v>
      </c>
      <c r="E210" s="232">
        <f t="shared" ca="1" si="96"/>
        <v>0</v>
      </c>
      <c r="F210" s="204">
        <f t="shared" ca="1" si="96"/>
        <v>0</v>
      </c>
      <c r="G210" s="205">
        <f t="shared" ca="1" si="96"/>
        <v>0</v>
      </c>
      <c r="H210" s="205">
        <f t="shared" ca="1" si="96"/>
        <v>0</v>
      </c>
      <c r="I210" s="232">
        <f t="shared" ca="1" si="96"/>
        <v>0</v>
      </c>
      <c r="J210" s="514">
        <f t="shared" ca="1" si="96"/>
        <v>0</v>
      </c>
      <c r="K210" s="230">
        <f t="shared" ca="1" si="96"/>
        <v>0</v>
      </c>
      <c r="L210" s="230">
        <f t="shared" ca="1" si="96"/>
        <v>0</v>
      </c>
      <c r="M210" s="205">
        <f t="shared" ca="1" si="96"/>
        <v>0</v>
      </c>
      <c r="N210" s="233">
        <f t="shared" ca="1" si="96"/>
        <v>0</v>
      </c>
    </row>
    <row r="211" spans="1:14" x14ac:dyDescent="0.25">
      <c r="A211" s="203">
        <f t="shared" si="72"/>
        <v>2037</v>
      </c>
      <c r="B211" s="205">
        <f t="shared" ref="B211:N211" ca="1" si="97">IF($C90="","",IF($C90&lt;0,0,IF(AND($C90=1,start_time&lt;1),-(SUM(B164)*output_kgyear*$E90*percnt_var*start_time+SUM(B164)*output_kgyear*$E90*(1-start_time)),IF($C90&lt;=start_time,-SUM(B164)*output_kgyear*$E90*percnt_var,-SUM(B164)*output_kgyear*$E90))))</f>
        <v>-27505410.487829417</v>
      </c>
      <c r="C211" s="205">
        <f t="shared" ca="1" si="97"/>
        <v>-235541009.70730484</v>
      </c>
      <c r="D211" s="205">
        <f t="shared" ca="1" si="97"/>
        <v>0</v>
      </c>
      <c r="E211" s="232">
        <f t="shared" ca="1" si="97"/>
        <v>0</v>
      </c>
      <c r="F211" s="204">
        <f t="shared" ca="1" si="97"/>
        <v>0</v>
      </c>
      <c r="G211" s="205">
        <f t="shared" ca="1" si="97"/>
        <v>0</v>
      </c>
      <c r="H211" s="205">
        <f t="shared" ca="1" si="97"/>
        <v>0</v>
      </c>
      <c r="I211" s="232">
        <f t="shared" ca="1" si="97"/>
        <v>0</v>
      </c>
      <c r="J211" s="514">
        <f t="shared" ca="1" si="97"/>
        <v>0</v>
      </c>
      <c r="K211" s="230">
        <f t="shared" ca="1" si="97"/>
        <v>0</v>
      </c>
      <c r="L211" s="230">
        <f t="shared" ca="1" si="97"/>
        <v>0</v>
      </c>
      <c r="M211" s="205">
        <f t="shared" ca="1" si="97"/>
        <v>0</v>
      </c>
      <c r="N211" s="233">
        <f t="shared" ca="1" si="97"/>
        <v>0</v>
      </c>
    </row>
    <row r="212" spans="1:14" x14ac:dyDescent="0.25">
      <c r="A212" s="203">
        <f t="shared" si="72"/>
        <v>2038</v>
      </c>
      <c r="B212" s="205">
        <f t="shared" ref="B212:N212" ca="1" si="98">IF($C91="","",IF($C91&lt;0,0,IF(AND($C91=1,start_time&lt;1),-(SUM(B165)*output_kgyear*$E91*percnt_var*start_time+SUM(B165)*output_kgyear*$E91*(1-start_time)),IF($C91&lt;=start_time,-SUM(B165)*output_kgyear*$E91*percnt_var,-SUM(B165)*output_kgyear*$E91))))</f>
        <v>-28034238.672812264</v>
      </c>
      <c r="C212" s="205">
        <f t="shared" ca="1" si="98"/>
        <v>-239782414.51373872</v>
      </c>
      <c r="D212" s="205">
        <f t="shared" ca="1" si="98"/>
        <v>0</v>
      </c>
      <c r="E212" s="232">
        <f t="shared" ca="1" si="98"/>
        <v>0</v>
      </c>
      <c r="F212" s="204">
        <f t="shared" ca="1" si="98"/>
        <v>0</v>
      </c>
      <c r="G212" s="205">
        <f t="shared" ca="1" si="98"/>
        <v>0</v>
      </c>
      <c r="H212" s="205">
        <f t="shared" ca="1" si="98"/>
        <v>0</v>
      </c>
      <c r="I212" s="232">
        <f t="shared" ca="1" si="98"/>
        <v>0</v>
      </c>
      <c r="J212" s="514">
        <f t="shared" ca="1" si="98"/>
        <v>0</v>
      </c>
      <c r="K212" s="230">
        <f t="shared" ca="1" si="98"/>
        <v>0</v>
      </c>
      <c r="L212" s="230">
        <f t="shared" ca="1" si="98"/>
        <v>0</v>
      </c>
      <c r="M212" s="205">
        <f t="shared" ca="1" si="98"/>
        <v>0</v>
      </c>
      <c r="N212" s="233">
        <f t="shared" ca="1" si="98"/>
        <v>0</v>
      </c>
    </row>
    <row r="213" spans="1:14" x14ac:dyDescent="0.25">
      <c r="A213" s="203">
        <f t="shared" si="72"/>
        <v>2039</v>
      </c>
      <c r="B213" s="205">
        <f t="shared" ref="B213:N213" ca="1" si="99">IF($C92="","",IF($C92&lt;0,0,IF(AND($C92=1,start_time&lt;1),-(SUM(B166)*output_kgyear*$E92*percnt_var*start_time+SUM(B166)*output_kgyear*$E92*(1-start_time)),IF($C92&lt;=start_time,-SUM(B166)*output_kgyear*$E92*percnt_var,-SUM(B166)*output_kgyear*$E92))))</f>
        <v>-28588997.981865373</v>
      </c>
      <c r="C213" s="205">
        <f t="shared" ca="1" si="99"/>
        <v>-245266025.61229509</v>
      </c>
      <c r="D213" s="205">
        <f t="shared" ca="1" si="99"/>
        <v>0</v>
      </c>
      <c r="E213" s="232">
        <f t="shared" ca="1" si="99"/>
        <v>0</v>
      </c>
      <c r="F213" s="204">
        <f t="shared" ca="1" si="99"/>
        <v>0</v>
      </c>
      <c r="G213" s="205">
        <f t="shared" ca="1" si="99"/>
        <v>0</v>
      </c>
      <c r="H213" s="205">
        <f t="shared" ca="1" si="99"/>
        <v>0</v>
      </c>
      <c r="I213" s="232">
        <f t="shared" ca="1" si="99"/>
        <v>0</v>
      </c>
      <c r="J213" s="514">
        <f t="shared" ca="1" si="99"/>
        <v>0</v>
      </c>
      <c r="K213" s="230">
        <f t="shared" ca="1" si="99"/>
        <v>0</v>
      </c>
      <c r="L213" s="230">
        <f t="shared" ca="1" si="99"/>
        <v>0</v>
      </c>
      <c r="M213" s="205">
        <f t="shared" ca="1" si="99"/>
        <v>0</v>
      </c>
      <c r="N213" s="233">
        <f t="shared" ca="1" si="99"/>
        <v>0</v>
      </c>
    </row>
    <row r="214" spans="1:14" x14ac:dyDescent="0.25">
      <c r="A214" s="203">
        <f t="shared" si="72"/>
        <v>2040</v>
      </c>
      <c r="B214" s="205">
        <f t="shared" ref="B214:N214" ca="1" si="100">IF($C93="","",IF($C93&lt;0,0,IF(AND($C93=1,start_time&lt;1),-(SUM(B167)*output_kgyear*$E93*percnt_var*start_time+SUM(B167)*output_kgyear*$E93*(1-start_time)),IF($C93&lt;=start_time,-SUM(B167)*output_kgyear*$E93*percnt_var,-SUM(B167)*output_kgyear*$E93))))</f>
        <v>-29063881.620356426</v>
      </c>
      <c r="C214" s="205">
        <f t="shared" ca="1" si="100"/>
        <v>-248032867.98237509</v>
      </c>
      <c r="D214" s="205">
        <f t="shared" ca="1" si="100"/>
        <v>0</v>
      </c>
      <c r="E214" s="232">
        <f t="shared" ca="1" si="100"/>
        <v>0</v>
      </c>
      <c r="F214" s="204">
        <f t="shared" ca="1" si="100"/>
        <v>0</v>
      </c>
      <c r="G214" s="205">
        <f t="shared" ca="1" si="100"/>
        <v>0</v>
      </c>
      <c r="H214" s="205">
        <f t="shared" ca="1" si="100"/>
        <v>0</v>
      </c>
      <c r="I214" s="232">
        <f t="shared" ca="1" si="100"/>
        <v>0</v>
      </c>
      <c r="J214" s="514">
        <f t="shared" ca="1" si="100"/>
        <v>0</v>
      </c>
      <c r="K214" s="230">
        <f t="shared" ca="1" si="100"/>
        <v>0</v>
      </c>
      <c r="L214" s="230">
        <f t="shared" ca="1" si="100"/>
        <v>0</v>
      </c>
      <c r="M214" s="205">
        <f t="shared" ca="1" si="100"/>
        <v>0</v>
      </c>
      <c r="N214" s="233">
        <f t="shared" ca="1" si="100"/>
        <v>0</v>
      </c>
    </row>
    <row r="215" spans="1:14" x14ac:dyDescent="0.25">
      <c r="A215" s="203">
        <f t="shared" si="72"/>
        <v>2041</v>
      </c>
      <c r="B215" s="205">
        <f t="shared" ref="B215:N215" ca="1" si="101">IF($C94="","",IF($C94&lt;0,0,IF(AND($C94=1,start_time&lt;1),-(SUM(B168)*output_kgyear*$E94*percnt_var*start_time+SUM(B168)*output_kgyear*$E94*(1-start_time)),IF($C94&lt;=start_time,-SUM(B168)*output_kgyear*$E94*percnt_var,-SUM(B168)*output_kgyear*$E94))))</f>
        <v>-29528996.455185872</v>
      </c>
      <c r="C215" s="205">
        <f t="shared" ca="1" si="101"/>
        <v>-252949912.33565241</v>
      </c>
      <c r="D215" s="205">
        <f t="shared" ca="1" si="101"/>
        <v>0</v>
      </c>
      <c r="E215" s="232">
        <f t="shared" ca="1" si="101"/>
        <v>0</v>
      </c>
      <c r="F215" s="204">
        <f t="shared" ca="1" si="101"/>
        <v>0</v>
      </c>
      <c r="G215" s="205">
        <f t="shared" ca="1" si="101"/>
        <v>0</v>
      </c>
      <c r="H215" s="205">
        <f t="shared" ca="1" si="101"/>
        <v>0</v>
      </c>
      <c r="I215" s="232">
        <f t="shared" ca="1" si="101"/>
        <v>0</v>
      </c>
      <c r="J215" s="514">
        <f t="shared" ca="1" si="101"/>
        <v>0</v>
      </c>
      <c r="K215" s="230">
        <f t="shared" ca="1" si="101"/>
        <v>0</v>
      </c>
      <c r="L215" s="230">
        <f t="shared" ca="1" si="101"/>
        <v>0</v>
      </c>
      <c r="M215" s="205">
        <f t="shared" ca="1" si="101"/>
        <v>0</v>
      </c>
      <c r="N215" s="233">
        <f t="shared" ca="1" si="101"/>
        <v>0</v>
      </c>
    </row>
    <row r="216" spans="1:14" x14ac:dyDescent="0.25">
      <c r="A216" s="203">
        <f t="shared" si="72"/>
        <v>2042</v>
      </c>
      <c r="B216" s="205">
        <f t="shared" ref="B216:N216" ca="1" si="102">IF($C95="","",IF($C95&lt;0,0,IF(AND($C95=1,start_time&lt;1),-(SUM(B169)*output_kgyear*$E95*percnt_var*start_time+SUM(B169)*output_kgyear*$E95*(1-start_time)),IF($C95&lt;=start_time,-SUM(B169)*output_kgyear*$E95*percnt_var,-SUM(B169)*output_kgyear*$E95))))</f>
        <v>-30124947.225818079</v>
      </c>
      <c r="C216" s="205">
        <f t="shared" ca="1" si="102"/>
        <v>-260237759.56712928</v>
      </c>
      <c r="D216" s="205">
        <f t="shared" ca="1" si="102"/>
        <v>0</v>
      </c>
      <c r="E216" s="232">
        <f t="shared" ca="1" si="102"/>
        <v>0</v>
      </c>
      <c r="F216" s="204">
        <f t="shared" ca="1" si="102"/>
        <v>0</v>
      </c>
      <c r="G216" s="205">
        <f t="shared" ca="1" si="102"/>
        <v>0</v>
      </c>
      <c r="H216" s="205">
        <f t="shared" ca="1" si="102"/>
        <v>0</v>
      </c>
      <c r="I216" s="232">
        <f t="shared" ca="1" si="102"/>
        <v>0</v>
      </c>
      <c r="J216" s="514">
        <f t="shared" ca="1" si="102"/>
        <v>0</v>
      </c>
      <c r="K216" s="230">
        <f t="shared" ca="1" si="102"/>
        <v>0</v>
      </c>
      <c r="L216" s="230">
        <f t="shared" ca="1" si="102"/>
        <v>0</v>
      </c>
      <c r="M216" s="205">
        <f t="shared" ca="1" si="102"/>
        <v>0</v>
      </c>
      <c r="N216" s="233">
        <f t="shared" ca="1" si="102"/>
        <v>0</v>
      </c>
    </row>
    <row r="217" spans="1:14" x14ac:dyDescent="0.25">
      <c r="A217" s="203">
        <f t="shared" si="72"/>
        <v>2043</v>
      </c>
      <c r="B217" s="205">
        <f t="shared" ref="B217:N217" ca="1" si="103">IF($C96="","",IF($C96&lt;0,0,IF(AND($C96=1,start_time&lt;1),-(SUM(B170)*output_kgyear*$E96*percnt_var*start_time+SUM(B170)*output_kgyear*$E96*(1-start_time)),IF($C96&lt;=start_time,-SUM(B170)*output_kgyear*$E96*percnt_var,-SUM(B170)*output_kgyear*$E96))))</f>
        <v>-30791002.694053292</v>
      </c>
      <c r="C217" s="205">
        <f t="shared" ca="1" si="103"/>
        <v>-269053164.18069935</v>
      </c>
      <c r="D217" s="205">
        <f t="shared" ca="1" si="103"/>
        <v>0</v>
      </c>
      <c r="E217" s="232">
        <f t="shared" ca="1" si="103"/>
        <v>0</v>
      </c>
      <c r="F217" s="204">
        <f t="shared" ca="1" si="103"/>
        <v>0</v>
      </c>
      <c r="G217" s="205">
        <f t="shared" ca="1" si="103"/>
        <v>0</v>
      </c>
      <c r="H217" s="205">
        <f t="shared" ca="1" si="103"/>
        <v>0</v>
      </c>
      <c r="I217" s="232">
        <f t="shared" ca="1" si="103"/>
        <v>0</v>
      </c>
      <c r="J217" s="514">
        <f t="shared" ca="1" si="103"/>
        <v>0</v>
      </c>
      <c r="K217" s="230">
        <f t="shared" ca="1" si="103"/>
        <v>0</v>
      </c>
      <c r="L217" s="230">
        <f t="shared" ca="1" si="103"/>
        <v>0</v>
      </c>
      <c r="M217" s="205">
        <f t="shared" ca="1" si="103"/>
        <v>0</v>
      </c>
      <c r="N217" s="233">
        <f t="shared" ca="1" si="103"/>
        <v>0</v>
      </c>
    </row>
    <row r="218" spans="1:14" x14ac:dyDescent="0.25">
      <c r="A218" s="203">
        <f t="shared" si="72"/>
        <v>2044</v>
      </c>
      <c r="B218" s="205">
        <f t="shared" ref="B218:N218" ca="1" si="104">IF($C97="","",IF($C97&lt;0,0,IF(AND($C97=1,start_time&lt;1),-(SUM(B171)*output_kgyear*$E97*percnt_var*start_time+SUM(B171)*output_kgyear*$E97*(1-start_time)),IF($C97&lt;=start_time,-SUM(B171)*output_kgyear*$E97*percnt_var,-SUM(B171)*output_kgyear*$E97))))</f>
        <v>-31494252.716311827</v>
      </c>
      <c r="C218" s="205">
        <f t="shared" ca="1" si="104"/>
        <v>-276868653.67902279</v>
      </c>
      <c r="D218" s="205">
        <f t="shared" ca="1" si="104"/>
        <v>0</v>
      </c>
      <c r="E218" s="232">
        <f t="shared" ca="1" si="104"/>
        <v>0</v>
      </c>
      <c r="F218" s="204">
        <f t="shared" ca="1" si="104"/>
        <v>0</v>
      </c>
      <c r="G218" s="205">
        <f t="shared" ca="1" si="104"/>
        <v>0</v>
      </c>
      <c r="H218" s="205">
        <f t="shared" ca="1" si="104"/>
        <v>0</v>
      </c>
      <c r="I218" s="232">
        <f t="shared" ca="1" si="104"/>
        <v>0</v>
      </c>
      <c r="J218" s="514">
        <f t="shared" ca="1" si="104"/>
        <v>0</v>
      </c>
      <c r="K218" s="230">
        <f t="shared" ca="1" si="104"/>
        <v>0</v>
      </c>
      <c r="L218" s="230">
        <f t="shared" ca="1" si="104"/>
        <v>0</v>
      </c>
      <c r="M218" s="205">
        <f t="shared" ca="1" si="104"/>
        <v>0</v>
      </c>
      <c r="N218" s="233">
        <f t="shared" ca="1" si="104"/>
        <v>0</v>
      </c>
    </row>
    <row r="219" spans="1:14" x14ac:dyDescent="0.25">
      <c r="A219" s="203">
        <f t="shared" si="72"/>
        <v>2045</v>
      </c>
      <c r="B219" s="205">
        <f t="shared" ref="B219:N219" ca="1" si="105">IF($C98="","",IF($C98&lt;0,0,IF(AND($C98=1,start_time&lt;1),-(SUM(B172)*output_kgyear*$E98*percnt_var*start_time+SUM(B172)*output_kgyear*$E98*(1-start_time)),IF($C98&lt;=start_time,-SUM(B172)*output_kgyear*$E98*percnt_var,-SUM(B172)*output_kgyear*$E98))))</f>
        <v>-32209876.980451286</v>
      </c>
      <c r="C219" s="205">
        <f t="shared" ca="1" si="105"/>
        <v>-285751882.37459248</v>
      </c>
      <c r="D219" s="205">
        <f t="shared" ca="1" si="105"/>
        <v>0</v>
      </c>
      <c r="E219" s="232">
        <f t="shared" ca="1" si="105"/>
        <v>0</v>
      </c>
      <c r="F219" s="204">
        <f t="shared" ca="1" si="105"/>
        <v>0</v>
      </c>
      <c r="G219" s="205">
        <f t="shared" ca="1" si="105"/>
        <v>0</v>
      </c>
      <c r="H219" s="205">
        <f t="shared" ca="1" si="105"/>
        <v>0</v>
      </c>
      <c r="I219" s="232">
        <f t="shared" ca="1" si="105"/>
        <v>0</v>
      </c>
      <c r="J219" s="514">
        <f t="shared" ca="1" si="105"/>
        <v>0</v>
      </c>
      <c r="K219" s="230">
        <f t="shared" ca="1" si="105"/>
        <v>0</v>
      </c>
      <c r="L219" s="230">
        <f t="shared" ca="1" si="105"/>
        <v>0</v>
      </c>
      <c r="M219" s="205">
        <f t="shared" ca="1" si="105"/>
        <v>0</v>
      </c>
      <c r="N219" s="233">
        <f t="shared" ca="1" si="105"/>
        <v>0</v>
      </c>
    </row>
    <row r="220" spans="1:14" x14ac:dyDescent="0.25">
      <c r="A220" s="203">
        <f t="shared" si="72"/>
        <v>2046</v>
      </c>
      <c r="B220" s="205">
        <f t="shared" ref="B220:N220" ca="1" si="106">IF($C99="","",IF($C99&lt;0,0,IF(AND($C99=1,start_time&lt;1),-(SUM(B173)*output_kgyear*$E99*percnt_var*start_time+SUM(B173)*output_kgyear*$E99*(1-start_time)),IF($C99&lt;=start_time,-SUM(B173)*output_kgyear*$E99*percnt_var,-SUM(B173)*output_kgyear*$E99))))</f>
        <v>-32943321.516498692</v>
      </c>
      <c r="C220" s="205">
        <f t="shared" ca="1" si="106"/>
        <v>-294003244.20703685</v>
      </c>
      <c r="D220" s="205">
        <f t="shared" ca="1" si="106"/>
        <v>0</v>
      </c>
      <c r="E220" s="232">
        <f t="shared" ca="1" si="106"/>
        <v>0</v>
      </c>
      <c r="F220" s="204">
        <f t="shared" ca="1" si="106"/>
        <v>0</v>
      </c>
      <c r="G220" s="205">
        <f t="shared" ca="1" si="106"/>
        <v>0</v>
      </c>
      <c r="H220" s="205">
        <f t="shared" ca="1" si="106"/>
        <v>0</v>
      </c>
      <c r="I220" s="232">
        <f t="shared" ca="1" si="106"/>
        <v>0</v>
      </c>
      <c r="J220" s="514">
        <f t="shared" ca="1" si="106"/>
        <v>0</v>
      </c>
      <c r="K220" s="230">
        <f t="shared" ca="1" si="106"/>
        <v>0</v>
      </c>
      <c r="L220" s="230">
        <f t="shared" ca="1" si="106"/>
        <v>0</v>
      </c>
      <c r="M220" s="205">
        <f t="shared" ca="1" si="106"/>
        <v>0</v>
      </c>
      <c r="N220" s="233">
        <f t="shared" ca="1" si="106"/>
        <v>0</v>
      </c>
    </row>
    <row r="221" spans="1:14" x14ac:dyDescent="0.25">
      <c r="A221" s="203">
        <f t="shared" si="72"/>
        <v>2047</v>
      </c>
      <c r="B221" s="205">
        <f t="shared" ref="B221:N221" ca="1" si="107">IF($C100="","",IF($C100&lt;0,0,IF(AND($C100=1,start_time&lt;1),-(SUM(B174)*output_kgyear*$E100*percnt_var*start_time+SUM(B174)*output_kgyear*$E100*(1-start_time)),IF($C100&lt;=start_time,-SUM(B174)*output_kgyear*$E100*percnt_var,-SUM(B174)*output_kgyear*$E100))))</f>
        <v>-33680307.154344894</v>
      </c>
      <c r="C221" s="205">
        <f t="shared" ca="1" si="107"/>
        <v>-302743525.32272297</v>
      </c>
      <c r="D221" s="205">
        <f t="shared" ca="1" si="107"/>
        <v>0</v>
      </c>
      <c r="E221" s="232">
        <f t="shared" ca="1" si="107"/>
        <v>0</v>
      </c>
      <c r="F221" s="204">
        <f t="shared" ca="1" si="107"/>
        <v>0</v>
      </c>
      <c r="G221" s="205">
        <f t="shared" ca="1" si="107"/>
        <v>0</v>
      </c>
      <c r="H221" s="205">
        <f t="shared" ca="1" si="107"/>
        <v>0</v>
      </c>
      <c r="I221" s="232">
        <f t="shared" ca="1" si="107"/>
        <v>0</v>
      </c>
      <c r="J221" s="514">
        <f t="shared" ca="1" si="107"/>
        <v>0</v>
      </c>
      <c r="K221" s="230">
        <f t="shared" ca="1" si="107"/>
        <v>0</v>
      </c>
      <c r="L221" s="230">
        <f t="shared" ca="1" si="107"/>
        <v>0</v>
      </c>
      <c r="M221" s="205">
        <f t="shared" ca="1" si="107"/>
        <v>0</v>
      </c>
      <c r="N221" s="233">
        <f t="shared" ca="1" si="107"/>
        <v>0</v>
      </c>
    </row>
    <row r="222" spans="1:14" x14ac:dyDescent="0.25">
      <c r="A222" s="203">
        <f t="shared" si="72"/>
        <v>2048</v>
      </c>
      <c r="B222" s="205">
        <f t="shared" ref="B222:N222" ca="1" si="108">IF($C101="","",IF($C101&lt;0,0,IF(AND($C101=1,start_time&lt;1),-(SUM(B175)*output_kgyear*$E101*percnt_var*start_time+SUM(B175)*output_kgyear*$E101*(1-start_time)),IF($C101&lt;=start_time,-SUM(B175)*output_kgyear*$E101*percnt_var,-SUM(B175)*output_kgyear*$E101))))</f>
        <v>-34447536.140078411</v>
      </c>
      <c r="C222" s="205">
        <f t="shared" ca="1" si="108"/>
        <v>-314150239.6492123</v>
      </c>
      <c r="D222" s="205">
        <f t="shared" ca="1" si="108"/>
        <v>0</v>
      </c>
      <c r="E222" s="232">
        <f t="shared" ca="1" si="108"/>
        <v>0</v>
      </c>
      <c r="F222" s="204">
        <f t="shared" ca="1" si="108"/>
        <v>0</v>
      </c>
      <c r="G222" s="205">
        <f t="shared" ca="1" si="108"/>
        <v>0</v>
      </c>
      <c r="H222" s="205">
        <f t="shared" ca="1" si="108"/>
        <v>0</v>
      </c>
      <c r="I222" s="232">
        <f t="shared" ca="1" si="108"/>
        <v>0</v>
      </c>
      <c r="J222" s="514">
        <f t="shared" ca="1" si="108"/>
        <v>0</v>
      </c>
      <c r="K222" s="230">
        <f t="shared" ca="1" si="108"/>
        <v>0</v>
      </c>
      <c r="L222" s="230">
        <f t="shared" ca="1" si="108"/>
        <v>0</v>
      </c>
      <c r="M222" s="205">
        <f t="shared" ca="1" si="108"/>
        <v>0</v>
      </c>
      <c r="N222" s="233">
        <f t="shared" ca="1" si="108"/>
        <v>0</v>
      </c>
    </row>
    <row r="223" spans="1:14" x14ac:dyDescent="0.25">
      <c r="A223" s="203">
        <f t="shared" si="72"/>
        <v>2049</v>
      </c>
      <c r="B223" s="205">
        <f t="shared" ref="B223:N223" ca="1" si="109">IF($C102="","",IF($C102&lt;0,0,IF(AND($C102=1,start_time&lt;1),-(SUM(B176)*output_kgyear*$E102*percnt_var*start_time+SUM(B176)*output_kgyear*$E102*(1-start_time)),IF($C102&lt;=start_time,-SUM(B176)*output_kgyear*$E102*percnt_var,-SUM(B176)*output_kgyear*$E102))))</f>
        <v>-35214429.858780012</v>
      </c>
      <c r="C223" s="205">
        <f t="shared" ca="1" si="109"/>
        <v>-321993895.96493572</v>
      </c>
      <c r="D223" s="205">
        <f t="shared" ca="1" si="109"/>
        <v>0</v>
      </c>
      <c r="E223" s="232">
        <f t="shared" ca="1" si="109"/>
        <v>0</v>
      </c>
      <c r="F223" s="204">
        <f t="shared" ca="1" si="109"/>
        <v>0</v>
      </c>
      <c r="G223" s="205">
        <f t="shared" ca="1" si="109"/>
        <v>0</v>
      </c>
      <c r="H223" s="205">
        <f t="shared" ca="1" si="109"/>
        <v>0</v>
      </c>
      <c r="I223" s="232">
        <f t="shared" ca="1" si="109"/>
        <v>0</v>
      </c>
      <c r="J223" s="514">
        <f t="shared" ca="1" si="109"/>
        <v>0</v>
      </c>
      <c r="K223" s="230">
        <f t="shared" ca="1" si="109"/>
        <v>0</v>
      </c>
      <c r="L223" s="230">
        <f t="shared" ca="1" si="109"/>
        <v>0</v>
      </c>
      <c r="M223" s="205">
        <f t="shared" ca="1" si="109"/>
        <v>0</v>
      </c>
      <c r="N223" s="233">
        <f t="shared" ca="1" si="109"/>
        <v>0</v>
      </c>
    </row>
    <row r="224" spans="1:14" x14ac:dyDescent="0.25">
      <c r="A224" s="203">
        <f t="shared" si="72"/>
        <v>2050</v>
      </c>
      <c r="B224" s="205">
        <f t="shared" ref="B224:N224" ca="1" si="110">IF($C103="","",IF($C103&lt;0,0,IF(AND($C103=1,start_time&lt;1),-(SUM(B177)*output_kgyear*$E103*percnt_var*start_time+SUM(B177)*output_kgyear*$E103*(1-start_time)),IF($C103&lt;=start_time,-SUM(B177)*output_kgyear*$E103*percnt_var,-SUM(B177)*output_kgyear*$E103))))</f>
        <v>-35994534.250888146</v>
      </c>
      <c r="C224" s="205">
        <f t="shared" ca="1" si="110"/>
        <v>-332266098.1509971</v>
      </c>
      <c r="D224" s="205">
        <f t="shared" ca="1" si="110"/>
        <v>0</v>
      </c>
      <c r="E224" s="232">
        <f t="shared" ca="1" si="110"/>
        <v>0</v>
      </c>
      <c r="F224" s="204">
        <f t="shared" ca="1" si="110"/>
        <v>0</v>
      </c>
      <c r="G224" s="205">
        <f t="shared" ca="1" si="110"/>
        <v>0</v>
      </c>
      <c r="H224" s="205">
        <f t="shared" ca="1" si="110"/>
        <v>0</v>
      </c>
      <c r="I224" s="232">
        <f t="shared" ca="1" si="110"/>
        <v>0</v>
      </c>
      <c r="J224" s="514">
        <f t="shared" ca="1" si="110"/>
        <v>0</v>
      </c>
      <c r="K224" s="230">
        <f t="shared" ca="1" si="110"/>
        <v>0</v>
      </c>
      <c r="L224" s="230">
        <f t="shared" ca="1" si="110"/>
        <v>0</v>
      </c>
      <c r="M224" s="205">
        <f t="shared" ca="1" si="110"/>
        <v>0</v>
      </c>
      <c r="N224" s="233">
        <f t="shared" ca="1" si="110"/>
        <v>0</v>
      </c>
    </row>
    <row r="225" spans="1:14" x14ac:dyDescent="0.25">
      <c r="A225" s="203">
        <f t="shared" si="72"/>
        <v>2051</v>
      </c>
      <c r="B225" s="205">
        <f t="shared" ref="B225:N225" ca="1" si="111">IF($C104="","",IF($C104&lt;0,0,IF(AND($C104=1,start_time&lt;1),-(SUM(B178)*output_kgyear*$E104*percnt_var*start_time+SUM(B178)*output_kgyear*$E104*(1-start_time)),IF($C104&lt;=start_time,-SUM(B178)*output_kgyear*$E104*percnt_var,-SUM(B178)*output_kgyear*$E104))))</f>
        <v>-36711696.102352969</v>
      </c>
      <c r="C225" s="205">
        <f t="shared" ca="1" si="111"/>
        <v>-340461431.10343051</v>
      </c>
      <c r="D225" s="205">
        <f t="shared" ca="1" si="111"/>
        <v>0</v>
      </c>
      <c r="E225" s="232">
        <f t="shared" ca="1" si="111"/>
        <v>0</v>
      </c>
      <c r="F225" s="204">
        <f t="shared" ca="1" si="111"/>
        <v>0</v>
      </c>
      <c r="G225" s="205">
        <f t="shared" ca="1" si="111"/>
        <v>0</v>
      </c>
      <c r="H225" s="205">
        <f t="shared" ca="1" si="111"/>
        <v>0</v>
      </c>
      <c r="I225" s="232">
        <f t="shared" ca="1" si="111"/>
        <v>0</v>
      </c>
      <c r="J225" s="514">
        <f t="shared" ca="1" si="111"/>
        <v>0</v>
      </c>
      <c r="K225" s="230">
        <f t="shared" ca="1" si="111"/>
        <v>0</v>
      </c>
      <c r="L225" s="230">
        <f t="shared" ca="1" si="111"/>
        <v>0</v>
      </c>
      <c r="M225" s="205">
        <f t="shared" ca="1" si="111"/>
        <v>0</v>
      </c>
      <c r="N225" s="233">
        <f t="shared" ca="1" si="111"/>
        <v>0</v>
      </c>
    </row>
    <row r="226" spans="1:14" x14ac:dyDescent="0.25">
      <c r="A226" s="203">
        <f t="shared" si="72"/>
        <v>2052</v>
      </c>
      <c r="B226" s="205">
        <f t="shared" ref="B226:N226" ca="1" si="112">IF($C105="","",IF($C105&lt;0,0,IF(AND($C105=1,start_time&lt;1),-(SUM(B179)*output_kgyear*$E105*percnt_var*start_time+SUM(B179)*output_kgyear*$E105*(1-start_time)),IF($C105&lt;=start_time,-SUM(B179)*output_kgyear*$E105*percnt_var,-SUM(B179)*output_kgyear*$E105))))</f>
        <v>-37443146.821055569</v>
      </c>
      <c r="C226" s="205">
        <f t="shared" ca="1" si="112"/>
        <v>-348858901.68764436</v>
      </c>
      <c r="D226" s="205">
        <f t="shared" ca="1" si="112"/>
        <v>0</v>
      </c>
      <c r="E226" s="232">
        <f t="shared" ca="1" si="112"/>
        <v>0</v>
      </c>
      <c r="F226" s="204">
        <f t="shared" ca="1" si="112"/>
        <v>0</v>
      </c>
      <c r="G226" s="205">
        <f t="shared" ca="1" si="112"/>
        <v>0</v>
      </c>
      <c r="H226" s="205">
        <f t="shared" ca="1" si="112"/>
        <v>0</v>
      </c>
      <c r="I226" s="232">
        <f t="shared" ca="1" si="112"/>
        <v>0</v>
      </c>
      <c r="J226" s="514">
        <f t="shared" ca="1" si="112"/>
        <v>0</v>
      </c>
      <c r="K226" s="230">
        <f t="shared" ca="1" si="112"/>
        <v>0</v>
      </c>
      <c r="L226" s="230">
        <f t="shared" ca="1" si="112"/>
        <v>0</v>
      </c>
      <c r="M226" s="205">
        <f t="shared" ca="1" si="112"/>
        <v>0</v>
      </c>
      <c r="N226" s="233">
        <f t="shared" ca="1" si="112"/>
        <v>0</v>
      </c>
    </row>
    <row r="227" spans="1:14" x14ac:dyDescent="0.25">
      <c r="A227" s="203">
        <f t="shared" si="72"/>
        <v>2053</v>
      </c>
      <c r="B227" s="205">
        <f t="shared" ref="B227:N227" ca="1" si="113">IF($C106="","",IF($C106&lt;0,0,IF(AND($C106=1,start_time&lt;1),-(SUM(B180)*output_kgyear*$E106*percnt_var*start_time+SUM(B180)*output_kgyear*$E106*(1-start_time)),IF($C106&lt;=start_time,-SUM(B180)*output_kgyear*$E106*percnt_var,-SUM(B180)*output_kgyear*$E106))))</f>
        <v>-38189171.101066791</v>
      </c>
      <c r="C227" s="205">
        <f t="shared" ca="1" si="113"/>
        <v>-357463495.62202537</v>
      </c>
      <c r="D227" s="205">
        <f t="shared" ca="1" si="113"/>
        <v>0</v>
      </c>
      <c r="E227" s="232">
        <f t="shared" ca="1" si="113"/>
        <v>0</v>
      </c>
      <c r="F227" s="204">
        <f t="shared" ca="1" si="113"/>
        <v>0</v>
      </c>
      <c r="G227" s="205">
        <f t="shared" ca="1" si="113"/>
        <v>0</v>
      </c>
      <c r="H227" s="205">
        <f t="shared" ca="1" si="113"/>
        <v>0</v>
      </c>
      <c r="I227" s="232">
        <f t="shared" ca="1" si="113"/>
        <v>0</v>
      </c>
      <c r="J227" s="514">
        <f t="shared" ca="1" si="113"/>
        <v>0</v>
      </c>
      <c r="K227" s="230">
        <f t="shared" ca="1" si="113"/>
        <v>0</v>
      </c>
      <c r="L227" s="230">
        <f t="shared" ca="1" si="113"/>
        <v>0</v>
      </c>
      <c r="M227" s="205">
        <f t="shared" ca="1" si="113"/>
        <v>0</v>
      </c>
      <c r="N227" s="233">
        <f t="shared" ca="1" si="113"/>
        <v>0</v>
      </c>
    </row>
    <row r="228" spans="1:14" x14ac:dyDescent="0.25">
      <c r="A228" s="203">
        <f t="shared" si="72"/>
        <v>2054</v>
      </c>
      <c r="B228" s="205">
        <f t="shared" ref="B228:N228" ca="1" si="114">IF($C107="","",IF($C107&lt;0,0,IF(AND($C107=1,start_time&lt;1),-(SUM(B181)*output_kgyear*$E107*percnt_var*start_time+SUM(B181)*output_kgyear*$E107*(1-start_time)),IF($C107&lt;=start_time,-SUM(B181)*output_kgyear*$E107*percnt_var,-SUM(B181)*output_kgyear*$E107))))</f>
        <v>-38950059.308755502</v>
      </c>
      <c r="C228" s="205">
        <f t="shared" ca="1" si="114"/>
        <v>-366280321.59754777</v>
      </c>
      <c r="D228" s="205">
        <f t="shared" ca="1" si="114"/>
        <v>0</v>
      </c>
      <c r="E228" s="232">
        <f t="shared" ca="1" si="114"/>
        <v>0</v>
      </c>
      <c r="F228" s="204">
        <f t="shared" ca="1" si="114"/>
        <v>0</v>
      </c>
      <c r="G228" s="205">
        <f t="shared" ca="1" si="114"/>
        <v>0</v>
      </c>
      <c r="H228" s="205">
        <f t="shared" ca="1" si="114"/>
        <v>0</v>
      </c>
      <c r="I228" s="232">
        <f t="shared" ca="1" si="114"/>
        <v>0</v>
      </c>
      <c r="J228" s="514">
        <f t="shared" ca="1" si="114"/>
        <v>0</v>
      </c>
      <c r="K228" s="230">
        <f t="shared" ca="1" si="114"/>
        <v>0</v>
      </c>
      <c r="L228" s="230">
        <f t="shared" ca="1" si="114"/>
        <v>0</v>
      </c>
      <c r="M228" s="205">
        <f t="shared" ca="1" si="114"/>
        <v>0</v>
      </c>
      <c r="N228" s="233">
        <f t="shared" ca="1" si="114"/>
        <v>0</v>
      </c>
    </row>
    <row r="229" spans="1:14" x14ac:dyDescent="0.25">
      <c r="A229" s="203" t="str">
        <f t="shared" si="72"/>
        <v/>
      </c>
      <c r="B229" s="205" t="str">
        <f t="shared" ref="B229:N229" si="115">IF($C108="","",IF($C108&lt;0,0,IF(AND($C108=1,start_time&lt;1),-(SUM(B182)*output_kgyear*$E108*percnt_var*start_time+SUM(B182)*output_kgyear*$E108*(1-start_time)),IF($C108&lt;=start_time,-SUM(B182)*output_kgyear*$E108*percnt_var,-SUM(B182)*output_kgyear*$E108))))</f>
        <v/>
      </c>
      <c r="C229" s="205" t="str">
        <f t="shared" si="115"/>
        <v/>
      </c>
      <c r="D229" s="205" t="str">
        <f t="shared" si="115"/>
        <v/>
      </c>
      <c r="E229" s="232" t="str">
        <f t="shared" si="115"/>
        <v/>
      </c>
      <c r="F229" s="204" t="str">
        <f t="shared" si="115"/>
        <v/>
      </c>
      <c r="G229" s="205" t="str">
        <f t="shared" si="115"/>
        <v/>
      </c>
      <c r="H229" s="205" t="str">
        <f t="shared" si="115"/>
        <v/>
      </c>
      <c r="I229" s="232" t="str">
        <f t="shared" si="115"/>
        <v/>
      </c>
      <c r="J229" s="514" t="str">
        <f t="shared" si="115"/>
        <v/>
      </c>
      <c r="K229" s="230" t="str">
        <f t="shared" si="115"/>
        <v/>
      </c>
      <c r="L229" s="230" t="str">
        <f t="shared" si="115"/>
        <v/>
      </c>
      <c r="M229" s="205" t="str">
        <f t="shared" si="115"/>
        <v/>
      </c>
      <c r="N229" s="233" t="str">
        <f t="shared" si="115"/>
        <v/>
      </c>
    </row>
    <row r="231" spans="1:14" x14ac:dyDescent="0.25">
      <c r="A231" s="205" t="s">
        <v>1161</v>
      </c>
      <c r="B231" s="205">
        <f ca="1">+B186+NPV($X$59,B187:B228)</f>
        <v>-166334131.66998178</v>
      </c>
      <c r="C231" s="205">
        <f t="shared" ref="C231:N231" ca="1" si="116">+C186+NPV($X$59,C187:C228)</f>
        <v>-1303411648.8227274</v>
      </c>
      <c r="D231" s="205">
        <f t="shared" ca="1" si="116"/>
        <v>0</v>
      </c>
      <c r="E231" s="205">
        <f t="shared" ca="1" si="116"/>
        <v>0</v>
      </c>
      <c r="F231" s="205">
        <f t="shared" ca="1" si="116"/>
        <v>0</v>
      </c>
      <c r="G231" s="205">
        <f t="shared" ca="1" si="116"/>
        <v>0</v>
      </c>
      <c r="H231" s="205">
        <f t="shared" ca="1" si="116"/>
        <v>0</v>
      </c>
      <c r="I231" s="205">
        <f t="shared" ca="1" si="116"/>
        <v>0</v>
      </c>
      <c r="J231" s="205">
        <f t="shared" ca="1" si="116"/>
        <v>0</v>
      </c>
      <c r="K231" s="205">
        <f t="shared" ca="1" si="116"/>
        <v>0</v>
      </c>
      <c r="L231" s="205">
        <f t="shared" ca="1" si="116"/>
        <v>0</v>
      </c>
      <c r="M231" s="205">
        <f t="shared" ca="1" si="116"/>
        <v>0</v>
      </c>
      <c r="N231" s="205">
        <f t="shared" ca="1" si="116"/>
        <v>0</v>
      </c>
    </row>
    <row r="232" spans="1:14" x14ac:dyDescent="0.25">
      <c r="A232" s="205" t="s">
        <v>1160</v>
      </c>
      <c r="B232" s="205">
        <f ca="1">-B231/$AE$116*(1+inflation_rate)^construct/INFLATION_FACTOR</f>
        <v>0.1105601991063203</v>
      </c>
      <c r="C232" s="205">
        <f t="shared" ref="C232:N232" ca="1" si="117">-C231/$AE$116*(1+inflation_rate)^construct/INFLATION_FACTOR</f>
        <v>0.86636128114254374</v>
      </c>
      <c r="D232" s="205">
        <f t="shared" ca="1" si="117"/>
        <v>0</v>
      </c>
      <c r="E232" s="205">
        <f t="shared" ca="1" si="117"/>
        <v>0</v>
      </c>
      <c r="F232" s="205">
        <f ca="1">-F231/$AE$116*(1+inflation_rate)^construct/INFLATION_FACTOR</f>
        <v>0</v>
      </c>
      <c r="G232" s="205">
        <f t="shared" ca="1" si="117"/>
        <v>0</v>
      </c>
      <c r="H232" s="205">
        <f t="shared" ca="1" si="117"/>
        <v>0</v>
      </c>
      <c r="I232" s="205">
        <f t="shared" ca="1" si="117"/>
        <v>0</v>
      </c>
      <c r="J232" s="205">
        <f t="shared" ca="1" si="117"/>
        <v>0</v>
      </c>
      <c r="K232" s="205">
        <f t="shared" ca="1" si="117"/>
        <v>0</v>
      </c>
      <c r="L232" s="205">
        <f t="shared" ca="1" si="117"/>
        <v>0</v>
      </c>
      <c r="M232" s="205">
        <f t="shared" ca="1" si="117"/>
        <v>0</v>
      </c>
      <c r="N232" s="205">
        <f t="shared" ca="1" si="117"/>
        <v>0</v>
      </c>
    </row>
    <row r="233" spans="1:14" x14ac:dyDescent="0.25">
      <c r="A233" s="205" t="s">
        <v>1162</v>
      </c>
      <c r="B233" s="205">
        <f ca="1">IF(B132&gt;0,B232/B133*(1+inflation_rate)^construct,"")</f>
        <v>7.7853020431673095E-2</v>
      </c>
      <c r="C233" s="205">
        <f t="shared" ref="C233:N233" ca="1" si="118">IF(C132&gt;0,C232/C133*(1+inflation_rate)^construct,"")</f>
        <v>5.4636424194057636</v>
      </c>
      <c r="D233" s="205" t="str">
        <f t="shared" si="118"/>
        <v/>
      </c>
      <c r="E233" s="205" t="str">
        <f t="shared" si="118"/>
        <v/>
      </c>
      <c r="F233" s="205" t="str">
        <f t="shared" si="118"/>
        <v/>
      </c>
      <c r="G233" s="205" t="str">
        <f t="shared" si="118"/>
        <v/>
      </c>
      <c r="H233" s="205" t="str">
        <f t="shared" si="118"/>
        <v/>
      </c>
      <c r="I233" s="205" t="str">
        <f t="shared" si="118"/>
        <v/>
      </c>
      <c r="J233" s="205" t="str">
        <f t="shared" si="118"/>
        <v/>
      </c>
      <c r="K233" s="205" t="str">
        <f t="shared" si="118"/>
        <v/>
      </c>
      <c r="L233" s="205" t="str">
        <f t="shared" si="118"/>
        <v/>
      </c>
      <c r="M233" s="205" t="str">
        <f t="shared" si="118"/>
        <v/>
      </c>
      <c r="N233" s="205" t="str">
        <f t="shared" si="118"/>
        <v/>
      </c>
    </row>
    <row r="279" spans="1:5" x14ac:dyDescent="0.25">
      <c r="A279" s="51" t="s">
        <v>190</v>
      </c>
    </row>
    <row r="280" spans="1:5" x14ac:dyDescent="0.25">
      <c r="A280" s="51" t="s">
        <v>1025</v>
      </c>
      <c r="B280" s="51" t="s">
        <v>622</v>
      </c>
      <c r="C280" s="51" t="s">
        <v>191</v>
      </c>
      <c r="D280" s="51" t="s">
        <v>192</v>
      </c>
      <c r="E280" s="51" t="s">
        <v>193</v>
      </c>
    </row>
    <row r="281" spans="1:5" x14ac:dyDescent="0.25">
      <c r="A281" s="51" t="str">
        <f>'HyARC Physical Property Data'!A76</f>
        <v>Commercial Electricity</v>
      </c>
      <c r="B281" s="51">
        <f ca="1">VLOOKUP(A281,MASTER_PROPERTY_TABLE,9,FALSE)</f>
        <v>3.5999999999999995E-3</v>
      </c>
      <c r="C281" s="51">
        <f ca="1">MATCH(startup_year,Feedstock_Year,0)</f>
        <v>19</v>
      </c>
      <c r="D281" s="51">
        <f ca="1">VLOOKUP(A281,FEEDPRICETABLE,C281,FALSE)</f>
        <v>29.932211922183079</v>
      </c>
      <c r="E281" s="51">
        <f ca="1">B281*D281</f>
        <v>0.10775596291985907</v>
      </c>
    </row>
    <row r="282" spans="1:5" x14ac:dyDescent="0.25">
      <c r="A282" s="51" t="str">
        <f>'HyARC Physical Property Data'!A77</f>
        <v>Industrial Electricity</v>
      </c>
      <c r="B282" s="51">
        <f ca="1">VLOOKUP(A282,MASTER_PROPERTY_TABLE,9,FALSE)</f>
        <v>3.5999999999999995E-3</v>
      </c>
      <c r="C282" s="51">
        <f ca="1">MATCH(startup_year,Feedstock_Year,0)+2</f>
        <v>21</v>
      </c>
      <c r="D282" s="51">
        <f ca="1">VLOOKUP(A282,FEEDPRICETABLE,C282,FALSE)</f>
        <v>19.537493744407882</v>
      </c>
      <c r="E282" s="51">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workbookViewId="0"/>
  </sheetViews>
  <sheetFormatPr defaultRowHeight="13.2" x14ac:dyDescent="0.25"/>
  <cols>
    <col min="1" max="1" width="30.33203125" customWidth="1"/>
    <col min="2" max="2" width="18.6640625" customWidth="1"/>
    <col min="3" max="3" width="11.33203125" customWidth="1"/>
    <col min="5" max="5" width="12.6640625" customWidth="1"/>
    <col min="6" max="6" width="12.44140625" customWidth="1"/>
    <col min="7" max="7" width="11.6640625" customWidth="1"/>
  </cols>
  <sheetData>
    <row r="3" spans="1:104" ht="13.8" thickBot="1" x14ac:dyDescent="0.3">
      <c r="BW3" s="1075" t="s">
        <v>1190</v>
      </c>
      <c r="BX3" s="1075"/>
      <c r="BY3" s="1075"/>
      <c r="BZ3" s="1075"/>
      <c r="CA3" s="1075"/>
      <c r="CB3" s="1075"/>
      <c r="CC3" s="1075"/>
      <c r="CD3" s="1075"/>
    </row>
    <row r="4" spans="1:104" ht="13.8" thickTop="1" x14ac:dyDescent="0.25">
      <c r="A4" s="720" t="s">
        <v>1088</v>
      </c>
      <c r="B4" s="721" t="str">
        <f>"Prices are in $(" &amp; ref_year&amp;")/GJ LHV"</f>
        <v>Prices are in $(2016)/GJ LHV</v>
      </c>
      <c r="C4" s="722"/>
      <c r="D4" s="722"/>
      <c r="E4" s="722"/>
      <c r="F4" s="722"/>
      <c r="G4" s="722"/>
      <c r="H4" s="722"/>
      <c r="I4" s="722"/>
      <c r="J4" s="722"/>
      <c r="K4" s="722"/>
      <c r="L4" s="722"/>
      <c r="M4" s="722"/>
      <c r="N4" s="722"/>
      <c r="O4" s="722"/>
      <c r="P4" s="722"/>
      <c r="Q4" s="722"/>
      <c r="R4" s="722"/>
      <c r="S4" s="722"/>
      <c r="T4" s="722"/>
      <c r="U4" s="722"/>
      <c r="V4" s="722"/>
      <c r="W4" s="722"/>
      <c r="X4" s="722"/>
      <c r="Y4" s="722"/>
      <c r="Z4" s="722"/>
      <c r="AA4" s="722"/>
      <c r="AB4" s="722"/>
      <c r="AC4" s="722"/>
      <c r="AD4" s="722"/>
      <c r="AE4" s="722"/>
      <c r="AF4" s="722"/>
      <c r="AG4" s="722"/>
      <c r="AH4" s="735" t="s">
        <v>757</v>
      </c>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6"/>
      <c r="BJ4" s="736"/>
      <c r="BK4" s="736"/>
      <c r="BL4" s="736"/>
      <c r="BM4" s="736"/>
      <c r="BN4" s="736"/>
      <c r="BO4" s="736"/>
      <c r="BP4" s="736"/>
      <c r="BQ4" s="736"/>
      <c r="BR4" s="736"/>
      <c r="BS4" s="736"/>
      <c r="BT4" s="736"/>
      <c r="BU4" s="736"/>
      <c r="BV4" s="737"/>
    </row>
    <row r="5" spans="1:104" ht="40.200000000000003" thickBot="1" x14ac:dyDescent="0.3">
      <c r="A5" s="740" t="s">
        <v>1057</v>
      </c>
      <c r="B5" s="741" t="s">
        <v>663</v>
      </c>
      <c r="C5" s="741" t="s">
        <v>664</v>
      </c>
      <c r="D5" s="741" t="s">
        <v>675</v>
      </c>
      <c r="E5" s="741" t="s">
        <v>676</v>
      </c>
      <c r="F5" s="742" t="s">
        <v>665</v>
      </c>
      <c r="G5" s="742" t="s">
        <v>677</v>
      </c>
      <c r="H5" s="742">
        <v>2004</v>
      </c>
      <c r="I5" s="742">
        <v>2005</v>
      </c>
      <c r="J5" s="742">
        <v>2006</v>
      </c>
      <c r="K5" s="742">
        <v>2007</v>
      </c>
      <c r="L5" s="742">
        <v>2008</v>
      </c>
      <c r="M5" s="742">
        <v>2009</v>
      </c>
      <c r="N5" s="742">
        <v>2010</v>
      </c>
      <c r="O5" s="742">
        <v>2011</v>
      </c>
      <c r="P5" s="742">
        <v>2012</v>
      </c>
      <c r="Q5" s="742">
        <v>2013</v>
      </c>
      <c r="R5" s="742">
        <v>2014</v>
      </c>
      <c r="S5" s="742">
        <v>2015</v>
      </c>
      <c r="T5" s="742">
        <v>2016</v>
      </c>
      <c r="U5" s="742">
        <v>2017</v>
      </c>
      <c r="V5" s="742">
        <v>2018</v>
      </c>
      <c r="W5" s="742">
        <v>2019</v>
      </c>
      <c r="X5" s="742">
        <v>2020</v>
      </c>
      <c r="Y5" s="742">
        <v>2021</v>
      </c>
      <c r="Z5" s="742">
        <v>2022</v>
      </c>
      <c r="AA5" s="742">
        <v>2023</v>
      </c>
      <c r="AB5" s="742">
        <v>2024</v>
      </c>
      <c r="AC5" s="742">
        <v>2025</v>
      </c>
      <c r="AD5" s="742">
        <v>2026</v>
      </c>
      <c r="AE5" s="742">
        <v>2027</v>
      </c>
      <c r="AF5" s="742">
        <v>2028</v>
      </c>
      <c r="AG5" s="742">
        <v>2029</v>
      </c>
      <c r="AH5" s="742">
        <v>2030</v>
      </c>
      <c r="AI5" s="742">
        <v>2031</v>
      </c>
      <c r="AJ5" s="742">
        <v>2032</v>
      </c>
      <c r="AK5" s="742">
        <v>2033</v>
      </c>
      <c r="AL5" s="742">
        <v>2034</v>
      </c>
      <c r="AM5" s="742">
        <v>2035</v>
      </c>
      <c r="AN5" s="742">
        <v>2036</v>
      </c>
      <c r="AO5" s="742">
        <v>2037</v>
      </c>
      <c r="AP5" s="742">
        <v>2038</v>
      </c>
      <c r="AQ5" s="742">
        <v>2039</v>
      </c>
      <c r="AR5" s="742">
        <v>2040</v>
      </c>
      <c r="AS5" s="742">
        <v>2041</v>
      </c>
      <c r="AT5" s="742">
        <v>2042</v>
      </c>
      <c r="AU5" s="742">
        <v>2043</v>
      </c>
      <c r="AV5" s="742">
        <v>2044</v>
      </c>
      <c r="AW5" s="742">
        <v>2045</v>
      </c>
      <c r="AX5" s="742">
        <v>2046</v>
      </c>
      <c r="AY5" s="742">
        <v>2047</v>
      </c>
      <c r="AZ5" s="742">
        <v>2048</v>
      </c>
      <c r="BA5" s="742">
        <v>2049</v>
      </c>
      <c r="BB5" s="742">
        <v>2050</v>
      </c>
      <c r="BC5" s="742">
        <v>2051</v>
      </c>
      <c r="BD5" s="742">
        <v>2052</v>
      </c>
      <c r="BE5" s="742">
        <v>2053</v>
      </c>
      <c r="BF5" s="742">
        <v>2054</v>
      </c>
      <c r="BG5" s="742">
        <v>2055</v>
      </c>
      <c r="BH5" s="742">
        <v>2056</v>
      </c>
      <c r="BI5" s="742">
        <v>2057</v>
      </c>
      <c r="BJ5" s="742">
        <v>2058</v>
      </c>
      <c r="BK5" s="742">
        <v>2059</v>
      </c>
      <c r="BL5" s="742">
        <v>2060</v>
      </c>
      <c r="BM5" s="742">
        <v>2061</v>
      </c>
      <c r="BN5" s="742">
        <v>2062</v>
      </c>
      <c r="BO5" s="742">
        <v>2063</v>
      </c>
      <c r="BP5" s="742">
        <v>2064</v>
      </c>
      <c r="BQ5" s="742">
        <v>2065</v>
      </c>
      <c r="BR5" s="742">
        <v>2066</v>
      </c>
      <c r="BS5" s="742">
        <v>2067</v>
      </c>
      <c r="BT5" s="742">
        <v>2068</v>
      </c>
      <c r="BU5" s="742">
        <v>2069</v>
      </c>
      <c r="BV5" s="743">
        <v>2070</v>
      </c>
      <c r="BW5" s="1075">
        <f t="shared" ref="BW5" si="0">+BV5+1</f>
        <v>2071</v>
      </c>
      <c r="BX5" s="1075">
        <f t="shared" ref="BX5" si="1">+BW5+1</f>
        <v>2072</v>
      </c>
      <c r="BY5" s="1075">
        <f t="shared" ref="BY5" si="2">+BX5+1</f>
        <v>2073</v>
      </c>
      <c r="BZ5" s="1075">
        <f t="shared" ref="BZ5" si="3">+BY5+1</f>
        <v>2074</v>
      </c>
      <c r="CA5" s="1075">
        <f t="shared" ref="CA5" si="4">+BZ5+1</f>
        <v>2075</v>
      </c>
      <c r="CB5" s="1075">
        <f t="shared" ref="CB5" si="5">+CA5+1</f>
        <v>2076</v>
      </c>
      <c r="CC5" s="1075">
        <f t="shared" ref="CC5" si="6">+CB5+1</f>
        <v>2077</v>
      </c>
      <c r="CD5" s="1075">
        <f t="shared" ref="CD5" si="7">+CC5+1</f>
        <v>2078</v>
      </c>
      <c r="CE5" s="1075">
        <f t="shared" ref="CE5" si="8">+CD5+1</f>
        <v>2079</v>
      </c>
      <c r="CF5" s="1075">
        <f t="shared" ref="CF5" si="9">+CE5+1</f>
        <v>2080</v>
      </c>
      <c r="CG5" s="1075">
        <f t="shared" ref="CG5" si="10">+CF5+1</f>
        <v>2081</v>
      </c>
      <c r="CH5" s="1075">
        <f t="shared" ref="CH5" si="11">+CG5+1</f>
        <v>2082</v>
      </c>
      <c r="CI5" s="1075">
        <f t="shared" ref="CI5" si="12">+CH5+1</f>
        <v>2083</v>
      </c>
      <c r="CJ5" s="1075">
        <f t="shared" ref="CJ5" si="13">+CI5+1</f>
        <v>2084</v>
      </c>
      <c r="CK5" s="1075">
        <f t="shared" ref="CK5" si="14">+CJ5+1</f>
        <v>2085</v>
      </c>
      <c r="CL5" s="1075">
        <f t="shared" ref="CL5" si="15">+CK5+1</f>
        <v>2086</v>
      </c>
      <c r="CM5" s="1075">
        <f t="shared" ref="CM5" si="16">+CL5+1</f>
        <v>2087</v>
      </c>
      <c r="CN5" s="1075">
        <f t="shared" ref="CN5" si="17">+CM5+1</f>
        <v>2088</v>
      </c>
      <c r="CO5" s="1075">
        <f t="shared" ref="CO5" si="18">+CN5+1</f>
        <v>2089</v>
      </c>
      <c r="CP5" s="1075">
        <f t="shared" ref="CP5" si="19">+CO5+1</f>
        <v>2090</v>
      </c>
      <c r="CQ5" s="1075">
        <f t="shared" ref="CQ5" si="20">+CP5+1</f>
        <v>2091</v>
      </c>
      <c r="CR5" s="1075">
        <f t="shared" ref="CR5" si="21">+CQ5+1</f>
        <v>2092</v>
      </c>
      <c r="CS5" s="1075">
        <f t="shared" ref="CS5" si="22">+CR5+1</f>
        <v>2093</v>
      </c>
      <c r="CT5" s="1075">
        <f t="shared" ref="CT5" si="23">+CS5+1</f>
        <v>2094</v>
      </c>
      <c r="CU5" s="1075">
        <f t="shared" ref="CU5" si="24">+CT5+1</f>
        <v>2095</v>
      </c>
      <c r="CV5" s="1075">
        <f t="shared" ref="CV5" si="25">+CU5+1</f>
        <v>2096</v>
      </c>
      <c r="CW5" s="1075">
        <f t="shared" ref="CW5" si="26">+CV5+1</f>
        <v>2097</v>
      </c>
      <c r="CX5" s="1075">
        <f t="shared" ref="CX5" si="27">+CW5+1</f>
        <v>2098</v>
      </c>
      <c r="CY5" s="1075">
        <f t="shared" ref="CY5" si="28">+CX5+1</f>
        <v>2099</v>
      </c>
      <c r="CZ5" s="1075">
        <f t="shared" ref="CZ5" si="29">+CY5+1</f>
        <v>2100</v>
      </c>
    </row>
    <row r="6" spans="1:104" ht="13.8" thickBot="1" x14ac:dyDescent="0.3">
      <c r="A6" s="801" t="s">
        <v>1063</v>
      </c>
      <c r="B6" s="802"/>
      <c r="C6" s="802"/>
      <c r="D6" s="802"/>
      <c r="E6" s="802"/>
      <c r="F6" s="724"/>
      <c r="G6" s="802"/>
      <c r="H6" s="802"/>
      <c r="I6" s="802"/>
      <c r="J6" s="802"/>
      <c r="K6" s="802"/>
      <c r="L6" s="802"/>
      <c r="M6" s="802"/>
      <c r="N6" s="802"/>
      <c r="O6" s="802"/>
      <c r="P6" s="802"/>
      <c r="Q6" s="802"/>
      <c r="R6" s="802"/>
      <c r="S6" s="802"/>
      <c r="T6" s="802"/>
      <c r="U6" s="802"/>
      <c r="V6" s="802"/>
      <c r="W6" s="802"/>
      <c r="X6" s="802"/>
      <c r="Y6" s="802"/>
      <c r="Z6" s="802"/>
      <c r="AA6" s="802"/>
      <c r="AB6" s="802"/>
      <c r="AC6" s="802"/>
      <c r="AD6" s="802"/>
      <c r="AE6" s="802"/>
      <c r="AF6" s="802"/>
      <c r="AG6" s="802"/>
      <c r="AH6" s="802"/>
      <c r="AI6" s="802"/>
      <c r="AJ6" s="802"/>
      <c r="AK6" s="802"/>
      <c r="AL6" s="802"/>
      <c r="AM6" s="802"/>
      <c r="AN6" s="802"/>
      <c r="AO6" s="802"/>
      <c r="AP6" s="802"/>
      <c r="AQ6" s="802"/>
      <c r="AR6" s="802"/>
      <c r="AS6" s="802"/>
      <c r="AT6" s="802"/>
      <c r="AU6" s="802"/>
      <c r="AV6" s="802"/>
      <c r="AW6" s="802"/>
      <c r="AX6" s="802"/>
      <c r="AY6" s="802"/>
      <c r="AZ6" s="802"/>
      <c r="BA6" s="802"/>
      <c r="BC6" s="802"/>
      <c r="BD6" s="802"/>
      <c r="BE6" s="802"/>
      <c r="BF6" s="802"/>
      <c r="BG6" s="802"/>
      <c r="BH6" s="802"/>
      <c r="BI6" s="802"/>
      <c r="BJ6" s="802"/>
      <c r="BK6" s="802"/>
      <c r="BL6" s="802"/>
      <c r="BM6" s="802"/>
      <c r="BN6" s="802"/>
      <c r="BO6" s="802"/>
      <c r="BP6" s="802"/>
      <c r="BR6" s="802"/>
      <c r="BS6" s="802"/>
      <c r="BT6" s="802"/>
      <c r="BU6" s="802"/>
    </row>
    <row r="7" spans="1:104" x14ac:dyDescent="0.25">
      <c r="A7" s="818" t="str">
        <f>'HyARC Physical Property Data'!A73</f>
        <v>Residential Natural Gas</v>
      </c>
      <c r="B7" s="802">
        <v>2007</v>
      </c>
      <c r="C7" s="803">
        <f>VLOOKUP(ref_year,DeflatorTable,2,FALSE)/VLOOKUP(B7,DeflatorTable,2,FALSE)</f>
        <v>1.1413971588333081</v>
      </c>
      <c r="D7" s="818" t="str">
        <f>'HyARC Physical Property Data'!H73</f>
        <v>mmBtu</v>
      </c>
      <c r="E7" s="803" t="s">
        <v>1031</v>
      </c>
      <c r="F7" s="802">
        <f>'HyARC Physical Property Data'!$E$6</f>
        <v>47.141269049911173</v>
      </c>
      <c r="G7" s="802">
        <f>'HyARC Physical Property Data'!$I$6</f>
        <v>52.224661236371581</v>
      </c>
      <c r="H7" s="802">
        <f>((13.7000589370728/(mmBTU_to_GJ))*($C$7))*($G$7/$F$7)</f>
        <v>16.420301417436011</v>
      </c>
      <c r="I7" s="802">
        <f>((13.7000589370728/(mmBTU_to_GJ))*($C$7))*($G$7/$F$7)</f>
        <v>16.420301417436011</v>
      </c>
      <c r="J7" s="802">
        <f>((13.7000589370728/(mmBTU_to_GJ))*($C$7))*($G$7/$F$7)</f>
        <v>16.420301417436011</v>
      </c>
      <c r="K7" s="802">
        <f>((12.6911582946777/(mmBTU_to_GJ))*($C$7))*($G$7/$F$7)</f>
        <v>15.211076499173579</v>
      </c>
      <c r="L7" s="802">
        <f>((12.9778490066528/(mmBTU_to_GJ))*($C$7))*($G$7/$F$7)</f>
        <v>15.55469165629321</v>
      </c>
      <c r="M7" s="802">
        <f>((10.7176141738892/(mmBTU_to_GJ))*($C$7))*($G$7/$F$7)</f>
        <v>12.845671395968969</v>
      </c>
      <c r="N7" s="802">
        <f>((11.192774772644/(mmBTU_to_GJ))*($C$7))*($G$7/$F$7)</f>
        <v>13.415178453499211</v>
      </c>
      <c r="O7" s="802">
        <f>((11.4872808456421/(mmBTU_to_GJ))*($C$7))*($G$7/$F$7)</f>
        <v>13.768160766210887</v>
      </c>
      <c r="P7" s="802">
        <f>((11.3991556167603/(mmBTU_to_GJ))*($C$7))*($G$7/$F$7)</f>
        <v>13.662537657042796</v>
      </c>
      <c r="Q7" s="802">
        <f>((11.3077983856201/(mmBTU_to_GJ))*($C$7))*($G$7/$F$7)</f>
        <v>13.553040808972668</v>
      </c>
      <c r="R7" s="802">
        <f>((11.2896461486816/(mmBTU_to_GJ))*($C$7))*($G$7/$F$7)</f>
        <v>13.531284318486023</v>
      </c>
      <c r="S7" s="802">
        <f>((11.3454151153564/(mmBTU_to_GJ))*($C$7))*($G$7/$F$7)</f>
        <v>13.598126603380225</v>
      </c>
      <c r="T7" s="802">
        <f>((11.5382986068726/(mmBTU_to_GJ))*($C$7))*($G$7/$F$7)</f>
        <v>13.829308460603693</v>
      </c>
      <c r="U7" s="802">
        <f>((11.7583208084106/(mmBTU_to_GJ))*($C$7))*($G$7/$F$7)</f>
        <v>14.093017608453076</v>
      </c>
      <c r="V7" s="802">
        <f>((11.9751005172729/(mmBTU_to_GJ))*($C$7))*($G$7/$F$7)</f>
        <v>14.352840444037428</v>
      </c>
      <c r="W7" s="802">
        <f>((12.23952293396/(mmBTU_to_GJ))*($C$7))*($G$7/$F$7)</f>
        <v>14.669765780159871</v>
      </c>
      <c r="X7" s="802">
        <f>((12.557071685791/(mmBTU_to_GJ))*($C$7))*($G$7/$F$7)</f>
        <v>15.050366056680263</v>
      </c>
      <c r="Y7" s="802">
        <f>((12.7957820892334/(mmBTU_to_GJ))*($C$7))*($G$7/$F$7)</f>
        <v>15.336474079573154</v>
      </c>
      <c r="Z7" s="802">
        <f>((12.8716516494751/(mmBTU_to_GJ))*($C$7))*($G$7/$F$7)</f>
        <v>15.427408071412112</v>
      </c>
      <c r="AA7" s="802">
        <f>((12.6602811813354/(mmBTU_to_GJ))*($C$7))*($G$7/$F$7)</f>
        <v>15.174068519112346</v>
      </c>
      <c r="AB7" s="802">
        <f>((12.6240320205688/(mmBTU_to_GJ))*($C$7))*($G$7/$F$7)</f>
        <v>15.130621834054226</v>
      </c>
      <c r="AC7" s="802">
        <f>((12.5992183685303/(mmBTU_to_GJ))*($C$7))*($G$7/$F$7)</f>
        <v>15.100881257928895</v>
      </c>
      <c r="AD7" s="802">
        <f>((12.7868556976318/(mmBTU_to_GJ))*($C$7))*($G$7/$F$7)</f>
        <v>15.325775290513809</v>
      </c>
      <c r="AE7" s="802">
        <f>((13.07555103302/(mmBTU_to_GJ))*($C$7))*($G$7/$F$7)</f>
        <v>15.671793103039724</v>
      </c>
      <c r="AF7" s="802">
        <f>((13.407883644104/(mmBTU_to_GJ))*($C$7))*($G$7/$F$7)</f>
        <v>16.070112677423158</v>
      </c>
      <c r="AG7" s="802">
        <f>((13.6725673675537/(mmBTU_to_GJ))*($C$7))*($G$7/$F$7)</f>
        <v>16.387351204592733</v>
      </c>
      <c r="AH7" s="802">
        <f>((13.9620389938354/(mmBTU_to_GJ))*($C$7))*($G$7/$F$7)</f>
        <v>16.734299445996175</v>
      </c>
      <c r="AI7" s="802">
        <f>($BB7-$AH7)/20+AH7</f>
        <v>16.876364426263383</v>
      </c>
      <c r="AJ7" s="802">
        <f t="shared" ref="AJ7:AY10" si="30">($BB7-$AH7)/20+AI7</f>
        <v>17.01842940653059</v>
      </c>
      <c r="AK7" s="802">
        <f t="shared" si="30"/>
        <v>17.160494386797797</v>
      </c>
      <c r="AL7" s="802">
        <f t="shared" si="30"/>
        <v>17.302559367065005</v>
      </c>
      <c r="AM7" s="802">
        <f t="shared" si="30"/>
        <v>17.444624347332212</v>
      </c>
      <c r="AN7" s="802">
        <f t="shared" si="30"/>
        <v>17.586689327599419</v>
      </c>
      <c r="AO7" s="802">
        <f t="shared" si="30"/>
        <v>17.728754307866627</v>
      </c>
      <c r="AP7" s="802">
        <f t="shared" si="30"/>
        <v>17.870819288133834</v>
      </c>
      <c r="AQ7" s="802">
        <f t="shared" si="30"/>
        <v>18.012884268401042</v>
      </c>
      <c r="AR7" s="802">
        <f t="shared" si="30"/>
        <v>18.154949248668249</v>
      </c>
      <c r="AS7" s="802">
        <f t="shared" si="30"/>
        <v>18.297014228935456</v>
      </c>
      <c r="AT7" s="802">
        <f t="shared" si="30"/>
        <v>18.439079209202664</v>
      </c>
      <c r="AU7" s="802">
        <f t="shared" si="30"/>
        <v>18.581144189469871</v>
      </c>
      <c r="AV7" s="802">
        <f t="shared" si="30"/>
        <v>18.723209169737078</v>
      </c>
      <c r="AW7" s="802">
        <f t="shared" si="30"/>
        <v>18.865274150004286</v>
      </c>
      <c r="AX7" s="802">
        <f t="shared" si="30"/>
        <v>19.007339130271493</v>
      </c>
      <c r="AY7" s="802">
        <f t="shared" si="30"/>
        <v>19.149404110538701</v>
      </c>
      <c r="AZ7" s="802">
        <f t="shared" ref="AY7:BA10" si="31">($BB7-$AH7)/20+AY7</f>
        <v>19.291469090805908</v>
      </c>
      <c r="BA7" s="802">
        <f t="shared" si="31"/>
        <v>19.433534071073115</v>
      </c>
      <c r="BB7" s="862">
        <f>1.16978897829057*AH7</f>
        <v>19.575599051340316</v>
      </c>
      <c r="BC7" s="802">
        <f>($BQ7-$BB7)/15+BB7</f>
        <v>19.769431803386947</v>
      </c>
      <c r="BD7" s="802">
        <f t="shared" ref="BD7:BP7" si="32">($BQ7-$BB7)/15+BC7</f>
        <v>19.963264555433579</v>
      </c>
      <c r="BE7" s="802">
        <f t="shared" si="32"/>
        <v>20.15709730748021</v>
      </c>
      <c r="BF7" s="802">
        <f t="shared" si="32"/>
        <v>20.350930059526842</v>
      </c>
      <c r="BG7" s="802">
        <f t="shared" si="32"/>
        <v>20.544762811573474</v>
      </c>
      <c r="BH7" s="802">
        <f t="shared" si="32"/>
        <v>20.738595563620105</v>
      </c>
      <c r="BI7" s="802">
        <f t="shared" si="32"/>
        <v>20.932428315666737</v>
      </c>
      <c r="BJ7" s="802">
        <f t="shared" si="32"/>
        <v>21.126261067713369</v>
      </c>
      <c r="BK7" s="802">
        <f t="shared" si="32"/>
        <v>21.32009381976</v>
      </c>
      <c r="BL7" s="802">
        <f t="shared" si="32"/>
        <v>21.513926571806632</v>
      </c>
      <c r="BM7" s="802">
        <f t="shared" si="32"/>
        <v>21.707759323853264</v>
      </c>
      <c r="BN7" s="802">
        <f t="shared" si="32"/>
        <v>21.901592075899895</v>
      </c>
      <c r="BO7" s="802">
        <f t="shared" si="32"/>
        <v>22.095424827946527</v>
      </c>
      <c r="BP7" s="802">
        <f t="shared" si="32"/>
        <v>22.289257579993158</v>
      </c>
      <c r="BQ7" s="862">
        <f>1.14852629914794*BB7</f>
        <v>22.483090332039815</v>
      </c>
      <c r="BR7" s="802">
        <f>($BV7-$BQ7)/5+BQ7</f>
        <v>22.705712345401611</v>
      </c>
      <c r="BS7" s="802">
        <f>($BV7-$BQ7)/5+BR7</f>
        <v>22.928334358763408</v>
      </c>
      <c r="BT7" s="802">
        <f>($BV7-$BQ7)/5+BS7</f>
        <v>23.150956372125204</v>
      </c>
      <c r="BU7" s="802">
        <f>($BV7-$BQ7)/5+BT7</f>
        <v>23.373578385487001</v>
      </c>
      <c r="BV7" s="863">
        <f>1.04950876638265*BQ7</f>
        <v>23.59620039884879</v>
      </c>
      <c r="BW7" s="1074">
        <f>+BV7*BW$133/BV$133</f>
        <v>23.674546722408877</v>
      </c>
      <c r="BX7" s="1074">
        <f t="shared" ref="BX7:CZ7" si="33">+BW7*BX$133/BW$133</f>
        <v>23.753153178800169</v>
      </c>
      <c r="BY7" s="1074">
        <f t="shared" si="33"/>
        <v>23.832020631740154</v>
      </c>
      <c r="BZ7" s="1074">
        <f t="shared" si="33"/>
        <v>23.911149947814113</v>
      </c>
      <c r="CA7" s="1074">
        <f t="shared" si="33"/>
        <v>23.990541996484659</v>
      </c>
      <c r="CB7" s="1074">
        <f t="shared" si="33"/>
        <v>24.041736091563465</v>
      </c>
      <c r="CC7" s="1074">
        <f t="shared" si="33"/>
        <v>24.093039431167519</v>
      </c>
      <c r="CD7" s="1074">
        <f t="shared" si="33"/>
        <v>24.144452248416805</v>
      </c>
      <c r="CE7" s="1074">
        <f t="shared" si="33"/>
        <v>24.195974776928761</v>
      </c>
      <c r="CF7" s="1074">
        <f t="shared" si="33"/>
        <v>24.247607250819346</v>
      </c>
      <c r="CG7" s="1074">
        <f t="shared" si="33"/>
        <v>24.264371987566129</v>
      </c>
      <c r="CH7" s="1074">
        <f t="shared" si="33"/>
        <v>24.281148315411173</v>
      </c>
      <c r="CI7" s="1074">
        <f t="shared" si="33"/>
        <v>24.297936242368532</v>
      </c>
      <c r="CJ7" s="1074">
        <f t="shared" si="33"/>
        <v>24.314735776457805</v>
      </c>
      <c r="CK7" s="1074">
        <f t="shared" si="33"/>
        <v>24.331546925704139</v>
      </c>
      <c r="CL7" s="1074">
        <f t="shared" si="33"/>
        <v>24.337245159046461</v>
      </c>
      <c r="CM7" s="1074">
        <f t="shared" si="33"/>
        <v>24.34294472686469</v>
      </c>
      <c r="CN7" s="1074">
        <f t="shared" si="33"/>
        <v>24.348645629471353</v>
      </c>
      <c r="CO7" s="1074">
        <f t="shared" si="33"/>
        <v>24.354347867179047</v>
      </c>
      <c r="CP7" s="1074">
        <f t="shared" si="33"/>
        <v>24.360051440300435</v>
      </c>
      <c r="CQ7" s="1074">
        <f t="shared" si="33"/>
        <v>24.368695752977374</v>
      </c>
      <c r="CR7" s="1074">
        <f t="shared" si="33"/>
        <v>24.377343133141338</v>
      </c>
      <c r="CS7" s="1074">
        <f t="shared" si="33"/>
        <v>24.38599358188084</v>
      </c>
      <c r="CT7" s="1074">
        <f t="shared" si="33"/>
        <v>24.394647100284782</v>
      </c>
      <c r="CU7" s="1074">
        <f t="shared" si="33"/>
        <v>24.403303689442453</v>
      </c>
      <c r="CV7" s="1074">
        <f t="shared" si="33"/>
        <v>24.416626216805682</v>
      </c>
      <c r="CW7" s="1074">
        <f t="shared" si="33"/>
        <v>24.429956017353625</v>
      </c>
      <c r="CX7" s="1074">
        <f t="shared" si="33"/>
        <v>24.443293095056941</v>
      </c>
      <c r="CY7" s="1074">
        <f t="shared" si="33"/>
        <v>24.456637453888455</v>
      </c>
      <c r="CZ7" s="1074">
        <f t="shared" si="33"/>
        <v>24.469989097823163</v>
      </c>
    </row>
    <row r="8" spans="1:104" x14ac:dyDescent="0.25">
      <c r="A8" s="728" t="str">
        <f>'HyARC Physical Property Data'!A71</f>
        <v>Commercial Natural Gas</v>
      </c>
      <c r="B8" s="254">
        <v>2007</v>
      </c>
      <c r="C8" s="727">
        <f>VLOOKUP(ref_year,DeflatorTable,2,FALSE)/VLOOKUP(B8,DeflatorTable,2,FALSE)</f>
        <v>1.1413971588333081</v>
      </c>
      <c r="D8" s="728" t="str">
        <f>'HyARC Physical Property Data'!H71</f>
        <v>mmBtu</v>
      </c>
      <c r="E8" s="727" t="s">
        <v>1031</v>
      </c>
      <c r="F8" s="254">
        <f>'HyARC Physical Property Data'!$E$6</f>
        <v>47.141269049911173</v>
      </c>
      <c r="G8" s="254">
        <f>'HyARC Physical Property Data'!$I$6</f>
        <v>52.224661236371581</v>
      </c>
      <c r="H8" s="254">
        <f>((11.8960943222046/(mmBTU_to_GJ))*($C$8))*($G$8/$F$8)</f>
        <v>14.25814701659854</v>
      </c>
      <c r="I8" s="254">
        <f>((11.8960943222046/(mmBTU_to_GJ))*($C$8))*($G$8/$F$8)</f>
        <v>14.25814701659854</v>
      </c>
      <c r="J8" s="254">
        <f>((11.8960943222046/(mmBTU_to_GJ))*($C$8))*($G$8/$F$8)</f>
        <v>14.25814701659854</v>
      </c>
      <c r="K8" s="254">
        <f>((10.9898433685303/(mmBTU_to_GJ))*($C$8))*($G$8/$F$8)</f>
        <v>13.1719536003861</v>
      </c>
      <c r="L8" s="254">
        <f>((11.3387994766235/(mmBTU_to_GJ))*($C$8))*($G$8/$F$8)</f>
        <v>13.590197383326352</v>
      </c>
      <c r="M8" s="254">
        <f>((8.90759468078613/(mmBTU_to_GJ))*($C$8))*($G$8/$F$8)</f>
        <v>10.676259878492866</v>
      </c>
      <c r="N8" s="254">
        <f>((9.46560573577881/(mmBTU_to_GJ))*($C$8))*($G$8/$F$8)</f>
        <v>11.345067929562392</v>
      </c>
      <c r="O8" s="254">
        <f>((9.74632167816162/(mmBTU_to_GJ))*($C$8))*($G$8/$F$8)</f>
        <v>11.681521984817001</v>
      </c>
      <c r="P8" s="254">
        <f>((9.72109222412109/(mmBTU_to_GJ))*($C$8))*($G$8/$F$8)</f>
        <v>11.651283046295227</v>
      </c>
      <c r="Q8" s="254">
        <f>((9.67193412780762/(mmBTU_to_GJ))*($C$8))*($G$8/$F$8)</f>
        <v>11.59236426628982</v>
      </c>
      <c r="R8" s="254">
        <f>((9.71388721466064/(mmBTU_to_GJ))*($C$8))*($G$8/$F$8)</f>
        <v>11.642647431835503</v>
      </c>
      <c r="S8" s="254">
        <f>((9.83065605163574/(mmBTU_to_GJ))*($C$8))*($G$8/$F$8)</f>
        <v>11.782601537733989</v>
      </c>
      <c r="T8" s="254">
        <f>((10.0382099151611/(mmBTU_to_GJ))*($C$8))*($G$8/$F$8)</f>
        <v>12.031366671890995</v>
      </c>
      <c r="U8" s="254">
        <f>((10.2545003890991/(mmBTU_to_GJ))*($C$8))*($G$8/$F$8)</f>
        <v>12.290603131536537</v>
      </c>
      <c r="V8" s="254">
        <f>((10.476261138916/(mmBTU_to_GJ))*($C$8))*($G$8/$F$8)</f>
        <v>12.556396028579952</v>
      </c>
      <c r="W8" s="254">
        <f>((10.746561050415/(mmBTU_to_GJ))*($C$8))*($G$8/$F$8)</f>
        <v>12.880365877199319</v>
      </c>
      <c r="X8" s="254">
        <f>((11.0803880691528/(mmBTU_to_GJ))*($C$8))*($G$8/$F$8)</f>
        <v>13.280476584323763</v>
      </c>
      <c r="Y8" s="254">
        <f>((11.3143692016602/(mmBTU_to_GJ))*($C$8))*($G$8/$F$8)</f>
        <v>13.560916306474725</v>
      </c>
      <c r="Z8" s="254">
        <f>((11.4017143249512/(mmBTU_to_GJ))*($C$8))*($G$8/$F$8)</f>
        <v>13.665604414633171</v>
      </c>
      <c r="AA8" s="254">
        <f>((11.2125005722046/(mmBTU_to_GJ))*($C$8))*($G$8/$F$8)</f>
        <v>13.438820948467498</v>
      </c>
      <c r="AB8" s="254">
        <f>((11.1975994110107/(mmBTU_to_GJ))*($C$8))*($G$8/$F$8)</f>
        <v>13.420961057543121</v>
      </c>
      <c r="AC8" s="254">
        <f>((11.159740447998/(mmBTU_to_GJ))*($C$8))*($G$8/$F$8)</f>
        <v>13.37558493274866</v>
      </c>
      <c r="AD8" s="254">
        <f>((11.3503875732422/(mmBTU_to_GJ))*($C$8))*($G$8/$F$8)</f>
        <v>13.604086377542172</v>
      </c>
      <c r="AE8" s="254">
        <f>((11.6409521102905/(mmBTU_to_GJ))*($C$8))*($G$8/$F$8)</f>
        <v>13.952344534785565</v>
      </c>
      <c r="AF8" s="254">
        <f>((11.9785671234131/(mmBTU_to_GJ))*($C$8))*($G$8/$F$8)</f>
        <v>14.356995369062137</v>
      </c>
      <c r="AG8" s="254">
        <f>((12.2332496643066/(mmBTU_to_GJ))*($C$8))*($G$8/$F$8)</f>
        <v>14.662246908959766</v>
      </c>
      <c r="AH8" s="254">
        <f>((12.5188312530518/(mmBTU_to_GJ))*($C$8))*($G$8/$F$8)</f>
        <v>15.004532718678215</v>
      </c>
      <c r="AI8" s="254">
        <f>($BB8-$AH8)/20+AH8</f>
        <v>15.131912932679805</v>
      </c>
      <c r="AJ8" s="254">
        <f t="shared" si="30"/>
        <v>15.259293146681395</v>
      </c>
      <c r="AK8" s="254">
        <f t="shared" si="30"/>
        <v>15.386673360682986</v>
      </c>
      <c r="AL8" s="254">
        <f t="shared" si="30"/>
        <v>15.514053574684576</v>
      </c>
      <c r="AM8" s="254">
        <f t="shared" si="30"/>
        <v>15.641433788686166</v>
      </c>
      <c r="AN8" s="254">
        <f t="shared" si="30"/>
        <v>15.768814002687757</v>
      </c>
      <c r="AO8" s="254">
        <f t="shared" si="30"/>
        <v>15.896194216689347</v>
      </c>
      <c r="AP8" s="254">
        <f t="shared" si="30"/>
        <v>16.023574430690935</v>
      </c>
      <c r="AQ8" s="254">
        <f t="shared" si="30"/>
        <v>16.150954644692526</v>
      </c>
      <c r="AR8" s="254">
        <f t="shared" si="30"/>
        <v>16.278334858694116</v>
      </c>
      <c r="AS8" s="254">
        <f t="shared" si="30"/>
        <v>16.405715072695706</v>
      </c>
      <c r="AT8" s="254">
        <f t="shared" si="30"/>
        <v>16.533095286697296</v>
      </c>
      <c r="AU8" s="254">
        <f t="shared" si="30"/>
        <v>16.660475500698887</v>
      </c>
      <c r="AV8" s="254">
        <f t="shared" si="30"/>
        <v>16.787855714700477</v>
      </c>
      <c r="AW8" s="254">
        <f t="shared" si="30"/>
        <v>16.915235928702067</v>
      </c>
      <c r="AX8" s="254">
        <f t="shared" si="30"/>
        <v>17.042616142703658</v>
      </c>
      <c r="AY8" s="254">
        <f t="shared" si="31"/>
        <v>17.169996356705248</v>
      </c>
      <c r="AZ8" s="254">
        <f t="shared" si="31"/>
        <v>17.297376570706838</v>
      </c>
      <c r="BA8" s="254">
        <f t="shared" si="31"/>
        <v>17.424756784708428</v>
      </c>
      <c r="BB8" s="861">
        <f>1.16978897829057*AH8</f>
        <v>17.552136998710015</v>
      </c>
      <c r="BC8" s="254">
        <f t="shared" ref="BC8:BP10" si="34">($BQ8-$BB8)/15+BB8</f>
        <v>17.725933928747082</v>
      </c>
      <c r="BD8" s="254">
        <f t="shared" si="34"/>
        <v>17.899730858784149</v>
      </c>
      <c r="BE8" s="254">
        <f t="shared" si="34"/>
        <v>18.073527788821217</v>
      </c>
      <c r="BF8" s="254">
        <f t="shared" si="34"/>
        <v>18.247324718858284</v>
      </c>
      <c r="BG8" s="254">
        <f t="shared" si="34"/>
        <v>18.421121648895351</v>
      </c>
      <c r="BH8" s="254">
        <f t="shared" si="34"/>
        <v>18.594918578932418</v>
      </c>
      <c r="BI8" s="254">
        <f t="shared" si="34"/>
        <v>18.768715508969485</v>
      </c>
      <c r="BJ8" s="254">
        <f t="shared" si="34"/>
        <v>18.942512439006553</v>
      </c>
      <c r="BK8" s="254">
        <f t="shared" si="34"/>
        <v>19.11630936904362</v>
      </c>
      <c r="BL8" s="254">
        <f t="shared" si="34"/>
        <v>19.290106299080687</v>
      </c>
      <c r="BM8" s="254">
        <f t="shared" si="34"/>
        <v>19.463903229117754</v>
      </c>
      <c r="BN8" s="254">
        <f t="shared" si="34"/>
        <v>19.637700159154821</v>
      </c>
      <c r="BO8" s="254">
        <f t="shared" si="34"/>
        <v>19.811497089191889</v>
      </c>
      <c r="BP8" s="254">
        <f t="shared" si="34"/>
        <v>19.985294019228956</v>
      </c>
      <c r="BQ8" s="861">
        <f>1.14852629914794*BB8</f>
        <v>20.159090949266044</v>
      </c>
      <c r="BR8" s="254">
        <f t="shared" ref="BR8:BU10" si="35">($BV8-$BQ8)/5+BQ8</f>
        <v>20.358701294124806</v>
      </c>
      <c r="BS8" s="254">
        <f t="shared" si="35"/>
        <v>20.558311638983568</v>
      </c>
      <c r="BT8" s="254">
        <f t="shared" si="35"/>
        <v>20.75792198384233</v>
      </c>
      <c r="BU8" s="254">
        <f t="shared" si="35"/>
        <v>20.957532328701092</v>
      </c>
      <c r="BV8" s="864">
        <f>1.04950876638265*BQ8</f>
        <v>21.15714267355985</v>
      </c>
      <c r="BW8" s="1074">
        <f>+BV8*BW$134/BV$134</f>
        <v>21.227390608290499</v>
      </c>
      <c r="BX8" s="1074">
        <f t="shared" ref="BX8:CZ8" si="36">+BW8*BX$134/BW$134</f>
        <v>21.297871786820185</v>
      </c>
      <c r="BY8" s="1074">
        <f t="shared" si="36"/>
        <v>21.368586983586905</v>
      </c>
      <c r="BZ8" s="1074">
        <f t="shared" si="36"/>
        <v>21.439536975600014</v>
      </c>
      <c r="CA8" s="1074">
        <f t="shared" si="36"/>
        <v>21.510722542448768</v>
      </c>
      <c r="CB8" s="1074">
        <f t="shared" si="36"/>
        <v>21.556624880762481</v>
      </c>
      <c r="CC8" s="1074">
        <f t="shared" si="36"/>
        <v>21.602625171372235</v>
      </c>
      <c r="CD8" s="1074">
        <f t="shared" si="36"/>
        <v>21.648723623301212</v>
      </c>
      <c r="CE8" s="1074">
        <f t="shared" si="36"/>
        <v>21.694920446018617</v>
      </c>
      <c r="CF8" s="1074">
        <f t="shared" si="36"/>
        <v>21.741215849440653</v>
      </c>
      <c r="CG8" s="1074">
        <f t="shared" si="36"/>
        <v>21.75624767326148</v>
      </c>
      <c r="CH8" s="1074">
        <f t="shared" si="36"/>
        <v>21.771289890048781</v>
      </c>
      <c r="CI8" s="1074">
        <f t="shared" si="36"/>
        <v>21.78634250698822</v>
      </c>
      <c r="CJ8" s="1074">
        <f t="shared" si="36"/>
        <v>21.801405531270447</v>
      </c>
      <c r="CK8" s="1074">
        <f t="shared" si="36"/>
        <v>21.816478970091065</v>
      </c>
      <c r="CL8" s="1074">
        <f t="shared" si="36"/>
        <v>21.821588196736581</v>
      </c>
      <c r="CM8" s="1074">
        <f t="shared" si="36"/>
        <v>21.826698619917845</v>
      </c>
      <c r="CN8" s="1074">
        <f t="shared" si="36"/>
        <v>21.831810239915068</v>
      </c>
      <c r="CO8" s="1074">
        <f t="shared" si="36"/>
        <v>21.836923057008537</v>
      </c>
      <c r="CP8" s="1074">
        <f t="shared" si="36"/>
        <v>21.8420370714786</v>
      </c>
      <c r="CQ8" s="1074">
        <f t="shared" si="36"/>
        <v>21.849787851414753</v>
      </c>
      <c r="CR8" s="1074">
        <f t="shared" si="36"/>
        <v>21.857541381762392</v>
      </c>
      <c r="CS8" s="1074">
        <f t="shared" si="36"/>
        <v>21.865297663497515</v>
      </c>
      <c r="CT8" s="1074">
        <f t="shared" si="36"/>
        <v>21.873056697596471</v>
      </c>
      <c r="CU8" s="1074">
        <f t="shared" si="36"/>
        <v>21.880818485035956</v>
      </c>
      <c r="CV8" s="1074">
        <f t="shared" si="36"/>
        <v>21.89276390876655</v>
      </c>
      <c r="CW8" s="1074">
        <f t="shared" si="36"/>
        <v>21.904715853877878</v>
      </c>
      <c r="CX8" s="1074">
        <f t="shared" si="36"/>
        <v>21.916674323930163</v>
      </c>
      <c r="CY8" s="1074">
        <f t="shared" si="36"/>
        <v>21.928639322485584</v>
      </c>
      <c r="CZ8" s="1074">
        <f t="shared" si="36"/>
        <v>21.940610853108243</v>
      </c>
    </row>
    <row r="9" spans="1:104" x14ac:dyDescent="0.25">
      <c r="A9" s="728" t="str">
        <f>'HyARC Physical Property Data'!A72</f>
        <v>Industrial Natural Gas</v>
      </c>
      <c r="B9" s="254">
        <v>2007</v>
      </c>
      <c r="C9" s="727">
        <f t="shared" ref="C9:C18" si="37">VLOOKUP(ref_year,DeflatorTable,2,FALSE)/VLOOKUP(B9,DeflatorTable,2,FALSE)</f>
        <v>1.1413971588333081</v>
      </c>
      <c r="D9" s="1032" t="str">
        <f>'HyARC Physical Property Data'!H72</f>
        <v>mmBtu</v>
      </c>
      <c r="E9" s="727" t="s">
        <v>1031</v>
      </c>
      <c r="F9" s="254">
        <f>'HyARC Physical Property Data'!$E$6</f>
        <v>47.141269049911173</v>
      </c>
      <c r="G9" s="254">
        <f>'HyARC Physical Property Data'!$I$6</f>
        <v>52.224661236371581</v>
      </c>
      <c r="H9" s="254">
        <f>((7.95407009124756/(mmBTU_to_GJ))*($C$9))*($G$9/$F$9)</f>
        <v>9.5334063155208515</v>
      </c>
      <c r="I9" s="254">
        <f>((7.95407009124756/(mmBTU_to_GJ))*($C$9))*($G$9/$F$9)</f>
        <v>9.5334063155208515</v>
      </c>
      <c r="J9" s="254">
        <f>((7.95407009124756/(mmBTU_to_GJ))*($C$9))*($G$9/$F$9)</f>
        <v>9.5334063155208515</v>
      </c>
      <c r="K9" s="254">
        <f>((7.51525163650513/(mmBTU_to_GJ))*($C$9))*($G$9/$F$9)</f>
        <v>9.0074573887680014</v>
      </c>
      <c r="L9" s="254">
        <f>((8.80127239227294/(mmBTU_to_GJ))*($C$9))*($G$9/$F$9)</f>
        <v>10.54882655628621</v>
      </c>
      <c r="M9" s="254">
        <f>((4.84856796264648/(mmBTU_to_GJ))*($C$9))*($G$9/$F$9)</f>
        <v>5.8112850284270117</v>
      </c>
      <c r="N9" s="254">
        <f>((5.49891996383666/(mmBTU_to_GJ))*($C$9))*($G$9/$F$9)</f>
        <v>6.5907689661258342</v>
      </c>
      <c r="O9" s="254">
        <f>((5.82616424560547/(mmBTU_to_GJ))*($C$9))*($G$9/$F$9)</f>
        <v>6.9829898878355561</v>
      </c>
      <c r="P9" s="254">
        <f>((5.87778615951538/(mmBTU_to_GJ))*($C$9))*($G$9/$F$9)</f>
        <v>7.0448616936459612</v>
      </c>
      <c r="Q9" s="254">
        <f>((5.95383930206299/(mmBTU_to_GJ))*($C$9))*($G$9/$F$9)</f>
        <v>7.1360157193411098</v>
      </c>
      <c r="R9" s="254">
        <f>((6.10985708236694/(mmBTU_to_GJ))*($C$9))*($G$9/$F$9)</f>
        <v>7.3230119206594617</v>
      </c>
      <c r="S9" s="254">
        <f>((6.32948446273804/(mmBTU_to_GJ))*($C$9))*($G$9/$F$9)</f>
        <v>7.5862478528390263</v>
      </c>
      <c r="T9" s="254">
        <f>((6.51258134841919/(mmBTU_to_GJ))*($C$9))*($G$9/$F$9)</f>
        <v>7.8056999052198099</v>
      </c>
      <c r="U9" s="254">
        <f>((6.70273017883301/(mmBTU_to_GJ))*($C$9))*($G$9/$F$9)</f>
        <v>8.0336041152607454</v>
      </c>
      <c r="V9" s="254">
        <f>((6.89887094497681/(mmBTU_to_GJ))*($C$9))*($G$9/$F$9)</f>
        <v>8.2686900017610387</v>
      </c>
      <c r="W9" s="254">
        <f>((7.15282821655273/(mmBTU_to_GJ))*($C$9))*($G$9/$F$9)</f>
        <v>8.5730722650476565</v>
      </c>
      <c r="X9" s="254">
        <f>((7.46860218048096/(mmBTU_to_GJ))*($C$9))*($G$9/$F$9)</f>
        <v>8.9515453571194765</v>
      </c>
      <c r="Y9" s="254">
        <f>((7.67867755889893/(mmBTU_to_GJ))*($C$9))*($G$9/$F$9)</f>
        <v>9.2033326705791669</v>
      </c>
      <c r="Z9" s="254">
        <f>((7.75380706787109/(mmBTU_to_GJ))*($C$9))*($G$9/$F$9)</f>
        <v>9.2933796687952501</v>
      </c>
      <c r="AA9" s="254">
        <f>((7.55847835540771/(mmBTU_to_GJ))*($C$9))*($G$9/$F$9)</f>
        <v>9.0592670749107693</v>
      </c>
      <c r="AB9" s="254">
        <f>((7.54617786407471/(mmBTU_to_GJ))*($C$9))*($G$9/$F$9)</f>
        <v>9.0445242350297033</v>
      </c>
      <c r="AC9" s="254">
        <f>((7.45927095413208/(mmBTU_to_GJ))*($C$9))*($G$9/$F$9)</f>
        <v>8.9403613505435402</v>
      </c>
      <c r="AD9" s="254">
        <f>((7.60022306442261/(mmBTU_to_GJ))*($C$9))*($G$9/$F$9)</f>
        <v>9.109300487741784</v>
      </c>
      <c r="AE9" s="254">
        <f>((7.85960483551025/(mmBTU_to_GJ))*($C$9))*($G$9/$F$9)</f>
        <v>9.4201843228413633</v>
      </c>
      <c r="AF9" s="254">
        <f>((8.19417572021484/(mmBTU_to_GJ))*($C$9))*($G$9/$F$9)</f>
        <v>9.8211865957207394</v>
      </c>
      <c r="AG9" s="254">
        <f>((8.42161273956299/(mmBTU_to_GJ))*($C$9))*($G$9/$F$9)</f>
        <v>10.09378282529417</v>
      </c>
      <c r="AH9" s="254">
        <f>((8.69355010986328/(mmBTU_to_GJ))*($C$9))*($G$9/$F$9)</f>
        <v>10.419715261607452</v>
      </c>
      <c r="AI9" s="254">
        <f>($BB9-$AH9)/20+AH9</f>
        <v>10.508172902024802</v>
      </c>
      <c r="AJ9" s="254">
        <f t="shared" si="30"/>
        <v>10.596630542442151</v>
      </c>
      <c r="AK9" s="254">
        <f t="shared" si="30"/>
        <v>10.6850881828595</v>
      </c>
      <c r="AL9" s="254">
        <f t="shared" si="30"/>
        <v>10.77354582327685</v>
      </c>
      <c r="AM9" s="254">
        <f t="shared" si="30"/>
        <v>10.862003463694199</v>
      </c>
      <c r="AN9" s="254">
        <f t="shared" si="30"/>
        <v>10.950461104111548</v>
      </c>
      <c r="AO9" s="254">
        <f t="shared" si="30"/>
        <v>11.038918744528898</v>
      </c>
      <c r="AP9" s="254">
        <f t="shared" si="30"/>
        <v>11.127376384946247</v>
      </c>
      <c r="AQ9" s="254">
        <f t="shared" si="30"/>
        <v>11.215834025363597</v>
      </c>
      <c r="AR9" s="254">
        <f t="shared" si="30"/>
        <v>11.304291665780946</v>
      </c>
      <c r="AS9" s="254">
        <f t="shared" si="30"/>
        <v>11.392749306198295</v>
      </c>
      <c r="AT9" s="254">
        <f t="shared" si="30"/>
        <v>11.481206946615645</v>
      </c>
      <c r="AU9" s="254">
        <f t="shared" si="30"/>
        <v>11.569664587032994</v>
      </c>
      <c r="AV9" s="254">
        <f t="shared" si="30"/>
        <v>11.658122227450344</v>
      </c>
      <c r="AW9" s="254">
        <f t="shared" si="30"/>
        <v>11.746579867867693</v>
      </c>
      <c r="AX9" s="254">
        <f t="shared" si="30"/>
        <v>11.835037508285042</v>
      </c>
      <c r="AY9" s="254">
        <f t="shared" si="30"/>
        <v>11.923495148702392</v>
      </c>
      <c r="AZ9" s="254">
        <f t="shared" si="31"/>
        <v>12.011952789119741</v>
      </c>
      <c r="BA9" s="254">
        <f t="shared" si="31"/>
        <v>12.10041042953709</v>
      </c>
      <c r="BB9" s="861">
        <f>1.16978897829057*AH9</f>
        <v>12.18886806995444</v>
      </c>
      <c r="BC9" s="254">
        <f t="shared" si="34"/>
        <v>12.309559234303295</v>
      </c>
      <c r="BD9" s="254">
        <f t="shared" si="34"/>
        <v>12.43025039865215</v>
      </c>
      <c r="BE9" s="254">
        <f t="shared" si="34"/>
        <v>12.550941563001006</v>
      </c>
      <c r="BF9" s="254">
        <f t="shared" si="34"/>
        <v>12.671632727349861</v>
      </c>
      <c r="BG9" s="254">
        <f t="shared" si="34"/>
        <v>12.792323891698716</v>
      </c>
      <c r="BH9" s="254">
        <f t="shared" si="34"/>
        <v>12.913015056047572</v>
      </c>
      <c r="BI9" s="254">
        <f t="shared" si="34"/>
        <v>13.033706220396427</v>
      </c>
      <c r="BJ9" s="254">
        <f t="shared" si="34"/>
        <v>13.154397384745282</v>
      </c>
      <c r="BK9" s="254">
        <f t="shared" si="34"/>
        <v>13.275088549094137</v>
      </c>
      <c r="BL9" s="254">
        <f t="shared" si="34"/>
        <v>13.395779713442993</v>
      </c>
      <c r="BM9" s="254">
        <f t="shared" si="34"/>
        <v>13.516470877791848</v>
      </c>
      <c r="BN9" s="254">
        <f t="shared" si="34"/>
        <v>13.637162042140703</v>
      </c>
      <c r="BO9" s="254">
        <f t="shared" si="34"/>
        <v>13.757853206489559</v>
      </c>
      <c r="BP9" s="254">
        <f t="shared" si="34"/>
        <v>13.878544370838414</v>
      </c>
      <c r="BQ9" s="861">
        <f>1.14852629914794*BB9</f>
        <v>13.999235535187266</v>
      </c>
      <c r="BR9" s="254">
        <f t="shared" si="35"/>
        <v>14.137852511516721</v>
      </c>
      <c r="BS9" s="254">
        <f t="shared" si="35"/>
        <v>14.276469487846176</v>
      </c>
      <c r="BT9" s="254">
        <f t="shared" si="35"/>
        <v>14.415086464175632</v>
      </c>
      <c r="BU9" s="254">
        <f t="shared" si="35"/>
        <v>14.553703440505087</v>
      </c>
      <c r="BV9" s="864">
        <f>1.04950876638265*BQ9</f>
        <v>14.692320416834542</v>
      </c>
      <c r="BW9" s="1074">
        <f>+BV9*BW$135/BV$135</f>
        <v>14.741103240754025</v>
      </c>
      <c r="BX9" s="1074">
        <f t="shared" ref="BX9:CZ9" si="38">+BW9*BX$135/BW$135</f>
        <v>14.79004803799304</v>
      </c>
      <c r="BY9" s="1074">
        <f t="shared" si="38"/>
        <v>14.839155346350635</v>
      </c>
      <c r="BZ9" s="1074">
        <f t="shared" si="38"/>
        <v>14.888425705411509</v>
      </c>
      <c r="CA9" s="1074">
        <f t="shared" si="38"/>
        <v>14.937859656551939</v>
      </c>
      <c r="CB9" s="1074">
        <f t="shared" si="38"/>
        <v>14.969735977130417</v>
      </c>
      <c r="CC9" s="1074">
        <f t="shared" si="38"/>
        <v>15.001680319489591</v>
      </c>
      <c r="CD9" s="1074">
        <f t="shared" si="38"/>
        <v>15.033692828783058</v>
      </c>
      <c r="CE9" s="1074">
        <f t="shared" si="38"/>
        <v>15.065773650474167</v>
      </c>
      <c r="CF9" s="1074">
        <f t="shared" si="38"/>
        <v>15.09792293033667</v>
      </c>
      <c r="CG9" s="1074">
        <f t="shared" si="38"/>
        <v>15.10836159757225</v>
      </c>
      <c r="CH9" s="1074">
        <f t="shared" si="38"/>
        <v>15.118807482076999</v>
      </c>
      <c r="CI9" s="1074">
        <f t="shared" si="38"/>
        <v>15.129260588840916</v>
      </c>
      <c r="CJ9" s="1074">
        <f t="shared" si="38"/>
        <v>15.139720922857455</v>
      </c>
      <c r="CK9" s="1074">
        <f t="shared" si="38"/>
        <v>15.150188489123522</v>
      </c>
      <c r="CL9" s="1074">
        <f t="shared" si="38"/>
        <v>15.153736529429171</v>
      </c>
      <c r="CM9" s="1074">
        <f t="shared" si="38"/>
        <v>15.157285400654516</v>
      </c>
      <c r="CN9" s="1074">
        <f t="shared" si="38"/>
        <v>15.160835102994151</v>
      </c>
      <c r="CO9" s="1074">
        <f t="shared" si="38"/>
        <v>15.164385636642713</v>
      </c>
      <c r="CP9" s="1074">
        <f t="shared" si="38"/>
        <v>15.167937001794892</v>
      </c>
      <c r="CQ9" s="1074">
        <f t="shared" si="38"/>
        <v>15.173319436656698</v>
      </c>
      <c r="CR9" s="1074">
        <f t="shared" si="38"/>
        <v>15.178703781508307</v>
      </c>
      <c r="CS9" s="1074">
        <f t="shared" si="38"/>
        <v>15.184090037027495</v>
      </c>
      <c r="CT9" s="1074">
        <f t="shared" si="38"/>
        <v>15.189478203892271</v>
      </c>
      <c r="CU9" s="1074">
        <f t="shared" si="38"/>
        <v>15.194868282780888</v>
      </c>
      <c r="CV9" s="1074">
        <f t="shared" si="38"/>
        <v>15.203163637010553</v>
      </c>
      <c r="CW9" s="1074">
        <f t="shared" si="38"/>
        <v>15.211463519933757</v>
      </c>
      <c r="CX9" s="1074">
        <f t="shared" si="38"/>
        <v>15.219767934022853</v>
      </c>
      <c r="CY9" s="1074">
        <f t="shared" si="38"/>
        <v>15.228076881751546</v>
      </c>
      <c r="CZ9" s="1074">
        <f t="shared" si="38"/>
        <v>15.236390365594895</v>
      </c>
    </row>
    <row r="10" spans="1:104" x14ac:dyDescent="0.25">
      <c r="A10" s="728" t="str">
        <f>'HyARC Physical Property Data'!A74</f>
        <v>Electric Utility Natural Gas</v>
      </c>
      <c r="B10" s="254">
        <v>2007</v>
      </c>
      <c r="C10" s="727">
        <f t="shared" si="37"/>
        <v>1.1413971588333081</v>
      </c>
      <c r="D10" s="1032" t="str">
        <f>'HyARC Physical Property Data'!H74</f>
        <v>mmBtu</v>
      </c>
      <c r="E10" s="727" t="s">
        <v>1031</v>
      </c>
      <c r="F10" s="254">
        <f>'HyARC Physical Property Data'!$E$6</f>
        <v>47.141269049911173</v>
      </c>
      <c r="G10" s="254">
        <f>'HyARC Physical Property Data'!$I$6</f>
        <v>52.224661236371581</v>
      </c>
      <c r="H10" s="254">
        <f>((7.05463790893555/(mmBTU_to_GJ))*($C$10))*($G$10/$F$10)</f>
        <v>8.4553855853953603</v>
      </c>
      <c r="I10" s="254">
        <f>((7.05463790893555/(mmBTU_to_GJ))*($C$10))*($G$10/$F$10)</f>
        <v>8.4553855853953603</v>
      </c>
      <c r="J10" s="254">
        <f>((7.05463790893555/(mmBTU_to_GJ))*($C$10))*($G$10/$F$10)</f>
        <v>8.4553855853953603</v>
      </c>
      <c r="K10" s="254">
        <f>((7.01915979385375/(mmBTU_to_GJ))*($C$10))*($G$10/$F$10)</f>
        <v>8.4128630425332123</v>
      </c>
      <c r="L10" s="254">
        <f>((8.87161254882813/(mmBTU_to_GJ))*($C$10))*($G$10/$F$10)</f>
        <v>10.63313324268012</v>
      </c>
      <c r="M10" s="254">
        <f>((4.55562210083008/(mmBTU_to_GJ))*($C$10))*($G$10/$F$10)</f>
        <v>5.4601727177347454</v>
      </c>
      <c r="N10" s="254">
        <f>((5.12931346893311/(mmBTU_to_GJ))*($C$10))*($G$10/$F$10)</f>
        <v>6.1477745177052308</v>
      </c>
      <c r="O10" s="254">
        <f>((5.45354604721069/(mmBTU_to_GJ))*($C$10))*($G$10/$F$10)</f>
        <v>6.5363857411404362</v>
      </c>
      <c r="P10" s="254">
        <f>((5.51876354217529/(mmBTU_to_GJ))*($C$10))*($G$10/$F$10)</f>
        <v>6.6145526256719327</v>
      </c>
      <c r="Q10" s="254">
        <f>((5.53977298736572/(mmBTU_to_GJ))*($C$10))*($G$10/$F$10)</f>
        <v>6.6397336430839395</v>
      </c>
      <c r="R10" s="254">
        <f>((5.68350362777709/(mmBTU_to_GJ))*($C$10))*($G$10/$F$10)</f>
        <v>6.8120030069834847</v>
      </c>
      <c r="S10" s="254">
        <f>((5.8920464515686/(mmBTU_to_GJ))*($C$10))*($G$10/$F$10)</f>
        <v>7.0619534663813974</v>
      </c>
      <c r="T10" s="254">
        <f>((6.08193254470825/(mmBTU_to_GJ))*($C$10))*($G$10/$F$10)</f>
        <v>7.2895427708255562</v>
      </c>
      <c r="U10" s="254">
        <f>((6.26939964294434/(mmBTU_to_GJ))*($C$10))*($G$10/$F$10)</f>
        <v>7.5142327720166309</v>
      </c>
      <c r="V10" s="254">
        <f>((6.47751331329346/(mmBTU_to_GJ))*($C$10))*($G$10/$F$10)</f>
        <v>7.7636688665559168</v>
      </c>
      <c r="W10" s="254">
        <f>((6.73541975021362/(mmBTU_to_GJ))*($C$10))*($G$10/$F$10)</f>
        <v>8.0727844295748614</v>
      </c>
      <c r="X10" s="254">
        <f>((7.02784395217896/(mmBTU_to_GJ))*($C$10))*($G$10/$F$10)</f>
        <v>8.4232715012056651</v>
      </c>
      <c r="Y10" s="254">
        <f>((7.25390911102295/(mmBTU_to_GJ))*($C$10))*($G$10/$F$10)</f>
        <v>8.6942234777810281</v>
      </c>
      <c r="Z10" s="254">
        <f>((7.3283839225769/(mmBTU_to_GJ))*($C$10))*($G$10/$F$10)</f>
        <v>8.7834857838294642</v>
      </c>
      <c r="AA10" s="254">
        <f>((7.15062761306763/(mmBTU_to_GJ))*($C$10))*($G$10/$F$10)</f>
        <v>8.5704347163559618</v>
      </c>
      <c r="AB10" s="254">
        <f>((7.19241189956665/(mmBTU_to_GJ))*($C$10))*($G$10/$F$10)</f>
        <v>8.6205155650572607</v>
      </c>
      <c r="AC10" s="254">
        <f>((7.13988399505615/(mmBTU_to_GJ))*($C$10))*($G$10/$F$10)</f>
        <v>8.5575578778786525</v>
      </c>
      <c r="AD10" s="254">
        <f>((7.28062534332275/(mmBTU_to_GJ))*($C$10))*($G$10/$F$10)</f>
        <v>8.7262444047796599</v>
      </c>
      <c r="AE10" s="254">
        <f>((7.5354790687561/(mmBTU_to_GJ))*($C$10))*($G$10/$F$10)</f>
        <v>9.0317011191042926</v>
      </c>
      <c r="AF10" s="254">
        <f>((7.86007928848267/(mmBTU_to_GJ))*($C$10))*($G$10/$F$10)</f>
        <v>9.4207529817684019</v>
      </c>
      <c r="AG10" s="254">
        <f>((8.07421207427979/(mmBTU_to_GJ))*($C$10))*($G$10/$F$10)</f>
        <v>9.6774033292080919</v>
      </c>
      <c r="AH10" s="254">
        <f>((8.33951759338379/(mmBTU_to_GJ))*($C$10))*($G$10/$F$10)</f>
        <v>9.9953871139061636</v>
      </c>
      <c r="AI10" s="254">
        <f>($BB10-$AH10)/20+AH10</f>
        <v>10.080242442190606</v>
      </c>
      <c r="AJ10" s="254">
        <f t="shared" si="30"/>
        <v>10.165097770475048</v>
      </c>
      <c r="AK10" s="254">
        <f t="shared" si="30"/>
        <v>10.249953098759491</v>
      </c>
      <c r="AL10" s="254">
        <f t="shared" si="30"/>
        <v>10.334808427043933</v>
      </c>
      <c r="AM10" s="254">
        <f t="shared" si="30"/>
        <v>10.419663755328376</v>
      </c>
      <c r="AN10" s="254">
        <f t="shared" si="30"/>
        <v>10.504519083612818</v>
      </c>
      <c r="AO10" s="254">
        <f t="shared" si="30"/>
        <v>10.589374411897261</v>
      </c>
      <c r="AP10" s="254">
        <f t="shared" si="30"/>
        <v>10.674229740181703</v>
      </c>
      <c r="AQ10" s="254">
        <f t="shared" si="30"/>
        <v>10.759085068466145</v>
      </c>
      <c r="AR10" s="254">
        <f t="shared" si="30"/>
        <v>10.843940396750588</v>
      </c>
      <c r="AS10" s="254">
        <f t="shared" si="30"/>
        <v>10.92879572503503</v>
      </c>
      <c r="AT10" s="254">
        <f t="shared" si="30"/>
        <v>11.013651053319473</v>
      </c>
      <c r="AU10" s="254">
        <f t="shared" si="30"/>
        <v>11.098506381603915</v>
      </c>
      <c r="AV10" s="254">
        <f t="shared" si="30"/>
        <v>11.183361709888358</v>
      </c>
      <c r="AW10" s="254">
        <f t="shared" si="30"/>
        <v>11.2682170381728</v>
      </c>
      <c r="AX10" s="254">
        <f t="shared" si="30"/>
        <v>11.353072366457242</v>
      </c>
      <c r="AY10" s="254">
        <f t="shared" si="30"/>
        <v>11.437927694741685</v>
      </c>
      <c r="AZ10" s="254">
        <f t="shared" si="31"/>
        <v>11.522783023026127</v>
      </c>
      <c r="BA10" s="254">
        <f t="shared" si="31"/>
        <v>11.60763835131057</v>
      </c>
      <c r="BB10" s="861">
        <f>1.16978897829057*AH10</f>
        <v>11.692493679595019</v>
      </c>
      <c r="BC10" s="254">
        <f t="shared" si="34"/>
        <v>11.808269867197748</v>
      </c>
      <c r="BD10" s="254">
        <f t="shared" si="34"/>
        <v>11.924046054800476</v>
      </c>
      <c r="BE10" s="254">
        <f t="shared" si="34"/>
        <v>12.039822242403204</v>
      </c>
      <c r="BF10" s="254">
        <f t="shared" si="34"/>
        <v>12.155598430005933</v>
      </c>
      <c r="BG10" s="254">
        <f t="shared" si="34"/>
        <v>12.271374617608661</v>
      </c>
      <c r="BH10" s="254">
        <f t="shared" si="34"/>
        <v>12.387150805211389</v>
      </c>
      <c r="BI10" s="254">
        <f t="shared" si="34"/>
        <v>12.502926992814118</v>
      </c>
      <c r="BJ10" s="254">
        <f t="shared" si="34"/>
        <v>12.618703180416846</v>
      </c>
      <c r="BK10" s="254">
        <f t="shared" si="34"/>
        <v>12.734479368019574</v>
      </c>
      <c r="BL10" s="254">
        <f t="shared" si="34"/>
        <v>12.850255555622303</v>
      </c>
      <c r="BM10" s="254">
        <f t="shared" si="34"/>
        <v>12.966031743225031</v>
      </c>
      <c r="BN10" s="254">
        <f t="shared" si="34"/>
        <v>13.081807930827759</v>
      </c>
      <c r="BO10" s="254">
        <f t="shared" si="34"/>
        <v>13.197584118430488</v>
      </c>
      <c r="BP10" s="254">
        <f t="shared" si="34"/>
        <v>13.313360306033216</v>
      </c>
      <c r="BQ10" s="861">
        <f>1.14852629914794*BB10</f>
        <v>13.429136493635946</v>
      </c>
      <c r="BR10" s="254">
        <f t="shared" si="35"/>
        <v>13.562108489912774</v>
      </c>
      <c r="BS10" s="254">
        <f t="shared" si="35"/>
        <v>13.695080486189601</v>
      </c>
      <c r="BT10" s="254">
        <f t="shared" si="35"/>
        <v>13.828052482466429</v>
      </c>
      <c r="BU10" s="254">
        <f t="shared" si="35"/>
        <v>13.961024478743257</v>
      </c>
      <c r="BV10" s="864">
        <f>1.04950876638265*BQ10</f>
        <v>14.093996475020086</v>
      </c>
      <c r="BW10" s="1074">
        <f>+BV10*BW$136/BV$136</f>
        <v>14.140792687521339</v>
      </c>
      <c r="BX10" s="1074">
        <f t="shared" ref="BX10:CZ10" si="39">+BW10*BX$136/BW$136</f>
        <v>14.187744277208072</v>
      </c>
      <c r="BY10" s="1074">
        <f t="shared" si="39"/>
        <v>14.234851759978229</v>
      </c>
      <c r="BZ10" s="1074">
        <f t="shared" si="39"/>
        <v>14.282115653442684</v>
      </c>
      <c r="CA10" s="1074">
        <f t="shared" si="39"/>
        <v>14.329536476930937</v>
      </c>
      <c r="CB10" s="1074">
        <f t="shared" si="39"/>
        <v>14.360114679496878</v>
      </c>
      <c r="CC10" s="1074">
        <f t="shared" si="39"/>
        <v>14.390758133752827</v>
      </c>
      <c r="CD10" s="1074">
        <f t="shared" si="39"/>
        <v>14.42146697894121</v>
      </c>
      <c r="CE10" s="1074">
        <f t="shared" si="39"/>
        <v>14.452241354601584</v>
      </c>
      <c r="CF10" s="1074">
        <f t="shared" si="39"/>
        <v>14.483081400571274</v>
      </c>
      <c r="CG10" s="1074">
        <f t="shared" si="39"/>
        <v>14.493094967866853</v>
      </c>
      <c r="CH10" s="1074">
        <f t="shared" si="39"/>
        <v>14.503115458518533</v>
      </c>
      <c r="CI10" s="1074">
        <f t="shared" si="39"/>
        <v>14.513142877313106</v>
      </c>
      <c r="CJ10" s="1074">
        <f t="shared" si="39"/>
        <v>14.523177229040675</v>
      </c>
      <c r="CK10" s="1074">
        <f t="shared" si="39"/>
        <v>14.53321851849465</v>
      </c>
      <c r="CL10" s="1074">
        <f t="shared" si="39"/>
        <v>14.536622069883558</v>
      </c>
      <c r="CM10" s="1074">
        <f t="shared" si="39"/>
        <v>14.540026418354136</v>
      </c>
      <c r="CN10" s="1074">
        <f t="shared" si="39"/>
        <v>14.543431564093051</v>
      </c>
      <c r="CO10" s="1074">
        <f t="shared" si="39"/>
        <v>14.546837507287016</v>
      </c>
      <c r="CP10" s="1074">
        <f t="shared" si="39"/>
        <v>14.550244248122791</v>
      </c>
      <c r="CQ10" s="1074">
        <f t="shared" si="39"/>
        <v>14.555407490947415</v>
      </c>
      <c r="CR10" s="1074">
        <f t="shared" si="39"/>
        <v>14.560572565980214</v>
      </c>
      <c r="CS10" s="1074">
        <f t="shared" si="39"/>
        <v>14.565739473871359</v>
      </c>
      <c r="CT10" s="1074">
        <f t="shared" si="39"/>
        <v>14.570908215271251</v>
      </c>
      <c r="CU10" s="1074">
        <f t="shared" si="39"/>
        <v>14.576078790830522</v>
      </c>
      <c r="CV10" s="1074">
        <f t="shared" si="39"/>
        <v>14.584036328507008</v>
      </c>
      <c r="CW10" s="1074">
        <f t="shared" si="39"/>
        <v>14.591998210452399</v>
      </c>
      <c r="CX10" s="1074">
        <f t="shared" si="39"/>
        <v>14.59996443903837</v>
      </c>
      <c r="CY10" s="1074">
        <f t="shared" si="39"/>
        <v>14.607935016637887</v>
      </c>
      <c r="CZ10" s="1074">
        <f t="shared" si="39"/>
        <v>14.615909945625214</v>
      </c>
    </row>
    <row r="11" spans="1:104" x14ac:dyDescent="0.25">
      <c r="A11" s="728" t="str">
        <f>'HyARC Physical Property Data'!A75</f>
        <v>Bio Methane</v>
      </c>
      <c r="B11" s="254">
        <v>2007</v>
      </c>
      <c r="C11" s="727">
        <f t="shared" si="37"/>
        <v>1.1413971588333081</v>
      </c>
      <c r="D11" s="1032" t="str">
        <f>'HyARC Physical Property Data'!H75</f>
        <v>mmBtu</v>
      </c>
      <c r="E11" s="727" t="s">
        <v>1031</v>
      </c>
      <c r="F11" s="254">
        <f>'HyARC Physical Property Data'!$E$6</f>
        <v>47.141269049911173</v>
      </c>
      <c r="G11" s="254">
        <f>'HyARC Physical Property Data'!$I$6</f>
        <v>52.224661236371581</v>
      </c>
      <c r="H11" s="254">
        <f t="shared" ref="H11:AM11" si="40">13.11*($C$11/mmBTU_to_GJ)</f>
        <v>14.183617774696369</v>
      </c>
      <c r="I11" s="254">
        <f t="shared" si="40"/>
        <v>14.183617774696369</v>
      </c>
      <c r="J11" s="254">
        <f t="shared" si="40"/>
        <v>14.183617774696369</v>
      </c>
      <c r="K11" s="254">
        <f t="shared" si="40"/>
        <v>14.183617774696369</v>
      </c>
      <c r="L11" s="254">
        <f t="shared" si="40"/>
        <v>14.183617774696369</v>
      </c>
      <c r="M11" s="254">
        <f t="shared" si="40"/>
        <v>14.183617774696369</v>
      </c>
      <c r="N11" s="254">
        <f t="shared" si="40"/>
        <v>14.183617774696369</v>
      </c>
      <c r="O11" s="254">
        <f t="shared" si="40"/>
        <v>14.183617774696369</v>
      </c>
      <c r="P11" s="254">
        <f t="shared" si="40"/>
        <v>14.183617774696369</v>
      </c>
      <c r="Q11" s="254">
        <f t="shared" si="40"/>
        <v>14.183617774696369</v>
      </c>
      <c r="R11" s="254">
        <f t="shared" si="40"/>
        <v>14.183617774696369</v>
      </c>
      <c r="S11" s="254">
        <f t="shared" si="40"/>
        <v>14.183617774696369</v>
      </c>
      <c r="T11" s="254">
        <f t="shared" si="40"/>
        <v>14.183617774696369</v>
      </c>
      <c r="U11" s="254">
        <f t="shared" si="40"/>
        <v>14.183617774696369</v>
      </c>
      <c r="V11" s="254">
        <f t="shared" si="40"/>
        <v>14.183617774696369</v>
      </c>
      <c r="W11" s="254">
        <f t="shared" si="40"/>
        <v>14.183617774696369</v>
      </c>
      <c r="X11" s="254">
        <f t="shared" si="40"/>
        <v>14.183617774696369</v>
      </c>
      <c r="Y11" s="254">
        <f t="shared" si="40"/>
        <v>14.183617774696369</v>
      </c>
      <c r="Z11" s="254">
        <f t="shared" si="40"/>
        <v>14.183617774696369</v>
      </c>
      <c r="AA11" s="254">
        <f t="shared" si="40"/>
        <v>14.183617774696369</v>
      </c>
      <c r="AB11" s="254">
        <f t="shared" si="40"/>
        <v>14.183617774696369</v>
      </c>
      <c r="AC11" s="254">
        <f t="shared" si="40"/>
        <v>14.183617774696369</v>
      </c>
      <c r="AD11" s="254">
        <f t="shared" si="40"/>
        <v>14.183617774696369</v>
      </c>
      <c r="AE11" s="254">
        <f t="shared" si="40"/>
        <v>14.183617774696369</v>
      </c>
      <c r="AF11" s="254">
        <f t="shared" si="40"/>
        <v>14.183617774696369</v>
      </c>
      <c r="AG11" s="254">
        <f t="shared" si="40"/>
        <v>14.183617774696369</v>
      </c>
      <c r="AH11" s="254">
        <f t="shared" si="40"/>
        <v>14.183617774696369</v>
      </c>
      <c r="AI11" s="254">
        <f t="shared" si="40"/>
        <v>14.183617774696369</v>
      </c>
      <c r="AJ11" s="254">
        <f t="shared" si="40"/>
        <v>14.183617774696369</v>
      </c>
      <c r="AK11" s="254">
        <f t="shared" si="40"/>
        <v>14.183617774696369</v>
      </c>
      <c r="AL11" s="254">
        <f t="shared" si="40"/>
        <v>14.183617774696369</v>
      </c>
      <c r="AM11" s="254">
        <f t="shared" si="40"/>
        <v>14.183617774696369</v>
      </c>
      <c r="AN11" s="254">
        <f t="shared" ref="AN11:BV11" si="41">13.11*($C$11/mmBTU_to_GJ)</f>
        <v>14.183617774696369</v>
      </c>
      <c r="AO11" s="254">
        <f t="shared" si="41"/>
        <v>14.183617774696369</v>
      </c>
      <c r="AP11" s="254">
        <f t="shared" si="41"/>
        <v>14.183617774696369</v>
      </c>
      <c r="AQ11" s="254">
        <f t="shared" si="41"/>
        <v>14.183617774696369</v>
      </c>
      <c r="AR11" s="254">
        <f t="shared" si="41"/>
        <v>14.183617774696369</v>
      </c>
      <c r="AS11" s="254">
        <f t="shared" si="41"/>
        <v>14.183617774696369</v>
      </c>
      <c r="AT11" s="254">
        <f t="shared" si="41"/>
        <v>14.183617774696369</v>
      </c>
      <c r="AU11" s="254">
        <f t="shared" si="41"/>
        <v>14.183617774696369</v>
      </c>
      <c r="AV11" s="254">
        <f t="shared" si="41"/>
        <v>14.183617774696369</v>
      </c>
      <c r="AW11" s="254">
        <f t="shared" si="41"/>
        <v>14.183617774696369</v>
      </c>
      <c r="AX11" s="254">
        <f t="shared" si="41"/>
        <v>14.183617774696369</v>
      </c>
      <c r="AY11" s="254">
        <f t="shared" si="41"/>
        <v>14.183617774696369</v>
      </c>
      <c r="AZ11" s="254">
        <f t="shared" si="41"/>
        <v>14.183617774696369</v>
      </c>
      <c r="BA11" s="254">
        <f t="shared" si="41"/>
        <v>14.183617774696369</v>
      </c>
      <c r="BB11" s="254">
        <f t="shared" si="41"/>
        <v>14.183617774696369</v>
      </c>
      <c r="BC11" s="254">
        <f t="shared" si="41"/>
        <v>14.183617774696369</v>
      </c>
      <c r="BD11" s="254">
        <f t="shared" si="41"/>
        <v>14.183617774696369</v>
      </c>
      <c r="BE11" s="254">
        <f t="shared" si="41"/>
        <v>14.183617774696369</v>
      </c>
      <c r="BF11" s="254">
        <f t="shared" si="41"/>
        <v>14.183617774696369</v>
      </c>
      <c r="BG11" s="254">
        <f t="shared" si="41"/>
        <v>14.183617774696369</v>
      </c>
      <c r="BH11" s="254">
        <f t="shared" si="41"/>
        <v>14.183617774696369</v>
      </c>
      <c r="BI11" s="254">
        <f t="shared" si="41"/>
        <v>14.183617774696369</v>
      </c>
      <c r="BJ11" s="254">
        <f t="shared" si="41"/>
        <v>14.183617774696369</v>
      </c>
      <c r="BK11" s="254">
        <f t="shared" si="41"/>
        <v>14.183617774696369</v>
      </c>
      <c r="BL11" s="254">
        <f t="shared" si="41"/>
        <v>14.183617774696369</v>
      </c>
      <c r="BM11" s="254">
        <f t="shared" si="41"/>
        <v>14.183617774696369</v>
      </c>
      <c r="BN11" s="254">
        <f t="shared" si="41"/>
        <v>14.183617774696369</v>
      </c>
      <c r="BO11" s="254">
        <f t="shared" si="41"/>
        <v>14.183617774696369</v>
      </c>
      <c r="BP11" s="254">
        <f t="shared" si="41"/>
        <v>14.183617774696369</v>
      </c>
      <c r="BQ11" s="254">
        <f t="shared" si="41"/>
        <v>14.183617774696369</v>
      </c>
      <c r="BR11" s="254">
        <f t="shared" si="41"/>
        <v>14.183617774696369</v>
      </c>
      <c r="BS11" s="254">
        <f t="shared" si="41"/>
        <v>14.183617774696369</v>
      </c>
      <c r="BT11" s="254">
        <f t="shared" si="41"/>
        <v>14.183617774696369</v>
      </c>
      <c r="BU11" s="254">
        <f t="shared" si="41"/>
        <v>14.183617774696369</v>
      </c>
      <c r="BV11" s="254">
        <f t="shared" si="41"/>
        <v>14.183617774696369</v>
      </c>
      <c r="BW11" s="1074">
        <f>+BV11*BW$136/BV$136</f>
        <v>14.230711556264829</v>
      </c>
      <c r="BX11" s="1074">
        <f t="shared" ref="BX11:CZ11" si="42">+BW11*BX$136/BW$136</f>
        <v>14.277961703035571</v>
      </c>
      <c r="BY11" s="1074">
        <f t="shared" si="42"/>
        <v>14.325368734187041</v>
      </c>
      <c r="BZ11" s="1074">
        <f t="shared" si="42"/>
        <v>14.372933170621517</v>
      </c>
      <c r="CA11" s="1074">
        <f t="shared" si="42"/>
        <v>14.420655534970821</v>
      </c>
      <c r="CB11" s="1074">
        <f t="shared" si="42"/>
        <v>14.451428179067991</v>
      </c>
      <c r="CC11" s="1074">
        <f t="shared" si="42"/>
        <v>14.482266489779443</v>
      </c>
      <c r="CD11" s="1074">
        <f t="shared" si="42"/>
        <v>14.51317060723302</v>
      </c>
      <c r="CE11" s="1074">
        <f t="shared" si="42"/>
        <v>14.54414067185559</v>
      </c>
      <c r="CF11" s="1074">
        <f t="shared" si="42"/>
        <v>14.575176824373679</v>
      </c>
      <c r="CG11" s="1074">
        <f t="shared" si="42"/>
        <v>14.585254066221541</v>
      </c>
      <c r="CH11" s="1074">
        <f t="shared" si="42"/>
        <v>14.595338275449933</v>
      </c>
      <c r="CI11" s="1074">
        <f t="shared" si="42"/>
        <v>14.605429456876088</v>
      </c>
      <c r="CJ11" s="1074">
        <f t="shared" si="42"/>
        <v>14.615527615320566</v>
      </c>
      <c r="CK11" s="1074">
        <f t="shared" si="42"/>
        <v>14.625632755607262</v>
      </c>
      <c r="CL11" s="1074">
        <f t="shared" si="42"/>
        <v>14.629057949594106</v>
      </c>
      <c r="CM11" s="1074">
        <f t="shared" si="42"/>
        <v>14.632483945731124</v>
      </c>
      <c r="CN11" s="1074">
        <f t="shared" si="42"/>
        <v>14.635910744206171</v>
      </c>
      <c r="CO11" s="1074">
        <f t="shared" si="42"/>
        <v>14.639338345207147</v>
      </c>
      <c r="CP11" s="1074">
        <f t="shared" si="42"/>
        <v>14.642766748922</v>
      </c>
      <c r="CQ11" s="1074">
        <f t="shared" si="42"/>
        <v>14.647962823919764</v>
      </c>
      <c r="CR11" s="1074">
        <f t="shared" si="42"/>
        <v>14.6531607427764</v>
      </c>
      <c r="CS11" s="1074">
        <f t="shared" si="42"/>
        <v>14.658360506146211</v>
      </c>
      <c r="CT11" s="1074">
        <f t="shared" si="42"/>
        <v>14.663562114683737</v>
      </c>
      <c r="CU11" s="1074">
        <f t="shared" si="42"/>
        <v>14.668765569043746</v>
      </c>
      <c r="CV11" s="1074">
        <f t="shared" si="42"/>
        <v>14.676773707333766</v>
      </c>
      <c r="CW11" s="1074">
        <f t="shared" si="42"/>
        <v>14.68478621751715</v>
      </c>
      <c r="CX11" s="1074">
        <f t="shared" si="42"/>
        <v>14.692803101980653</v>
      </c>
      <c r="CY11" s="1074">
        <f t="shared" si="42"/>
        <v>14.700824363112332</v>
      </c>
      <c r="CZ11" s="1074">
        <f t="shared" si="42"/>
        <v>14.708850003301547</v>
      </c>
    </row>
    <row r="12" spans="1:104" x14ac:dyDescent="0.25">
      <c r="A12" s="807" t="str">
        <f>'HyARC Physical Property Data'!A85</f>
        <v>Woody Biomass</v>
      </c>
      <c r="B12" s="254">
        <v>2005</v>
      </c>
      <c r="C12" s="727">
        <f>VLOOKUP(ref_year,DeflatorTable,2,FALSE)/VLOOKUP(B12,DeflatorTable,2,FALSE)</f>
        <v>1.208440716126562</v>
      </c>
      <c r="D12" s="1032" t="str">
        <f>+'HyARC Physical Property Data'!$H$85</f>
        <v>kg</v>
      </c>
      <c r="E12" s="748" t="s">
        <v>1025</v>
      </c>
      <c r="F12" s="254">
        <f>'HyARC Physical Property Data'!$E$45</f>
        <v>19.551069237418005</v>
      </c>
      <c r="G12" s="254">
        <f>'HyARC Physical Property Data'!$I$45</f>
        <v>20.588656379262464</v>
      </c>
      <c r="H12" s="808">
        <f t="shared" ref="H12:O12" si="43">1.27*($C$12)</f>
        <v>1.5347197094807337</v>
      </c>
      <c r="I12" s="808">
        <f t="shared" si="43"/>
        <v>1.5347197094807337</v>
      </c>
      <c r="J12" s="808">
        <f t="shared" si="43"/>
        <v>1.5347197094807337</v>
      </c>
      <c r="K12" s="808">
        <f t="shared" si="43"/>
        <v>1.5347197094807337</v>
      </c>
      <c r="L12" s="808">
        <f t="shared" si="43"/>
        <v>1.5347197094807337</v>
      </c>
      <c r="M12" s="808">
        <f t="shared" si="43"/>
        <v>1.5347197094807337</v>
      </c>
      <c r="N12" s="808">
        <f t="shared" si="43"/>
        <v>1.5347197094807337</v>
      </c>
      <c r="O12" s="808">
        <f t="shared" si="43"/>
        <v>1.5347197094807337</v>
      </c>
      <c r="P12" s="808">
        <f>1.28*($C$12)</f>
        <v>1.5468041166419995</v>
      </c>
      <c r="Q12" s="808">
        <f>1.32*($C$12)</f>
        <v>1.595141745287062</v>
      </c>
      <c r="R12" s="808">
        <f>1.32*($C$12)</f>
        <v>1.595141745287062</v>
      </c>
      <c r="S12" s="808">
        <f>1.34*($C$12)</f>
        <v>1.6193105596095931</v>
      </c>
      <c r="T12" s="808">
        <f>1.34*($C$12)</f>
        <v>1.6193105596095931</v>
      </c>
      <c r="U12" s="808">
        <f>1.36*($C$12)</f>
        <v>1.6434793739321245</v>
      </c>
      <c r="V12" s="808">
        <f>1.36*($C$12)</f>
        <v>1.6434793739321245</v>
      </c>
      <c r="W12" s="808">
        <f>1.38*($C$12)</f>
        <v>1.6676481882546554</v>
      </c>
      <c r="X12" s="808">
        <f>1.4*($C$12)</f>
        <v>1.6918170025771868</v>
      </c>
      <c r="Y12" s="808">
        <f>1.46*($C$12)</f>
        <v>1.7643234455447805</v>
      </c>
      <c r="Z12" s="808">
        <f>1.48*($C$12)</f>
        <v>1.7884922598673119</v>
      </c>
      <c r="AA12" s="808">
        <f>1.48*($C$12)</f>
        <v>1.7884922598673119</v>
      </c>
      <c r="AB12" s="808">
        <f>1.51*($C$12)</f>
        <v>1.8247454813511086</v>
      </c>
      <c r="AC12" s="808">
        <f>1.52*($C$12)</f>
        <v>1.8368298885123742</v>
      </c>
      <c r="AD12" s="808">
        <f>1.62*($C$12)</f>
        <v>1.9576739601250306</v>
      </c>
      <c r="AE12" s="808">
        <f>1.72*($C$12)</f>
        <v>2.0785180317376866</v>
      </c>
      <c r="AF12" s="808">
        <f>1.82*($C$12)</f>
        <v>2.1993621033503428</v>
      </c>
      <c r="AG12" s="808">
        <f>1.91*($C$12)</f>
        <v>2.3081217678017332</v>
      </c>
      <c r="AH12" s="808">
        <f>2.01*($C$12)</f>
        <v>2.4289658394143894</v>
      </c>
      <c r="AI12" s="808">
        <f>2.11*($C$12)</f>
        <v>2.5498099110270456</v>
      </c>
      <c r="AJ12" s="808">
        <f>2.2*($C$12)</f>
        <v>2.6585695754784364</v>
      </c>
      <c r="AK12" s="808">
        <f>2.3*($C$12)</f>
        <v>2.7794136470910926</v>
      </c>
      <c r="AL12" s="808">
        <f>2.4*($C$12)</f>
        <v>2.9002577187037488</v>
      </c>
      <c r="AM12" s="808">
        <f>2.5*($C$12)</f>
        <v>3.021101790316405</v>
      </c>
      <c r="AN12" s="808">
        <f>2.57*($C$12)</f>
        <v>3.1056926404452643</v>
      </c>
      <c r="AO12" s="808">
        <f>2.64*($C$12)</f>
        <v>3.190283490574124</v>
      </c>
      <c r="AP12" s="808">
        <f>2.71*($C$12)</f>
        <v>3.2748743407029832</v>
      </c>
      <c r="AQ12" s="808">
        <f>2.78*($C$12)</f>
        <v>3.359465190831842</v>
      </c>
      <c r="AR12" s="808">
        <f>2.85*($C$12)</f>
        <v>3.4440560409607017</v>
      </c>
      <c r="AS12" s="808">
        <f>2.92*($C$12)</f>
        <v>3.528646891089561</v>
      </c>
      <c r="AT12" s="808">
        <f>2.99*($C$12)</f>
        <v>3.6132377412184207</v>
      </c>
      <c r="AU12" s="808">
        <f>3.07*($C$12)</f>
        <v>3.7099129985085453</v>
      </c>
      <c r="AV12" s="808">
        <f>3.14*($C$12)</f>
        <v>3.794503848637405</v>
      </c>
      <c r="AW12" s="808">
        <f>3.21*($C$12)</f>
        <v>3.8790946987662642</v>
      </c>
      <c r="AX12" s="808">
        <f>3.28*($C$12)</f>
        <v>3.963685548895123</v>
      </c>
      <c r="AY12" s="808">
        <f>3.35*($C$12)</f>
        <v>4.0482763990239832</v>
      </c>
      <c r="AZ12" s="808">
        <f>3.42*($C$12)</f>
        <v>4.1328672491528424</v>
      </c>
      <c r="BA12" s="808">
        <f>3.49*($C$12)</f>
        <v>4.2174580992817017</v>
      </c>
      <c r="BB12" s="808">
        <f>3.56*($C$12)</f>
        <v>4.3020489494105609</v>
      </c>
      <c r="BC12" s="808">
        <f>3.64*($C$12)</f>
        <v>4.3987242067006855</v>
      </c>
      <c r="BD12" s="808">
        <f>3.71*($C$12)</f>
        <v>4.4833150568295448</v>
      </c>
      <c r="BE12" s="808">
        <f>3.78*($C$12)</f>
        <v>4.567905906958404</v>
      </c>
      <c r="BF12" s="808">
        <f>3.85*($C$12)</f>
        <v>4.6524967570872642</v>
      </c>
      <c r="BG12" s="808">
        <f>3.92*($C$12)</f>
        <v>4.7370876072161234</v>
      </c>
      <c r="BH12" s="808">
        <f>3.99*($C$12)</f>
        <v>4.8216784573449827</v>
      </c>
      <c r="BI12" s="808">
        <f>4.06*($C$12)</f>
        <v>4.906269307473841</v>
      </c>
      <c r="BJ12" s="808">
        <f>4.14*($C$12)</f>
        <v>5.0029445647639665</v>
      </c>
      <c r="BK12" s="808">
        <f>4.21*($C$12)</f>
        <v>5.0875354148928258</v>
      </c>
      <c r="BL12" s="808">
        <f>4.28*($C$12)</f>
        <v>5.1721262650216859</v>
      </c>
      <c r="BM12" s="808">
        <f>4.35*($C$12)</f>
        <v>5.2567171151505443</v>
      </c>
      <c r="BN12" s="808">
        <f>4.42*($C$12)</f>
        <v>5.3413079652794044</v>
      </c>
      <c r="BO12" s="808">
        <f>4.49*($C$12)</f>
        <v>5.4258988154082637</v>
      </c>
      <c r="BP12" s="808">
        <f>4.56*($C$12)</f>
        <v>5.5104896655371221</v>
      </c>
      <c r="BQ12" s="808">
        <f>4.63*($C$12)</f>
        <v>5.5950805156659822</v>
      </c>
      <c r="BR12" s="808">
        <f>4.71*($C$12)</f>
        <v>5.6917557729561068</v>
      </c>
      <c r="BS12" s="808">
        <f>4.78*($C$12)</f>
        <v>5.7763466230849669</v>
      </c>
      <c r="BT12" s="808">
        <f>4.85*($C$12)</f>
        <v>5.8609374732138253</v>
      </c>
      <c r="BU12" s="808">
        <f>4.92*($C$12)</f>
        <v>5.9455283233426854</v>
      </c>
      <c r="BV12" s="809">
        <f>4.99*($C$12)</f>
        <v>6.0301191734715447</v>
      </c>
      <c r="BW12" s="1074">
        <f>+BV12*BW$137/BV$137</f>
        <v>6.0446132076616896</v>
      </c>
      <c r="BX12" s="1074">
        <f t="shared" ref="BX12:CZ12" si="44">+BW12*BX$137/BW$137</f>
        <v>6.0591420798079438</v>
      </c>
      <c r="BY12" s="1074">
        <f t="shared" si="44"/>
        <v>6.0737058736470511</v>
      </c>
      <c r="BZ12" s="1074">
        <f t="shared" si="44"/>
        <v>6.0883046731170198</v>
      </c>
      <c r="CA12" s="1074">
        <f t="shared" si="44"/>
        <v>6.1029385623576156</v>
      </c>
      <c r="CB12" s="1074">
        <f t="shared" si="44"/>
        <v>6.1157485681116217</v>
      </c>
      <c r="CC12" s="1074">
        <f t="shared" si="44"/>
        <v>6.1285854619369617</v>
      </c>
      <c r="CD12" s="1074">
        <f t="shared" si="44"/>
        <v>6.1414493002714252</v>
      </c>
      <c r="CE12" s="1074">
        <f t="shared" si="44"/>
        <v>6.1543401396712598</v>
      </c>
      <c r="CF12" s="1074">
        <f t="shared" si="44"/>
        <v>6.167258036811428</v>
      </c>
      <c r="CG12" s="1074">
        <f t="shared" si="44"/>
        <v>6.183149548139812</v>
      </c>
      <c r="CH12" s="1074">
        <f t="shared" si="44"/>
        <v>6.1990820079952069</v>
      </c>
      <c r="CI12" s="1074">
        <f t="shared" si="44"/>
        <v>6.215055521891923</v>
      </c>
      <c r="CJ12" s="1074">
        <f t="shared" si="44"/>
        <v>6.2310701956161552</v>
      </c>
      <c r="CK12" s="1074">
        <f t="shared" si="44"/>
        <v>6.2471261352266838</v>
      </c>
      <c r="CL12" s="1074">
        <f t="shared" si="44"/>
        <v>6.2604975997429575</v>
      </c>
      <c r="CM12" s="1074">
        <f t="shared" si="44"/>
        <v>6.2738976847896071</v>
      </c>
      <c r="CN12" s="1074">
        <f t="shared" si="44"/>
        <v>6.2873264516265444</v>
      </c>
      <c r="CO12" s="1074">
        <f t="shared" si="44"/>
        <v>6.3007839616448056</v>
      </c>
      <c r="CP12" s="1074">
        <f t="shared" si="44"/>
        <v>6.3142702763668277</v>
      </c>
      <c r="CQ12" s="1074">
        <f t="shared" si="44"/>
        <v>6.326614172551615</v>
      </c>
      <c r="CR12" s="1074">
        <f t="shared" si="44"/>
        <v>6.3389822000716718</v>
      </c>
      <c r="CS12" s="1074">
        <f t="shared" si="44"/>
        <v>6.3513744061018391</v>
      </c>
      <c r="CT12" s="1074">
        <f t="shared" si="44"/>
        <v>6.3637908379091801</v>
      </c>
      <c r="CU12" s="1074">
        <f t="shared" si="44"/>
        <v>6.376231542853164</v>
      </c>
      <c r="CV12" s="1074">
        <f t="shared" si="44"/>
        <v>6.3909193633613004</v>
      </c>
      <c r="CW12" s="1074">
        <f t="shared" si="44"/>
        <v>6.4056410176582252</v>
      </c>
      <c r="CX12" s="1074">
        <f t="shared" si="44"/>
        <v>6.4203965836809767</v>
      </c>
      <c r="CY12" s="1074">
        <f t="shared" si="44"/>
        <v>6.4351861395461265</v>
      </c>
      <c r="CZ12" s="1074">
        <f t="shared" si="44"/>
        <v>6.450009763550189</v>
      </c>
    </row>
    <row r="13" spans="1:104" x14ac:dyDescent="0.25">
      <c r="A13" s="807" t="str">
        <f>'HyARC Physical Property Data'!A86</f>
        <v>Woody Biomass B2A</v>
      </c>
      <c r="B13" s="254">
        <v>2007</v>
      </c>
      <c r="C13" s="727">
        <f>VLOOKUP(ref_year,DeflatorTable,2,FALSE)/VLOOKUP(B13,DeflatorTable,2,FALSE)</f>
        <v>1.1413971588333081</v>
      </c>
      <c r="D13" s="1032" t="str">
        <f>+'HyARC Physical Property Data'!$H$86</f>
        <v>kg</v>
      </c>
      <c r="E13" s="748" t="s">
        <v>1025</v>
      </c>
      <c r="F13" s="254">
        <f>'HyARC Physical Property Data'!$E$45</f>
        <v>19.551069237418005</v>
      </c>
      <c r="G13" s="254">
        <f>'HyARC Physical Property Data'!$I$45</f>
        <v>20.588656379262464</v>
      </c>
      <c r="H13" s="808">
        <f>3.80872262322035*($C$13)</f>
        <v>4.3472651809278515</v>
      </c>
      <c r="I13" s="808">
        <f>3.80872262322035*($C$13)</f>
        <v>4.3472651809278515</v>
      </c>
      <c r="J13" s="808">
        <f>3.80872262322035*($C$13)</f>
        <v>4.3472651809278515</v>
      </c>
      <c r="K13" s="808">
        <f>3.80872262322035*($C$13)</f>
        <v>4.3472651809278515</v>
      </c>
      <c r="L13" s="808">
        <f>3.58036841709093*($C$13)</f>
        <v>4.0866223388440961</v>
      </c>
      <c r="M13" s="808">
        <f>3.28153451771169*($C$13)</f>
        <v>3.7455341751295528</v>
      </c>
      <c r="N13" s="808">
        <f>3.05599949931226*($C$13)</f>
        <v>3.4881091459110256</v>
      </c>
      <c r="O13" s="808">
        <f>2.9206784882726*($C$13)</f>
        <v>3.3336541283799068</v>
      </c>
      <c r="P13" s="808">
        <f t="shared" ref="P13:BV13" si="45">2.85865635821276*($C$13)</f>
        <v>3.2628622453448157</v>
      </c>
      <c r="Q13" s="808">
        <f t="shared" si="45"/>
        <v>3.2628622453448157</v>
      </c>
      <c r="R13" s="808">
        <f t="shared" si="45"/>
        <v>3.2628622453448157</v>
      </c>
      <c r="S13" s="808">
        <f t="shared" si="45"/>
        <v>3.2628622453448157</v>
      </c>
      <c r="T13" s="808">
        <f t="shared" si="45"/>
        <v>3.2628622453448157</v>
      </c>
      <c r="U13" s="808">
        <f t="shared" si="45"/>
        <v>3.2628622453448157</v>
      </c>
      <c r="V13" s="808">
        <f t="shared" si="45"/>
        <v>3.2628622453448157</v>
      </c>
      <c r="W13" s="808">
        <f t="shared" si="45"/>
        <v>3.2628622453448157</v>
      </c>
      <c r="X13" s="808">
        <f t="shared" si="45"/>
        <v>3.2628622453448157</v>
      </c>
      <c r="Y13" s="808">
        <f t="shared" si="45"/>
        <v>3.2628622453448157</v>
      </c>
      <c r="Z13" s="808">
        <f t="shared" si="45"/>
        <v>3.2628622453448157</v>
      </c>
      <c r="AA13" s="808">
        <f t="shared" si="45"/>
        <v>3.2628622453448157</v>
      </c>
      <c r="AB13" s="808">
        <f t="shared" si="45"/>
        <v>3.2628622453448157</v>
      </c>
      <c r="AC13" s="808">
        <f t="shared" si="45"/>
        <v>3.2628622453448157</v>
      </c>
      <c r="AD13" s="808">
        <f t="shared" si="45"/>
        <v>3.2628622453448157</v>
      </c>
      <c r="AE13" s="808">
        <f t="shared" si="45"/>
        <v>3.2628622453448157</v>
      </c>
      <c r="AF13" s="808">
        <f t="shared" si="45"/>
        <v>3.2628622453448157</v>
      </c>
      <c r="AG13" s="808">
        <f t="shared" si="45"/>
        <v>3.2628622453448157</v>
      </c>
      <c r="AH13" s="808">
        <f t="shared" si="45"/>
        <v>3.2628622453448157</v>
      </c>
      <c r="AI13" s="808">
        <f t="shared" si="45"/>
        <v>3.2628622453448157</v>
      </c>
      <c r="AJ13" s="808">
        <f t="shared" si="45"/>
        <v>3.2628622453448157</v>
      </c>
      <c r="AK13" s="808">
        <f t="shared" si="45"/>
        <v>3.2628622453448157</v>
      </c>
      <c r="AL13" s="808">
        <f t="shared" si="45"/>
        <v>3.2628622453448157</v>
      </c>
      <c r="AM13" s="808">
        <f t="shared" si="45"/>
        <v>3.2628622453448157</v>
      </c>
      <c r="AN13" s="808">
        <f t="shared" si="45"/>
        <v>3.2628622453448157</v>
      </c>
      <c r="AO13" s="808">
        <f t="shared" si="45"/>
        <v>3.2628622453448157</v>
      </c>
      <c r="AP13" s="808">
        <f t="shared" si="45"/>
        <v>3.2628622453448157</v>
      </c>
      <c r="AQ13" s="808">
        <f t="shared" si="45"/>
        <v>3.2628622453448157</v>
      </c>
      <c r="AR13" s="808">
        <f t="shared" si="45"/>
        <v>3.2628622453448157</v>
      </c>
      <c r="AS13" s="808">
        <f t="shared" si="45"/>
        <v>3.2628622453448157</v>
      </c>
      <c r="AT13" s="808">
        <f t="shared" si="45"/>
        <v>3.2628622453448157</v>
      </c>
      <c r="AU13" s="808">
        <f t="shared" si="45"/>
        <v>3.2628622453448157</v>
      </c>
      <c r="AV13" s="808">
        <f t="shared" si="45"/>
        <v>3.2628622453448157</v>
      </c>
      <c r="AW13" s="808">
        <f t="shared" si="45"/>
        <v>3.2628622453448157</v>
      </c>
      <c r="AX13" s="808">
        <f t="shared" si="45"/>
        <v>3.2628622453448157</v>
      </c>
      <c r="AY13" s="808">
        <f t="shared" si="45"/>
        <v>3.2628622453448157</v>
      </c>
      <c r="AZ13" s="808">
        <f t="shared" si="45"/>
        <v>3.2628622453448157</v>
      </c>
      <c r="BA13" s="808">
        <f t="shared" si="45"/>
        <v>3.2628622453448157</v>
      </c>
      <c r="BB13" s="808">
        <f t="shared" si="45"/>
        <v>3.2628622453448157</v>
      </c>
      <c r="BC13" s="808">
        <f t="shared" si="45"/>
        <v>3.2628622453448157</v>
      </c>
      <c r="BD13" s="808">
        <f t="shared" si="45"/>
        <v>3.2628622453448157</v>
      </c>
      <c r="BE13" s="808">
        <f t="shared" si="45"/>
        <v>3.2628622453448157</v>
      </c>
      <c r="BF13" s="808">
        <f t="shared" si="45"/>
        <v>3.2628622453448157</v>
      </c>
      <c r="BG13" s="808">
        <f t="shared" si="45"/>
        <v>3.2628622453448157</v>
      </c>
      <c r="BH13" s="808">
        <f t="shared" si="45"/>
        <v>3.2628622453448157</v>
      </c>
      <c r="BI13" s="808">
        <f t="shared" si="45"/>
        <v>3.2628622453448157</v>
      </c>
      <c r="BJ13" s="808">
        <f t="shared" si="45"/>
        <v>3.2628622453448157</v>
      </c>
      <c r="BK13" s="808">
        <f t="shared" si="45"/>
        <v>3.2628622453448157</v>
      </c>
      <c r="BL13" s="808">
        <f t="shared" si="45"/>
        <v>3.2628622453448157</v>
      </c>
      <c r="BM13" s="808">
        <f t="shared" si="45"/>
        <v>3.2628622453448157</v>
      </c>
      <c r="BN13" s="808">
        <f t="shared" si="45"/>
        <v>3.2628622453448157</v>
      </c>
      <c r="BO13" s="808">
        <f t="shared" si="45"/>
        <v>3.2628622453448157</v>
      </c>
      <c r="BP13" s="808">
        <f t="shared" si="45"/>
        <v>3.2628622453448157</v>
      </c>
      <c r="BQ13" s="808">
        <f t="shared" si="45"/>
        <v>3.2628622453448157</v>
      </c>
      <c r="BR13" s="808">
        <f t="shared" si="45"/>
        <v>3.2628622453448157</v>
      </c>
      <c r="BS13" s="808">
        <f t="shared" si="45"/>
        <v>3.2628622453448157</v>
      </c>
      <c r="BT13" s="808">
        <f t="shared" si="45"/>
        <v>3.2628622453448157</v>
      </c>
      <c r="BU13" s="808">
        <f t="shared" si="45"/>
        <v>3.2628622453448157</v>
      </c>
      <c r="BV13" s="809">
        <f t="shared" si="45"/>
        <v>3.2628622453448157</v>
      </c>
      <c r="BW13" s="1074">
        <f>+BV13*BW$137/BV$137</f>
        <v>3.2707048825433991</v>
      </c>
      <c r="BX13" s="1074">
        <f t="shared" ref="BX13:CZ13" si="46">+BW13*BX$137/BW$137</f>
        <v>3.2785663703564443</v>
      </c>
      <c r="BY13" s="1074">
        <f t="shared" si="46"/>
        <v>3.2864467540934128</v>
      </c>
      <c r="BZ13" s="1074">
        <f t="shared" si="46"/>
        <v>3.2943460791726715</v>
      </c>
      <c r="CA13" s="1074">
        <f t="shared" si="46"/>
        <v>3.3022643911217555</v>
      </c>
      <c r="CB13" s="1074">
        <f t="shared" si="46"/>
        <v>3.3091958103748405</v>
      </c>
      <c r="CC13" s="1074">
        <f t="shared" si="46"/>
        <v>3.3161417786061929</v>
      </c>
      <c r="CD13" s="1074">
        <f t="shared" si="46"/>
        <v>3.323102326353971</v>
      </c>
      <c r="CE13" s="1074">
        <f t="shared" si="46"/>
        <v>3.3300774842204302</v>
      </c>
      <c r="CF13" s="1074">
        <f t="shared" si="46"/>
        <v>3.3370672828720607</v>
      </c>
      <c r="CG13" s="1074">
        <f t="shared" si="46"/>
        <v>3.3456660867834271</v>
      </c>
      <c r="CH13" s="1074">
        <f t="shared" si="46"/>
        <v>3.3542870477034605</v>
      </c>
      <c r="CI13" s="1074">
        <f t="shared" si="46"/>
        <v>3.3629302227253368</v>
      </c>
      <c r="CJ13" s="1074">
        <f t="shared" si="46"/>
        <v>3.3715956690893476</v>
      </c>
      <c r="CK13" s="1074">
        <f t="shared" si="46"/>
        <v>3.3802834441832799</v>
      </c>
      <c r="CL13" s="1074">
        <f t="shared" si="46"/>
        <v>3.3875186654915184</v>
      </c>
      <c r="CM13" s="1074">
        <f t="shared" si="46"/>
        <v>3.3947693732014868</v>
      </c>
      <c r="CN13" s="1074">
        <f t="shared" si="46"/>
        <v>3.4020356004605672</v>
      </c>
      <c r="CO13" s="1074">
        <f t="shared" si="46"/>
        <v>3.4093173804870895</v>
      </c>
      <c r="CP13" s="1074">
        <f t="shared" si="46"/>
        <v>3.416614746570485</v>
      </c>
      <c r="CQ13" s="1074">
        <f t="shared" si="46"/>
        <v>3.4232939566595637</v>
      </c>
      <c r="CR13" s="1074">
        <f t="shared" si="46"/>
        <v>3.4299862240731356</v>
      </c>
      <c r="CS13" s="1074">
        <f t="shared" si="46"/>
        <v>3.4366915743372313</v>
      </c>
      <c r="CT13" s="1074">
        <f t="shared" si="46"/>
        <v>3.4434100330277828</v>
      </c>
      <c r="CU13" s="1074">
        <f t="shared" si="46"/>
        <v>3.4501416257707223</v>
      </c>
      <c r="CV13" s="1074">
        <f t="shared" si="46"/>
        <v>3.4580891196135033</v>
      </c>
      <c r="CW13" s="1074">
        <f t="shared" si="46"/>
        <v>3.466054920721676</v>
      </c>
      <c r="CX13" s="1074">
        <f t="shared" si="46"/>
        <v>3.474039071266517</v>
      </c>
      <c r="CY13" s="1074">
        <f t="shared" si="46"/>
        <v>3.4820416135164467</v>
      </c>
      <c r="CZ13" s="1074">
        <f t="shared" si="46"/>
        <v>3.490062589837251</v>
      </c>
    </row>
    <row r="14" spans="1:104" x14ac:dyDescent="0.25">
      <c r="A14" s="807" t="str">
        <f>'HyARC Physical Property Data'!$A$87</f>
        <v>Woody Biomass MYPP</v>
      </c>
      <c r="B14" s="254">
        <v>2007</v>
      </c>
      <c r="C14" s="727">
        <f>VLOOKUP(ref_year,DeflatorTable,2,FALSE)/VLOOKUP(B14,DeflatorTable,2,FALSE)</f>
        <v>1.1413971588333081</v>
      </c>
      <c r="D14" s="1032" t="str">
        <f>+'HyARC Physical Property Data'!$H$87</f>
        <v>kg</v>
      </c>
      <c r="E14" s="748" t="s">
        <v>1025</v>
      </c>
      <c r="F14" s="254">
        <v>18.608000000000001</v>
      </c>
      <c r="G14" s="254"/>
      <c r="H14" s="254">
        <f>4.44432502149613*$C$14</f>
        <v>5.0727399524674635</v>
      </c>
      <c r="I14" s="254">
        <f t="shared" ref="I14:N14" si="47">4.44432502149613*$C$14</f>
        <v>5.0727399524674635</v>
      </c>
      <c r="J14" s="254">
        <f t="shared" si="47"/>
        <v>5.0727399524674635</v>
      </c>
      <c r="K14" s="254">
        <f t="shared" si="47"/>
        <v>5.0727399524674635</v>
      </c>
      <c r="L14" s="254">
        <f t="shared" si="47"/>
        <v>5.0727399524674635</v>
      </c>
      <c r="M14" s="254">
        <f t="shared" si="47"/>
        <v>5.0727399524674635</v>
      </c>
      <c r="N14" s="254">
        <f t="shared" si="47"/>
        <v>5.0727399524674635</v>
      </c>
      <c r="O14" s="808">
        <f t="shared" ref="O14:T14" si="48">N14-($N$14-$U$14)/7</f>
        <v>4.9524277749801975</v>
      </c>
      <c r="P14" s="808">
        <f t="shared" si="48"/>
        <v>4.8321155974929315</v>
      </c>
      <c r="Q14" s="808">
        <f t="shared" si="48"/>
        <v>4.7118034200056655</v>
      </c>
      <c r="R14" s="808">
        <f t="shared" si="48"/>
        <v>4.5914912425183996</v>
      </c>
      <c r="S14" s="808">
        <f t="shared" si="48"/>
        <v>4.4711790650311336</v>
      </c>
      <c r="T14" s="808">
        <f t="shared" si="48"/>
        <v>4.3508668875438676</v>
      </c>
      <c r="U14" s="808">
        <f>3.70647033533964*$C$14</f>
        <v>4.2305547100566034</v>
      </c>
      <c r="V14" s="808">
        <f t="shared" ref="V14:BV14" si="49">3.70647033533964*$C$14</f>
        <v>4.2305547100566034</v>
      </c>
      <c r="W14" s="808">
        <f t="shared" si="49"/>
        <v>4.2305547100566034</v>
      </c>
      <c r="X14" s="808">
        <f t="shared" si="49"/>
        <v>4.2305547100566034</v>
      </c>
      <c r="Y14" s="808">
        <f t="shared" si="49"/>
        <v>4.2305547100566034</v>
      </c>
      <c r="Z14" s="808">
        <f t="shared" si="49"/>
        <v>4.2305547100566034</v>
      </c>
      <c r="AA14" s="808">
        <f t="shared" si="49"/>
        <v>4.2305547100566034</v>
      </c>
      <c r="AB14" s="808">
        <f t="shared" si="49"/>
        <v>4.2305547100566034</v>
      </c>
      <c r="AC14" s="808">
        <f t="shared" si="49"/>
        <v>4.2305547100566034</v>
      </c>
      <c r="AD14" s="808">
        <f t="shared" si="49"/>
        <v>4.2305547100566034</v>
      </c>
      <c r="AE14" s="808">
        <f t="shared" si="49"/>
        <v>4.2305547100566034</v>
      </c>
      <c r="AF14" s="808">
        <f t="shared" si="49"/>
        <v>4.2305547100566034</v>
      </c>
      <c r="AG14" s="808">
        <f t="shared" si="49"/>
        <v>4.2305547100566034</v>
      </c>
      <c r="AH14" s="808">
        <f t="shared" si="49"/>
        <v>4.2305547100566034</v>
      </c>
      <c r="AI14" s="808">
        <f t="shared" si="49"/>
        <v>4.2305547100566034</v>
      </c>
      <c r="AJ14" s="808">
        <f t="shared" si="49"/>
        <v>4.2305547100566034</v>
      </c>
      <c r="AK14" s="808">
        <f t="shared" si="49"/>
        <v>4.2305547100566034</v>
      </c>
      <c r="AL14" s="808">
        <f t="shared" si="49"/>
        <v>4.2305547100566034</v>
      </c>
      <c r="AM14" s="808">
        <f t="shared" si="49"/>
        <v>4.2305547100566034</v>
      </c>
      <c r="AN14" s="808">
        <f t="shared" si="49"/>
        <v>4.2305547100566034</v>
      </c>
      <c r="AO14" s="808">
        <f t="shared" si="49"/>
        <v>4.2305547100566034</v>
      </c>
      <c r="AP14" s="808">
        <f t="shared" si="49"/>
        <v>4.2305547100566034</v>
      </c>
      <c r="AQ14" s="808">
        <f t="shared" si="49"/>
        <v>4.2305547100566034</v>
      </c>
      <c r="AR14" s="808">
        <f t="shared" si="49"/>
        <v>4.2305547100566034</v>
      </c>
      <c r="AS14" s="808">
        <f t="shared" si="49"/>
        <v>4.2305547100566034</v>
      </c>
      <c r="AT14" s="808">
        <f t="shared" si="49"/>
        <v>4.2305547100566034</v>
      </c>
      <c r="AU14" s="808">
        <f t="shared" si="49"/>
        <v>4.2305547100566034</v>
      </c>
      <c r="AV14" s="808">
        <f t="shared" si="49"/>
        <v>4.2305547100566034</v>
      </c>
      <c r="AW14" s="808">
        <f t="shared" si="49"/>
        <v>4.2305547100566034</v>
      </c>
      <c r="AX14" s="808">
        <f t="shared" si="49"/>
        <v>4.2305547100566034</v>
      </c>
      <c r="AY14" s="808">
        <f t="shared" si="49"/>
        <v>4.2305547100566034</v>
      </c>
      <c r="AZ14" s="808">
        <f t="shared" si="49"/>
        <v>4.2305547100566034</v>
      </c>
      <c r="BA14" s="808">
        <f t="shared" si="49"/>
        <v>4.2305547100566034</v>
      </c>
      <c r="BB14" s="808">
        <f t="shared" si="49"/>
        <v>4.2305547100566034</v>
      </c>
      <c r="BC14" s="808">
        <f t="shared" si="49"/>
        <v>4.2305547100566034</v>
      </c>
      <c r="BD14" s="808">
        <f t="shared" si="49"/>
        <v>4.2305547100566034</v>
      </c>
      <c r="BE14" s="808">
        <f t="shared" si="49"/>
        <v>4.2305547100566034</v>
      </c>
      <c r="BF14" s="808">
        <f t="shared" si="49"/>
        <v>4.2305547100566034</v>
      </c>
      <c r="BG14" s="808">
        <f t="shared" si="49"/>
        <v>4.2305547100566034</v>
      </c>
      <c r="BH14" s="808">
        <f t="shared" si="49"/>
        <v>4.2305547100566034</v>
      </c>
      <c r="BI14" s="808">
        <f t="shared" si="49"/>
        <v>4.2305547100566034</v>
      </c>
      <c r="BJ14" s="808">
        <f t="shared" si="49"/>
        <v>4.2305547100566034</v>
      </c>
      <c r="BK14" s="808">
        <f t="shared" si="49"/>
        <v>4.2305547100566034</v>
      </c>
      <c r="BL14" s="808">
        <f t="shared" si="49"/>
        <v>4.2305547100566034</v>
      </c>
      <c r="BM14" s="808">
        <f t="shared" si="49"/>
        <v>4.2305547100566034</v>
      </c>
      <c r="BN14" s="808">
        <f t="shared" si="49"/>
        <v>4.2305547100566034</v>
      </c>
      <c r="BO14" s="808">
        <f t="shared" si="49"/>
        <v>4.2305547100566034</v>
      </c>
      <c r="BP14" s="808">
        <f t="shared" si="49"/>
        <v>4.2305547100566034</v>
      </c>
      <c r="BQ14" s="808">
        <f t="shared" si="49"/>
        <v>4.2305547100566034</v>
      </c>
      <c r="BR14" s="808">
        <f t="shared" si="49"/>
        <v>4.2305547100566034</v>
      </c>
      <c r="BS14" s="808">
        <f t="shared" si="49"/>
        <v>4.2305547100566034</v>
      </c>
      <c r="BT14" s="808">
        <f t="shared" si="49"/>
        <v>4.2305547100566034</v>
      </c>
      <c r="BU14" s="808">
        <f t="shared" si="49"/>
        <v>4.2305547100566034</v>
      </c>
      <c r="BV14" s="808">
        <f t="shared" si="49"/>
        <v>4.2305547100566034</v>
      </c>
      <c r="BW14" s="1074">
        <f>+BV14*BW$137/BV$137</f>
        <v>4.2407232992414734</v>
      </c>
      <c r="BX14" s="1074">
        <f t="shared" ref="BX14:CZ14" si="50">+BW14*BX$137/BW$137</f>
        <v>4.2509163297143298</v>
      </c>
      <c r="BY14" s="1074">
        <f t="shared" si="50"/>
        <v>4.2611338602224134</v>
      </c>
      <c r="BZ14" s="1074">
        <f t="shared" si="50"/>
        <v>4.2713759496541703</v>
      </c>
      <c r="CA14" s="1074">
        <f t="shared" si="50"/>
        <v>4.2816426570395922</v>
      </c>
      <c r="CB14" s="1074">
        <f t="shared" si="50"/>
        <v>4.2906297812770164</v>
      </c>
      <c r="CC14" s="1074">
        <f t="shared" si="50"/>
        <v>4.2996357693964899</v>
      </c>
      <c r="CD14" s="1074">
        <f t="shared" si="50"/>
        <v>4.3086606609931088</v>
      </c>
      <c r="CE14" s="1074">
        <f t="shared" si="50"/>
        <v>4.3177044957450779</v>
      </c>
      <c r="CF14" s="1074">
        <f t="shared" si="50"/>
        <v>4.3267673134138871</v>
      </c>
      <c r="CG14" s="1074">
        <f t="shared" si="50"/>
        <v>4.3379163315619822</v>
      </c>
      <c r="CH14" s="1074">
        <f t="shared" si="50"/>
        <v>4.3490940779953462</v>
      </c>
      <c r="CI14" s="1074">
        <f t="shared" si="50"/>
        <v>4.3603006267397229</v>
      </c>
      <c r="CJ14" s="1074">
        <f t="shared" si="50"/>
        <v>4.3715360520116029</v>
      </c>
      <c r="CK14" s="1074">
        <f t="shared" si="50"/>
        <v>4.3828004282187161</v>
      </c>
      <c r="CL14" s="1074">
        <f t="shared" si="50"/>
        <v>4.3921814554525627</v>
      </c>
      <c r="CM14" s="1074">
        <f t="shared" si="50"/>
        <v>4.4015825620108968</v>
      </c>
      <c r="CN14" s="1074">
        <f t="shared" si="50"/>
        <v>4.4110037908718764</v>
      </c>
      <c r="CO14" s="1074">
        <f t="shared" si="50"/>
        <v>4.4204451851056508</v>
      </c>
      <c r="CP14" s="1074">
        <f t="shared" si="50"/>
        <v>4.4299067878745575</v>
      </c>
      <c r="CQ14" s="1074">
        <f t="shared" si="50"/>
        <v>4.4385669033121991</v>
      </c>
      <c r="CR14" s="1074">
        <f t="shared" si="50"/>
        <v>4.4472439485867392</v>
      </c>
      <c r="CS14" s="1074">
        <f t="shared" si="50"/>
        <v>4.4559379567946618</v>
      </c>
      <c r="CT14" s="1074">
        <f t="shared" si="50"/>
        <v>4.4646489610971525</v>
      </c>
      <c r="CU14" s="1074">
        <f t="shared" si="50"/>
        <v>4.4733769947202253</v>
      </c>
      <c r="CV14" s="1074">
        <f t="shared" si="50"/>
        <v>4.4836815387008029</v>
      </c>
      <c r="CW14" s="1074">
        <f t="shared" si="50"/>
        <v>4.494009819475032</v>
      </c>
      <c r="CX14" s="1074">
        <f t="shared" si="50"/>
        <v>4.5043618917212536</v>
      </c>
      <c r="CY14" s="1074">
        <f t="shared" si="50"/>
        <v>4.5147378102437621</v>
      </c>
      <c r="CZ14" s="1074">
        <f t="shared" si="50"/>
        <v>4.525137629973095</v>
      </c>
    </row>
    <row r="15" spans="1:104" x14ac:dyDescent="0.25">
      <c r="A15" s="813" t="str">
        <f>'HyARC Physical Property Data'!A79</f>
        <v>Electric Utility Steam Coal</v>
      </c>
      <c r="B15" s="254">
        <v>2007</v>
      </c>
      <c r="C15" s="727">
        <f>VLOOKUP(ref_year,DeflatorTable,2,FALSE)/VLOOKUP(B15,DeflatorTable,2,FALSE)</f>
        <v>1.1413971588333081</v>
      </c>
      <c r="D15" s="1032" t="str">
        <f>+'HyARC Physical Property Data'!$H$79</f>
        <v>kg</v>
      </c>
      <c r="E15" s="748" t="s">
        <v>1025</v>
      </c>
      <c r="F15" s="254">
        <f>'HyARC Physical Property Data'!E42</f>
        <v>22.7322030001394</v>
      </c>
      <c r="G15" s="254">
        <f>'HyARC Physical Property Data'!I42</f>
        <v>23.967615189707661</v>
      </c>
      <c r="H15" s="254">
        <f>1.73552525043488*($C$15/mmBTU_to_GJ*$G$15/$F$15)</f>
        <v>1.9796962563875427</v>
      </c>
      <c r="I15" s="254">
        <f>1.73552525043488*($C$15/mmBTU_to_GJ*$G$15/$F$15)</f>
        <v>1.9796962563875427</v>
      </c>
      <c r="J15" s="254">
        <f>1.73552525043488*($C$15/mmBTU_to_GJ*$G$15/$F$15)</f>
        <v>1.9796962563875427</v>
      </c>
      <c r="K15" s="254">
        <f>1.78000020980835*($C$15/mmBTU_to_GJ*$G$15/$F$15)</f>
        <v>2.0304283967309829</v>
      </c>
      <c r="L15" s="254">
        <f>1.9310736656189*($C$15/mmBTU_to_GJ*$G$15/$F$15)</f>
        <v>2.2027563734243398</v>
      </c>
      <c r="M15" s="254">
        <f>1.98230564594269*($C$15/mmBTU_to_GJ*$G$15/$F$15)</f>
        <v>2.2611961798339055</v>
      </c>
      <c r="N15" s="254">
        <f>1.86225914955139*($C$15/mmBTU_to_GJ*$G$15/$F$15)</f>
        <v>2.1242603447380195</v>
      </c>
      <c r="O15" s="254">
        <f>1.87335216999054*($C$15/mmBTU_to_GJ*$G$15/$F$15)</f>
        <v>2.1369140419572981</v>
      </c>
      <c r="P15" s="254">
        <f>1.85759365558624*($C$15/mmBTU_to_GJ*$G$15/$F$15)</f>
        <v>2.1189384625385577</v>
      </c>
      <c r="Q15" s="254">
        <f>1.88174879550934*($C$15/mmBTU_to_GJ*$G$15/$F$15)</f>
        <v>2.1464919885194074</v>
      </c>
      <c r="R15" s="254">
        <f>1.90431761741638*($C$15/mmBTU_to_GJ*$G$15/$F$15)</f>
        <v>2.1722360174404782</v>
      </c>
      <c r="S15" s="254">
        <f>1.90719401836395*($C$15/mmBTU_to_GJ*$G$15/$F$15)</f>
        <v>2.1755170991685295</v>
      </c>
      <c r="T15" s="254">
        <f>1.91704928874969*($C$15/mmBTU_to_GJ*$G$15/$F$15)</f>
        <v>2.1867589073090032</v>
      </c>
      <c r="U15" s="254">
        <f>1.92595064640045*($C$15/mmBTU_to_GJ*$G$15/$F$15)</f>
        <v>2.1969125967546401</v>
      </c>
      <c r="V15" s="254">
        <f>1.94080138206482*($C$15/mmBTU_to_GJ*$G$15/$F$15)</f>
        <v>2.2138526820642528</v>
      </c>
      <c r="W15" s="254">
        <f>1.94636797904968*($C$15/mmBTU_to_GJ*$G$15/$F$15)</f>
        <v>2.2202024434457042</v>
      </c>
      <c r="X15" s="254">
        <f>1.95628917217255*($C$15/mmBTU_to_GJ*$G$15/$F$15)</f>
        <v>2.2315194489916172</v>
      </c>
      <c r="Y15" s="254">
        <f>1.96225011348724*($C$15/mmBTU_to_GJ*$G$15/$F$15)</f>
        <v>2.2383190349972262</v>
      </c>
      <c r="Z15" s="254">
        <f>1.97535526752472*($C$15/mmBTU_to_GJ*$G$15/$F$15)</f>
        <v>2.2532679528426334</v>
      </c>
      <c r="AA15" s="254">
        <f>1.98115420341492*($C$15/mmBTU_to_GJ*$G$15/$F$15)</f>
        <v>2.259882740884458</v>
      </c>
      <c r="AB15" s="254">
        <f>1.98549652099609*($C$15/mmBTU_to_GJ*$G$15/$F$15)</f>
        <v>2.264835979022211</v>
      </c>
      <c r="AC15" s="254">
        <f>1.98988306522369*($C$15/mmBTU_to_GJ*$G$15/$F$15)</f>
        <v>2.2698396660522224</v>
      </c>
      <c r="AD15" s="254">
        <f>1.99634909629822*($C$15/mmBTU_to_GJ*$G$15/$F$15)</f>
        <v>2.277215402883896</v>
      </c>
      <c r="AE15" s="254">
        <f>2.00744533538818*($C$15/mmBTU_to_GJ*$G$15/$F$15)</f>
        <v>2.2898727715858902</v>
      </c>
      <c r="AF15" s="254">
        <f>2.02021908760071*($C$15/mmBTU_to_GJ*$G$15/$F$15)</f>
        <v>2.3044436626915257</v>
      </c>
      <c r="AG15" s="254">
        <f>2.03361201286316*($C$15/mmBTU_to_GJ*$G$15/$F$15)</f>
        <v>2.3197208382886583</v>
      </c>
      <c r="AH15" s="254">
        <f>2.04451942443848*($C$15/mmBTU_to_GJ*$G$15/$F$15)</f>
        <v>2.3321628133374963</v>
      </c>
      <c r="AI15" s="254">
        <f>(($BB$15-$AH$15)/20+AH15)</f>
        <v>2.3372909448097223</v>
      </c>
      <c r="AJ15" s="254">
        <f t="shared" ref="AJ15:BA15" si="51">(($BB$15-$AH$15)/20+AI15)</f>
        <v>2.3424190762819483</v>
      </c>
      <c r="AK15" s="254">
        <f t="shared" si="51"/>
        <v>2.3475472077541744</v>
      </c>
      <c r="AL15" s="254">
        <f t="shared" si="51"/>
        <v>2.3526753392264004</v>
      </c>
      <c r="AM15" s="254">
        <f t="shared" si="51"/>
        <v>2.3578034706986264</v>
      </c>
      <c r="AN15" s="254">
        <f t="shared" si="51"/>
        <v>2.3629316021708524</v>
      </c>
      <c r="AO15" s="254">
        <f t="shared" si="51"/>
        <v>2.3680597336430784</v>
      </c>
      <c r="AP15" s="254">
        <f t="shared" si="51"/>
        <v>2.3731878651153044</v>
      </c>
      <c r="AQ15" s="254">
        <f t="shared" si="51"/>
        <v>2.3783159965875305</v>
      </c>
      <c r="AR15" s="254">
        <f t="shared" si="51"/>
        <v>2.3834441280597565</v>
      </c>
      <c r="AS15" s="254">
        <f t="shared" si="51"/>
        <v>2.3885722595319825</v>
      </c>
      <c r="AT15" s="254">
        <f t="shared" si="51"/>
        <v>2.3937003910042085</v>
      </c>
      <c r="AU15" s="254">
        <f t="shared" si="51"/>
        <v>2.3988285224764345</v>
      </c>
      <c r="AV15" s="254">
        <f t="shared" si="51"/>
        <v>2.4039566539486605</v>
      </c>
      <c r="AW15" s="254">
        <f t="shared" si="51"/>
        <v>2.4090847854208866</v>
      </c>
      <c r="AX15" s="254">
        <f t="shared" si="51"/>
        <v>2.4142129168931126</v>
      </c>
      <c r="AY15" s="254">
        <f t="shared" si="51"/>
        <v>2.4193410483653386</v>
      </c>
      <c r="AZ15" s="254">
        <f t="shared" si="51"/>
        <v>2.4244691798375646</v>
      </c>
      <c r="BA15" s="254">
        <f t="shared" si="51"/>
        <v>2.4295973113097906</v>
      </c>
      <c r="BB15" s="861">
        <f>(1.04397747398165*AH15)</f>
        <v>2.434725442782018</v>
      </c>
      <c r="BC15" s="254">
        <f>(($BQ$15-$BB$15)/15+BB15)</f>
        <v>2.4393430815285027</v>
      </c>
      <c r="BD15" s="254">
        <f t="shared" ref="BD15:BP15" si="52">(($BQ$15-$BB$15)/15+BC15)</f>
        <v>2.4439607202749873</v>
      </c>
      <c r="BE15" s="254">
        <f t="shared" si="52"/>
        <v>2.448578359021472</v>
      </c>
      <c r="BF15" s="254">
        <f t="shared" si="52"/>
        <v>2.4531959977679567</v>
      </c>
      <c r="BG15" s="254">
        <f t="shared" si="52"/>
        <v>2.4578136365144414</v>
      </c>
      <c r="BH15" s="254">
        <f t="shared" si="52"/>
        <v>2.4624312752609261</v>
      </c>
      <c r="BI15" s="254">
        <f t="shared" si="52"/>
        <v>2.4670489140074108</v>
      </c>
      <c r="BJ15" s="254">
        <f t="shared" si="52"/>
        <v>2.4716665527538955</v>
      </c>
      <c r="BK15" s="254">
        <f t="shared" si="52"/>
        <v>2.4762841915003801</v>
      </c>
      <c r="BL15" s="254">
        <f t="shared" si="52"/>
        <v>2.4809018302468648</v>
      </c>
      <c r="BM15" s="254">
        <f t="shared" si="52"/>
        <v>2.4855194689933495</v>
      </c>
      <c r="BN15" s="254">
        <f t="shared" si="52"/>
        <v>2.4901371077398342</v>
      </c>
      <c r="BO15" s="254">
        <f t="shared" si="52"/>
        <v>2.4947547464863189</v>
      </c>
      <c r="BP15" s="254">
        <f t="shared" si="52"/>
        <v>2.4993723852328036</v>
      </c>
      <c r="BQ15" s="861">
        <f>(1.02844862093285*BB15)</f>
        <v>2.5039900239792892</v>
      </c>
      <c r="BR15" s="254">
        <f>(($BV$15-$BQ$15)/5+BQ15)</f>
        <v>2.5087390281800759</v>
      </c>
      <c r="BS15" s="254">
        <f>(($BV$15-$BQ$15)/5+BR15)</f>
        <v>2.5134880323808626</v>
      </c>
      <c r="BT15" s="254">
        <f>(($BV$15-$BQ$15)/5+BS15)</f>
        <v>2.5182370365816493</v>
      </c>
      <c r="BU15" s="254">
        <f>(($BV$15-$BQ$15)/5+BT15)</f>
        <v>2.522986040782436</v>
      </c>
      <c r="BV15" s="864">
        <f>(1.00948287364428*BQ15)</f>
        <v>2.5277350449832223</v>
      </c>
      <c r="BW15" s="1074">
        <f>+BV15*BW$138/BV$138</f>
        <v>2.536281204043199</v>
      </c>
      <c r="BX15" s="1074">
        <f t="shared" ref="BX15:CZ15" si="53">+BW15*BX$138/BW$138</f>
        <v>2.5448562572844797</v>
      </c>
      <c r="BY15" s="1074">
        <f t="shared" si="53"/>
        <v>2.5534603023969979</v>
      </c>
      <c r="BZ15" s="1074">
        <f t="shared" si="53"/>
        <v>2.5620934374009732</v>
      </c>
      <c r="CA15" s="1074">
        <f t="shared" si="53"/>
        <v>2.5707557606480269</v>
      </c>
      <c r="CB15" s="1074">
        <f t="shared" si="53"/>
        <v>2.5781162379988212</v>
      </c>
      <c r="CC15" s="1074">
        <f t="shared" si="53"/>
        <v>2.585497789551864</v>
      </c>
      <c r="CD15" s="1074">
        <f t="shared" si="53"/>
        <v>2.5929004756459051</v>
      </c>
      <c r="CE15" s="1074">
        <f t="shared" si="53"/>
        <v>2.6003243567924534</v>
      </c>
      <c r="CF15" s="1074">
        <f t="shared" si="53"/>
        <v>2.6077694936762716</v>
      </c>
      <c r="CG15" s="1074">
        <f t="shared" si="53"/>
        <v>2.6134538634410465</v>
      </c>
      <c r="CH15" s="1074">
        <f t="shared" si="53"/>
        <v>2.6191506238943774</v>
      </c>
      <c r="CI15" s="1074">
        <f t="shared" si="53"/>
        <v>2.6248598020452683</v>
      </c>
      <c r="CJ15" s="1074">
        <f t="shared" si="53"/>
        <v>2.6305814249615964</v>
      </c>
      <c r="CK15" s="1074">
        <f t="shared" si="53"/>
        <v>2.6363155197702408</v>
      </c>
      <c r="CL15" s="1074">
        <f t="shared" si="53"/>
        <v>2.640202757935151</v>
      </c>
      <c r="CM15" s="1074">
        <f t="shared" si="53"/>
        <v>2.6440957278193635</v>
      </c>
      <c r="CN15" s="1074">
        <f t="shared" si="53"/>
        <v>2.6479944378742784</v>
      </c>
      <c r="CO15" s="1074">
        <f t="shared" si="53"/>
        <v>2.6518988965637571</v>
      </c>
      <c r="CP15" s="1074">
        <f t="shared" si="53"/>
        <v>2.6558091123641421</v>
      </c>
      <c r="CQ15" s="1074">
        <f t="shared" si="53"/>
        <v>2.6571185824873536</v>
      </c>
      <c r="CR15" s="1074">
        <f t="shared" si="53"/>
        <v>2.6584286982563667</v>
      </c>
      <c r="CS15" s="1074">
        <f t="shared" si="53"/>
        <v>2.659739459989523</v>
      </c>
      <c r="CT15" s="1074">
        <f t="shared" si="53"/>
        <v>2.6610508680053204</v>
      </c>
      <c r="CU15" s="1074">
        <f t="shared" si="53"/>
        <v>2.6623629226224148</v>
      </c>
      <c r="CV15" s="1074">
        <f t="shared" si="53"/>
        <v>2.6604772171816178</v>
      </c>
      <c r="CW15" s="1074">
        <f t="shared" si="53"/>
        <v>2.6585928473532499</v>
      </c>
      <c r="CX15" s="1074">
        <f t="shared" si="53"/>
        <v>2.6567098121913197</v>
      </c>
      <c r="CY15" s="1074">
        <f t="shared" si="53"/>
        <v>2.6548281107505058</v>
      </c>
      <c r="CZ15" s="1074">
        <f t="shared" si="53"/>
        <v>2.6529477420861576</v>
      </c>
    </row>
    <row r="16" spans="1:104" x14ac:dyDescent="0.25">
      <c r="A16" s="807" t="str">
        <f>'HyARC Physical Property Data'!A76</f>
        <v>Commercial Electricity</v>
      </c>
      <c r="B16" s="254">
        <v>2007</v>
      </c>
      <c r="C16" s="727">
        <f t="shared" si="37"/>
        <v>1.1413971588333081</v>
      </c>
      <c r="D16" s="1032" t="str">
        <f>'HyARC Physical Property Data'!$H$76</f>
        <v>kWh</v>
      </c>
      <c r="E16" s="727" t="s">
        <v>1044</v>
      </c>
      <c r="F16" s="727"/>
      <c r="G16" s="727"/>
      <c r="H16" s="254">
        <f>(28.3762531280518/(mmBTU_to_GJ))*($C$16)</f>
        <v>30.700070804448433</v>
      </c>
      <c r="I16" s="254">
        <f>(28.3762531280518/(mmBTU_to_GJ))*($C$16)</f>
        <v>30.700070804448433</v>
      </c>
      <c r="J16" s="254">
        <f>(28.3762531280518/(mmBTU_to_GJ))*($C$16)</f>
        <v>30.700070804448433</v>
      </c>
      <c r="K16" s="254">
        <f>(28.0297355651855/(mmBTU_to_GJ))*($C$16)</f>
        <v>30.325175864409157</v>
      </c>
      <c r="L16" s="254">
        <f>(29.057315826416/(mmBTU_to_GJ))*($C$16)</f>
        <v>31.436907798666674</v>
      </c>
      <c r="M16" s="254">
        <f>(27.6067714691162/(mmBTU_to_GJ))*($C$16)</f>
        <v>29.867573952047074</v>
      </c>
      <c r="N16" s="254">
        <f>(24.8355846405029/(mmBTU_to_GJ))*($C$16)</f>
        <v>26.869446205340434</v>
      </c>
      <c r="O16" s="254">
        <f>(25.5812511444092/(mmBTU_to_GJ))*($C$16)</f>
        <v>27.676177607232201</v>
      </c>
      <c r="P16" s="254">
        <f>(25.4402256011963/(mmBTU_to_GJ))*($C$16)</f>
        <v>27.523603053349618</v>
      </c>
      <c r="Q16" s="254">
        <f>(25.4701290130615/(mmBTU_to_GJ))*($C$16)</f>
        <v>27.555955346565124</v>
      </c>
      <c r="R16" s="254">
        <f>(25.6722831726074/(mmBTU_to_GJ))*($C$16)</f>
        <v>27.774664525097851</v>
      </c>
      <c r="S16" s="254">
        <f>(25.7632827758789/(mmBTU_to_GJ))*($C$16)</f>
        <v>27.87311636266093</v>
      </c>
      <c r="T16" s="254">
        <f>(26.1006698608398/(mmBTU_to_GJ))*($C$16)</f>
        <v>28.238133102188346</v>
      </c>
      <c r="U16" s="254">
        <f>(26.4680442810059/(mmBTU_to_GJ))*($C$16)</f>
        <v>28.635592931008837</v>
      </c>
      <c r="V16" s="254">
        <f>(26.885612487793/(mmBTU_to_GJ))*($C$16)</f>
        <v>29.087357068303547</v>
      </c>
      <c r="W16" s="254">
        <f>(27.1694507598877/(mmBTU_to_GJ))*($C$16)</f>
        <v>29.394439719807853</v>
      </c>
      <c r="X16" s="254">
        <f>(27.6201095581055/(mmBTU_to_GJ))*($C$16)</f>
        <v>29.882004337712146</v>
      </c>
      <c r="Y16" s="254">
        <f>(28.0024471282958/(mmBTU_to_GJ))*($C$16)</f>
        <v>30.29565269442346</v>
      </c>
      <c r="Z16" s="254">
        <f>(28.2454071044922/(mmBTU_to_GJ))*($C$16)</f>
        <v>30.558509402045058</v>
      </c>
      <c r="AA16" s="254">
        <f>(28.1863746643066/(mmBTU_to_GJ))*($C$16)</f>
        <v>30.494642615782649</v>
      </c>
      <c r="AB16" s="254">
        <f>(28.2032489776611/(mmBTU_to_GJ))*($C$16)</f>
        <v>30.512898817981785</v>
      </c>
      <c r="AC16" s="254">
        <f>(28.1397113800049/(mmBTU_to_GJ))*($C$16)</f>
        <v>30.444157933200852</v>
      </c>
      <c r="AD16" s="254">
        <f>(28.178466796875/(mmBTU_to_GJ))*($C$16)</f>
        <v>30.486087149034912</v>
      </c>
      <c r="AE16" s="254">
        <f>(28.4951820373535/(mmBTU_to_GJ))*($C$16)</f>
        <v>30.828739163860856</v>
      </c>
      <c r="AF16" s="254">
        <f>(28.9155654907227/(mmBTU_to_GJ))*($C$16)</f>
        <v>31.283549096842975</v>
      </c>
      <c r="AG16" s="254">
        <f>(29.2894115447998/(mmBTU_to_GJ))*($C$16)</f>
        <v>31.688010541359226</v>
      </c>
      <c r="AH16" s="254">
        <f>(29.6516952514648/(mmBTU_to_GJ))*($C$16)</f>
        <v>32.079962762666369</v>
      </c>
      <c r="AI16" s="254">
        <f t="shared" ref="AI16:BA18" si="54">($BB16-$AH16)/20+AH16</f>
        <v>32.070504288889573</v>
      </c>
      <c r="AJ16" s="254">
        <f t="shared" si="54"/>
        <v>32.061045815112777</v>
      </c>
      <c r="AK16" s="254">
        <f t="shared" si="54"/>
        <v>32.051587341335981</v>
      </c>
      <c r="AL16" s="254">
        <f t="shared" si="54"/>
        <v>32.042128867559185</v>
      </c>
      <c r="AM16" s="254">
        <f t="shared" si="54"/>
        <v>32.032670393782389</v>
      </c>
      <c r="AN16" s="254">
        <f t="shared" si="54"/>
        <v>32.023211920005593</v>
      </c>
      <c r="AO16" s="254">
        <f t="shared" si="54"/>
        <v>32.013753446228797</v>
      </c>
      <c r="AP16" s="254">
        <f t="shared" si="54"/>
        <v>32.004294972452001</v>
      </c>
      <c r="AQ16" s="254">
        <f t="shared" si="54"/>
        <v>31.994836498675209</v>
      </c>
      <c r="AR16" s="254">
        <f t="shared" si="54"/>
        <v>31.985378024898417</v>
      </c>
      <c r="AS16" s="254">
        <f t="shared" si="54"/>
        <v>31.975919551121624</v>
      </c>
      <c r="AT16" s="254">
        <f t="shared" si="54"/>
        <v>31.966461077344832</v>
      </c>
      <c r="AU16" s="254">
        <f t="shared" si="54"/>
        <v>31.957002603568039</v>
      </c>
      <c r="AV16" s="254">
        <f t="shared" si="54"/>
        <v>31.947544129791247</v>
      </c>
      <c r="AW16" s="254">
        <f t="shared" si="54"/>
        <v>31.938085656014454</v>
      </c>
      <c r="AX16" s="254">
        <f t="shared" si="54"/>
        <v>31.928627182237662</v>
      </c>
      <c r="AY16" s="254">
        <f t="shared" si="54"/>
        <v>31.91916870846087</v>
      </c>
      <c r="AZ16" s="254">
        <f t="shared" si="54"/>
        <v>31.909710234684077</v>
      </c>
      <c r="BA16" s="254">
        <f t="shared" si="54"/>
        <v>31.900251760907285</v>
      </c>
      <c r="BB16" s="861">
        <f>0.994103189054944*AH16</f>
        <v>31.890793287130489</v>
      </c>
      <c r="BC16" s="254">
        <f t="shared" ref="BC16:BP18" si="55">($BQ16-$BB16)/15+BB16</f>
        <v>31.911051832953525</v>
      </c>
      <c r="BD16" s="254">
        <f t="shared" si="55"/>
        <v>31.931310378776562</v>
      </c>
      <c r="BE16" s="254">
        <f t="shared" si="55"/>
        <v>31.951568924599599</v>
      </c>
      <c r="BF16" s="254">
        <f t="shared" si="55"/>
        <v>31.971827470422635</v>
      </c>
      <c r="BG16" s="254">
        <f t="shared" si="55"/>
        <v>31.992086016245672</v>
      </c>
      <c r="BH16" s="254">
        <f t="shared" si="55"/>
        <v>32.012344562068712</v>
      </c>
      <c r="BI16" s="254">
        <f t="shared" si="55"/>
        <v>32.032603107891752</v>
      </c>
      <c r="BJ16" s="254">
        <f t="shared" si="55"/>
        <v>32.052861653714793</v>
      </c>
      <c r="BK16" s="254">
        <f t="shared" si="55"/>
        <v>32.073120199537833</v>
      </c>
      <c r="BL16" s="254">
        <f t="shared" si="55"/>
        <v>32.093378745360873</v>
      </c>
      <c r="BM16" s="254">
        <f t="shared" si="55"/>
        <v>32.113637291183913</v>
      </c>
      <c r="BN16" s="254">
        <f t="shared" si="55"/>
        <v>32.133895837006953</v>
      </c>
      <c r="BO16" s="254">
        <f t="shared" si="55"/>
        <v>32.154154382829994</v>
      </c>
      <c r="BP16" s="254">
        <f t="shared" si="55"/>
        <v>32.174412928653034</v>
      </c>
      <c r="BQ16" s="861">
        <f>1.00952871208344*BB16</f>
        <v>32.194671474476053</v>
      </c>
      <c r="BR16" s="254">
        <f t="shared" ref="BR16:BU18" si="56">($BV16-$BQ16)/5+BQ16</f>
        <v>32.215123058149487</v>
      </c>
      <c r="BS16" s="254">
        <f t="shared" si="56"/>
        <v>32.235574641822922</v>
      </c>
      <c r="BT16" s="254">
        <f t="shared" si="56"/>
        <v>32.256026225496356</v>
      </c>
      <c r="BU16" s="254">
        <f t="shared" si="56"/>
        <v>32.276477809169791</v>
      </c>
      <c r="BV16" s="864">
        <f>1.00317623736115*BQ16</f>
        <v>32.296929392843232</v>
      </c>
      <c r="BW16" s="1074">
        <f>+BV16*BW$139/BV$139</f>
        <v>32.282708933053591</v>
      </c>
      <c r="BX16" s="1074">
        <f t="shared" ref="BX16:CZ16" si="57">+BW16*BX$139/BW$139</f>
        <v>32.268494734586014</v>
      </c>
      <c r="BY16" s="1074">
        <f t="shared" si="57"/>
        <v>32.254286794683622</v>
      </c>
      <c r="BZ16" s="1074">
        <f t="shared" si="57"/>
        <v>32.240085110590741</v>
      </c>
      <c r="CA16" s="1074">
        <f t="shared" si="57"/>
        <v>32.225889679552914</v>
      </c>
      <c r="CB16" s="1074">
        <f t="shared" si="57"/>
        <v>32.20007724517788</v>
      </c>
      <c r="CC16" s="1074">
        <f t="shared" si="57"/>
        <v>32.174285486159683</v>
      </c>
      <c r="CD16" s="1074">
        <f t="shared" si="57"/>
        <v>32.148514385937681</v>
      </c>
      <c r="CE16" s="1074">
        <f t="shared" si="57"/>
        <v>32.122763927964499</v>
      </c>
      <c r="CF16" s="1074">
        <f t="shared" si="57"/>
        <v>32.097034095706015</v>
      </c>
      <c r="CG16" s="1074">
        <f t="shared" si="57"/>
        <v>32.061589809857011</v>
      </c>
      <c r="CH16" s="1074">
        <f t="shared" si="57"/>
        <v>32.026184664615073</v>
      </c>
      <c r="CI16" s="1074">
        <f t="shared" si="57"/>
        <v>31.990818616757792</v>
      </c>
      <c r="CJ16" s="1074">
        <f t="shared" si="57"/>
        <v>31.9554916231105</v>
      </c>
      <c r="CK16" s="1074">
        <f t="shared" si="57"/>
        <v>31.920203640546202</v>
      </c>
      <c r="CL16" s="1074">
        <f t="shared" si="57"/>
        <v>31.881731115497008</v>
      </c>
      <c r="CM16" s="1074">
        <f t="shared" si="57"/>
        <v>31.843304960301854</v>
      </c>
      <c r="CN16" s="1074">
        <f t="shared" si="57"/>
        <v>31.804925119072454</v>
      </c>
      <c r="CO16" s="1074">
        <f t="shared" si="57"/>
        <v>31.766591535987885</v>
      </c>
      <c r="CP16" s="1074">
        <f t="shared" si="57"/>
        <v>31.728304155294506</v>
      </c>
      <c r="CQ16" s="1074">
        <f t="shared" si="57"/>
        <v>31.683957370716094</v>
      </c>
      <c r="CR16" s="1074">
        <f t="shared" si="57"/>
        <v>31.639672569825585</v>
      </c>
      <c r="CS16" s="1074">
        <f t="shared" si="57"/>
        <v>31.59544966598812</v>
      </c>
      <c r="CT16" s="1074">
        <f t="shared" si="57"/>
        <v>31.551288572689923</v>
      </c>
      <c r="CU16" s="1074">
        <f t="shared" si="57"/>
        <v>31.50718920353814</v>
      </c>
      <c r="CV16" s="1074">
        <f t="shared" si="57"/>
        <v>31.46414036817173</v>
      </c>
      <c r="CW16" s="1074">
        <f t="shared" si="57"/>
        <v>31.421150351197987</v>
      </c>
      <c r="CX16" s="1074">
        <f t="shared" si="57"/>
        <v>31.378219072252289</v>
      </c>
      <c r="CY16" s="1074">
        <f t="shared" si="57"/>
        <v>31.335346451079825</v>
      </c>
      <c r="CZ16" s="1074">
        <f t="shared" si="57"/>
        <v>31.292532407535425</v>
      </c>
    </row>
    <row r="17" spans="1:104" x14ac:dyDescent="0.25">
      <c r="A17" s="807" t="str">
        <f>'HyARC Physical Property Data'!A77</f>
        <v>Industrial Electricity</v>
      </c>
      <c r="B17" s="254">
        <v>2007</v>
      </c>
      <c r="C17" s="727">
        <f t="shared" si="37"/>
        <v>1.1413971588333081</v>
      </c>
      <c r="D17" s="807" t="str">
        <f>'HyARC Physical Property Data'!$H$77</f>
        <v>kWh</v>
      </c>
      <c r="E17" s="727" t="s">
        <v>1044</v>
      </c>
      <c r="F17" s="727"/>
      <c r="G17" s="727"/>
      <c r="H17" s="254">
        <f>(18.4008941650391/(mmBTU_to_GJ))*($C$17)</f>
        <v>19.907799355419932</v>
      </c>
      <c r="I17" s="254">
        <f>(18.4008941650391/(mmBTU_to_GJ))*($C$17)</f>
        <v>19.907799355419932</v>
      </c>
      <c r="J17" s="254">
        <f>(18.4008941650391/(mmBTU_to_GJ))*($C$17)</f>
        <v>19.907799355419932</v>
      </c>
      <c r="K17" s="254">
        <f>(18.6226921081543/(mmBTU_to_GJ))*($C$17)</f>
        <v>20.147761006705959</v>
      </c>
      <c r="L17" s="254">
        <f>(20.3344097137451/(mmBTU_to_GJ))*($C$17)</f>
        <v>21.999656373290122</v>
      </c>
      <c r="M17" s="254">
        <f>(19.1594867706299/(mmBTU_to_GJ))*($C$17)</f>
        <v>20.728515416778507</v>
      </c>
      <c r="N17" s="254">
        <f>(16.8281726837158/(mmBTU_to_GJ))*($C$17)</f>
        <v>18.206282928482938</v>
      </c>
      <c r="O17" s="254">
        <f>(17.2643089294434/(mmBTU_to_GJ))*($C$17)</f>
        <v>18.678135697902565</v>
      </c>
      <c r="P17" s="254">
        <f>(17.1560707092285/(mmBTU_to_GJ))*($C$17)</f>
        <v>18.561033520622512</v>
      </c>
      <c r="Q17" s="254">
        <f>(17.0836048126221/(mmBTU_to_GJ))*($C$17)</f>
        <v>18.482633171334495</v>
      </c>
      <c r="R17" s="254">
        <f>(17.1988334655762/(mmBTU_to_GJ))*($C$17)</f>
        <v>18.607298249152503</v>
      </c>
      <c r="S17" s="254">
        <f>(17.3181438446045/(mmBTU_to_GJ))*($C$17)</f>
        <v>18.736379318007696</v>
      </c>
      <c r="T17" s="254">
        <f>(17.6150741577148/(mmBTU_to_GJ))*($C$17)</f>
        <v>19.057626157586448</v>
      </c>
      <c r="U17" s="254">
        <f>(17.9101543426514/(mmBTU_to_GJ))*($C$17)</f>
        <v>19.376871356368099</v>
      </c>
      <c r="V17" s="254">
        <f>(18.2101707458496/(mmBTU_to_GJ))*($C$17)</f>
        <v>19.701457015338534</v>
      </c>
      <c r="W17" s="254">
        <f>(18.456880569458/(mmBTU_to_GJ))*($C$17)</f>
        <v>19.968370656782042</v>
      </c>
      <c r="X17" s="254">
        <f>(18.8030014038086/(mmBTU_to_GJ))*($C$17)</f>
        <v>20.342836379000801</v>
      </c>
      <c r="Y17" s="254">
        <f>(19.0852069854736/(mmBTU_to_GJ))*($C$17)</f>
        <v>20.648152634090209</v>
      </c>
      <c r="Z17" s="254">
        <f>(19.30615234375/(mmBTU_to_GJ))*($C$17)</f>
        <v>20.887191879771816</v>
      </c>
      <c r="AA17" s="254">
        <f>(19.3043308258057/(mmBTU_to_GJ))*($C$17)</f>
        <v>20.885221192182819</v>
      </c>
      <c r="AB17" s="254">
        <f>(19.3253479003906/(mmBTU_to_GJ))*($C$17)</f>
        <v>20.90795941892992</v>
      </c>
      <c r="AC17" s="254">
        <f>(19.3248138427734/(mmBTU_to_GJ))*($C$17)</f>
        <v>20.907381625710087</v>
      </c>
      <c r="AD17" s="254">
        <f>(19.3542194366455/(mmBTU_to_GJ))*($C$17)</f>
        <v>20.939195333102905</v>
      </c>
      <c r="AE17" s="254">
        <f>(19.6148834228516/(mmBTU_to_GJ))*($C$17)</f>
        <v>21.221205885961488</v>
      </c>
      <c r="AF17" s="254">
        <f>(19.97239112854/(mmBTU_to_GJ))*($C$17)</f>
        <v>21.607990985045614</v>
      </c>
      <c r="AG17" s="254">
        <f>(20.29469871521/(mmBTU_to_GJ))*($C$17)</f>
        <v>21.956693320302069</v>
      </c>
      <c r="AH17" s="254">
        <f>(20.5609893798828/(mmBTU_to_GJ))*($C$17)</f>
        <v>22.244791337440805</v>
      </c>
      <c r="AI17" s="254">
        <f t="shared" si="54"/>
        <v>22.238232670989351</v>
      </c>
      <c r="AJ17" s="254">
        <f t="shared" si="54"/>
        <v>22.231674004537897</v>
      </c>
      <c r="AK17" s="254">
        <f t="shared" si="54"/>
        <v>22.225115338086443</v>
      </c>
      <c r="AL17" s="254">
        <f t="shared" si="54"/>
        <v>22.218556671634989</v>
      </c>
      <c r="AM17" s="254">
        <f t="shared" si="54"/>
        <v>22.211998005183535</v>
      </c>
      <c r="AN17" s="254">
        <f t="shared" si="54"/>
        <v>22.205439338732081</v>
      </c>
      <c r="AO17" s="254">
        <f t="shared" si="54"/>
        <v>22.198880672280627</v>
      </c>
      <c r="AP17" s="254">
        <f t="shared" si="54"/>
        <v>22.192322005829173</v>
      </c>
      <c r="AQ17" s="254">
        <f t="shared" si="54"/>
        <v>22.185763339377718</v>
      </c>
      <c r="AR17" s="254">
        <f t="shared" si="54"/>
        <v>22.179204672926264</v>
      </c>
      <c r="AS17" s="254">
        <f t="shared" si="54"/>
        <v>22.17264600647481</v>
      </c>
      <c r="AT17" s="254">
        <f t="shared" si="54"/>
        <v>22.166087340023356</v>
      </c>
      <c r="AU17" s="254">
        <f t="shared" si="54"/>
        <v>22.159528673571902</v>
      </c>
      <c r="AV17" s="254">
        <f t="shared" si="54"/>
        <v>22.152970007120448</v>
      </c>
      <c r="AW17" s="254">
        <f t="shared" si="54"/>
        <v>22.146411340668994</v>
      </c>
      <c r="AX17" s="254">
        <f t="shared" si="54"/>
        <v>22.13985267421754</v>
      </c>
      <c r="AY17" s="254">
        <f t="shared" si="54"/>
        <v>22.133294007766086</v>
      </c>
      <c r="AZ17" s="254">
        <f t="shared" si="54"/>
        <v>22.126735341314632</v>
      </c>
      <c r="BA17" s="254">
        <f t="shared" si="54"/>
        <v>22.120176674863178</v>
      </c>
      <c r="BB17" s="861">
        <f>0.994103189054944*AH17</f>
        <v>22.113618008411699</v>
      </c>
      <c r="BC17" s="254">
        <f t="shared" si="55"/>
        <v>22.127665628353387</v>
      </c>
      <c r="BD17" s="254">
        <f t="shared" si="55"/>
        <v>22.141713248295076</v>
      </c>
      <c r="BE17" s="254">
        <f t="shared" si="55"/>
        <v>22.155760868236765</v>
      </c>
      <c r="BF17" s="254">
        <f t="shared" si="55"/>
        <v>22.169808488178454</v>
      </c>
      <c r="BG17" s="254">
        <f t="shared" si="55"/>
        <v>22.183856108120143</v>
      </c>
      <c r="BH17" s="254">
        <f t="shared" si="55"/>
        <v>22.197903728061831</v>
      </c>
      <c r="BI17" s="254">
        <f t="shared" si="55"/>
        <v>22.21195134800352</v>
      </c>
      <c r="BJ17" s="254">
        <f t="shared" si="55"/>
        <v>22.225998967945209</v>
      </c>
      <c r="BK17" s="254">
        <f t="shared" si="55"/>
        <v>22.240046587886898</v>
      </c>
      <c r="BL17" s="254">
        <f t="shared" si="55"/>
        <v>22.254094207828587</v>
      </c>
      <c r="BM17" s="254">
        <f t="shared" si="55"/>
        <v>22.268141827770275</v>
      </c>
      <c r="BN17" s="254">
        <f t="shared" si="55"/>
        <v>22.282189447711964</v>
      </c>
      <c r="BO17" s="254">
        <f t="shared" si="55"/>
        <v>22.296237067653653</v>
      </c>
      <c r="BP17" s="254">
        <f t="shared" si="55"/>
        <v>22.310284687595342</v>
      </c>
      <c r="BQ17" s="861">
        <f>1.00952871208344*BB17</f>
        <v>22.324332307537027</v>
      </c>
      <c r="BR17" s="254">
        <f t="shared" si="56"/>
        <v>22.338513783204611</v>
      </c>
      <c r="BS17" s="254">
        <f t="shared" si="56"/>
        <v>22.352695258872195</v>
      </c>
      <c r="BT17" s="254">
        <f t="shared" si="56"/>
        <v>22.36687673453978</v>
      </c>
      <c r="BU17" s="254">
        <f t="shared" si="56"/>
        <v>22.381058210207364</v>
      </c>
      <c r="BV17" s="864">
        <f>1.00317623736115*BQ17</f>
        <v>22.395239685874952</v>
      </c>
      <c r="BW17" s="1074">
        <f>+BV17*BW$140/BV$140</f>
        <v>22.402006623717899</v>
      </c>
      <c r="BX17" s="1074">
        <f t="shared" ref="BX17:CZ17" si="58">+BW17*BX$140/BW$140</f>
        <v>22.40877560625643</v>
      </c>
      <c r="BY17" s="1074">
        <f t="shared" si="58"/>
        <v>22.415546634108377</v>
      </c>
      <c r="BZ17" s="1074">
        <f t="shared" si="58"/>
        <v>22.422319707891749</v>
      </c>
      <c r="CA17" s="1074">
        <f t="shared" si="58"/>
        <v>22.429094828224738</v>
      </c>
      <c r="CB17" s="1074">
        <f t="shared" si="58"/>
        <v>22.426558269957198</v>
      </c>
      <c r="CC17" s="1074">
        <f t="shared" si="58"/>
        <v>22.424021998554906</v>
      </c>
      <c r="CD17" s="1074">
        <f t="shared" si="58"/>
        <v>22.421486013985415</v>
      </c>
      <c r="CE17" s="1074">
        <f t="shared" si="58"/>
        <v>22.418950316216293</v>
      </c>
      <c r="CF17" s="1074">
        <f t="shared" si="58"/>
        <v>22.416414905215102</v>
      </c>
      <c r="CG17" s="1074">
        <f t="shared" si="58"/>
        <v>22.406246620986774</v>
      </c>
      <c r="CH17" s="1074">
        <f t="shared" si="58"/>
        <v>22.39608294918218</v>
      </c>
      <c r="CI17" s="1074">
        <f t="shared" si="58"/>
        <v>22.385923887709083</v>
      </c>
      <c r="CJ17" s="1074">
        <f t="shared" si="58"/>
        <v>22.375769434476197</v>
      </c>
      <c r="CK17" s="1074">
        <f t="shared" si="58"/>
        <v>22.365619587393184</v>
      </c>
      <c r="CL17" s="1074">
        <f t="shared" si="58"/>
        <v>22.353167809865965</v>
      </c>
      <c r="CM17" s="1074">
        <f t="shared" si="58"/>
        <v>22.340722964709347</v>
      </c>
      <c r="CN17" s="1074">
        <f t="shared" si="58"/>
        <v>22.328285048063812</v>
      </c>
      <c r="CO17" s="1074">
        <f t="shared" si="58"/>
        <v>22.315854056072002</v>
      </c>
      <c r="CP17" s="1074">
        <f t="shared" si="58"/>
        <v>22.303429984878701</v>
      </c>
      <c r="CQ17" s="1074">
        <f t="shared" si="58"/>
        <v>22.286408389138984</v>
      </c>
      <c r="CR17" s="1074">
        <f t="shared" si="58"/>
        <v>22.269399783989581</v>
      </c>
      <c r="CS17" s="1074">
        <f t="shared" si="58"/>
        <v>22.252404159516296</v>
      </c>
      <c r="CT17" s="1074">
        <f t="shared" si="58"/>
        <v>22.2354215058125</v>
      </c>
      <c r="CU17" s="1074">
        <f t="shared" si="58"/>
        <v>22.218451812979119</v>
      </c>
      <c r="CV17" s="1074">
        <f t="shared" si="58"/>
        <v>22.202497084041635</v>
      </c>
      <c r="CW17" s="1074">
        <f t="shared" si="58"/>
        <v>22.186553811949913</v>
      </c>
      <c r="CX17" s="1074">
        <f t="shared" si="58"/>
        <v>22.17062198847697</v>
      </c>
      <c r="CY17" s="1074">
        <f t="shared" si="58"/>
        <v>22.154701605401723</v>
      </c>
      <c r="CZ17" s="1074">
        <f t="shared" si="58"/>
        <v>22.138792654509</v>
      </c>
    </row>
    <row r="18" spans="1:104" ht="13.8" thickBot="1" x14ac:dyDescent="0.3">
      <c r="A18" s="810" t="str">
        <f>'HyARC Physical Property Data'!A78</f>
        <v>Residential Electricity</v>
      </c>
      <c r="B18" s="733">
        <v>2007</v>
      </c>
      <c r="C18" s="734">
        <f t="shared" si="37"/>
        <v>1.1413971588333081</v>
      </c>
      <c r="D18" s="810" t="str">
        <f>'HyARC Physical Property Data'!$H$78</f>
        <v>kWh</v>
      </c>
      <c r="E18" s="734" t="s">
        <v>1044</v>
      </c>
      <c r="F18" s="733"/>
      <c r="G18" s="733"/>
      <c r="H18" s="733">
        <f>(31.2067794799805/(mmBTU_to_GJ))*($C$18)</f>
        <v>33.762397568518793</v>
      </c>
      <c r="I18" s="733">
        <f>(31.2067794799805/(mmBTU_to_GJ))*($C$18)</f>
        <v>33.762397568518793</v>
      </c>
      <c r="J18" s="733">
        <f>(31.2067794799805/(mmBTU_to_GJ))*($C$18)</f>
        <v>33.762397568518793</v>
      </c>
      <c r="K18" s="733">
        <f>(31.181957244873/(mmBTU_to_GJ))*($C$18)</f>
        <v>33.735542565080316</v>
      </c>
      <c r="L18" s="733">
        <f>(31.772819519043/(mmBTU_to_GJ))*($C$18)</f>
        <v>34.374792348018154</v>
      </c>
      <c r="M18" s="733">
        <f>(30.736837387085/(mmBTU_to_GJ))*($C$18)</f>
        <v>33.253970488284573</v>
      </c>
      <c r="N18" s="733">
        <f>(28.6163578033447/(mmBTU_to_GJ))*($C$18)</f>
        <v>30.959838381891004</v>
      </c>
      <c r="O18" s="733">
        <f>(29.8736190795898/(mmBTU_to_GJ))*($C$18)</f>
        <v>32.320060608068538</v>
      </c>
      <c r="P18" s="733">
        <f>(30.101655960083/(mmBTU_to_GJ))*($C$18)</f>
        <v>32.56677212229048</v>
      </c>
      <c r="Q18" s="733">
        <f>(30.4253902435303/(mmBTU_to_GJ))*($C$18)</f>
        <v>32.917017990862689</v>
      </c>
      <c r="R18" s="733">
        <f>(30.7938537597656/(mmBTU_to_GJ))*($C$18)</f>
        <v>33.315656105142033</v>
      </c>
      <c r="S18" s="733">
        <f>(30.8830280303955/(mmBTU_to_GJ))*($C$18)</f>
        <v>33.412133128021651</v>
      </c>
      <c r="T18" s="733">
        <f>(31.1491451263428/(mmBTU_to_GJ))*($C$18)</f>
        <v>33.700043362364035</v>
      </c>
      <c r="U18" s="733">
        <f>(31.4898681640625/(mmBTU_to_GJ))*($C$18)</f>
        <v>34.068669245968131</v>
      </c>
      <c r="V18" s="733">
        <f>(31.8156299591064/(mmBTU_to_GJ))*($C$18)</f>
        <v>34.42110866522836</v>
      </c>
      <c r="W18" s="733">
        <f>(32.0206985473633/(mmBTU_to_GJ))*($C$18)</f>
        <v>34.642970943903613</v>
      </c>
      <c r="X18" s="733">
        <f>(32.4303588867188/(mmBTU_to_GJ))*($C$18)</f>
        <v>35.086179614450586</v>
      </c>
      <c r="Y18" s="733">
        <f>(32.7907905578613/(mmBTU_to_GJ))*($C$18)</f>
        <v>35.476128131413226</v>
      </c>
      <c r="Z18" s="733">
        <f>(32.9940071105957/(mmBTU_to_GJ))*($C$18)</f>
        <v>35.695986705743984</v>
      </c>
      <c r="AA18" s="733">
        <f>(32.9234657287598/(mmBTU_to_GJ))*($C$18)</f>
        <v>35.61966847559453</v>
      </c>
      <c r="AB18" s="733">
        <f>(32.9201545715332/(mmBTU_to_GJ))*($C$18)</f>
        <v>35.616086157631599</v>
      </c>
      <c r="AC18" s="733">
        <f>(32.902271270752/(mmBTU_to_GJ))*($C$18)</f>
        <v>35.596738338956506</v>
      </c>
      <c r="AD18" s="733">
        <f>(32.9582405090332/(mmBTU_to_GJ))*($C$18)</f>
        <v>35.657291068393683</v>
      </c>
      <c r="AE18" s="733">
        <f>(33.321102142334/(mmBTU_to_GJ))*($C$18)</f>
        <v>36.049868544506616</v>
      </c>
      <c r="AF18" s="733">
        <f>(33.7343635559082/(mmBTU_to_GJ))*($C$18)</f>
        <v>36.496973192192904</v>
      </c>
      <c r="AG18" s="733">
        <f>(34.1495399475098/(mmBTU_to_GJ))*($C$18)</f>
        <v>36.94614964128175</v>
      </c>
      <c r="AH18" s="733">
        <f>(34.4904899597167/(mmBTU_to_GJ))*($C$18)</f>
        <v>37.315021087004148</v>
      </c>
      <c r="AI18" s="733">
        <f t="shared" si="54"/>
        <v>37.304019105766102</v>
      </c>
      <c r="AJ18" s="733">
        <f t="shared" si="54"/>
        <v>37.293017124528063</v>
      </c>
      <c r="AK18" s="733">
        <f t="shared" si="54"/>
        <v>37.282015143290025</v>
      </c>
      <c r="AL18" s="733">
        <f t="shared" si="54"/>
        <v>37.271013162051986</v>
      </c>
      <c r="AM18" s="733">
        <f t="shared" si="54"/>
        <v>37.260011180813947</v>
      </c>
      <c r="AN18" s="733">
        <f t="shared" si="54"/>
        <v>37.249009199575909</v>
      </c>
      <c r="AO18" s="733">
        <f t="shared" si="54"/>
        <v>37.23800721833787</v>
      </c>
      <c r="AP18" s="733">
        <f t="shared" si="54"/>
        <v>37.227005237099831</v>
      </c>
      <c r="AQ18" s="733">
        <f t="shared" si="54"/>
        <v>37.216003255861793</v>
      </c>
      <c r="AR18" s="733">
        <f t="shared" si="54"/>
        <v>37.205001274623754</v>
      </c>
      <c r="AS18" s="733">
        <f t="shared" si="54"/>
        <v>37.193999293385716</v>
      </c>
      <c r="AT18" s="733">
        <f t="shared" si="54"/>
        <v>37.182997312147677</v>
      </c>
      <c r="AU18" s="733">
        <f t="shared" si="54"/>
        <v>37.171995330909638</v>
      </c>
      <c r="AV18" s="733">
        <f t="shared" si="54"/>
        <v>37.1609933496716</v>
      </c>
      <c r="AW18" s="733">
        <f t="shared" si="54"/>
        <v>37.149991368433561</v>
      </c>
      <c r="AX18" s="733">
        <f t="shared" si="54"/>
        <v>37.138989387195522</v>
      </c>
      <c r="AY18" s="733">
        <f t="shared" si="54"/>
        <v>37.127987405957484</v>
      </c>
      <c r="AZ18" s="733">
        <f t="shared" si="54"/>
        <v>37.116985424719445</v>
      </c>
      <c r="BA18" s="733">
        <f t="shared" si="54"/>
        <v>37.105983443481406</v>
      </c>
      <c r="BB18" s="865">
        <f>0.994103189054944*AH18</f>
        <v>37.094981462243304</v>
      </c>
      <c r="BC18" s="733">
        <f t="shared" si="55"/>
        <v>37.118545955449591</v>
      </c>
      <c r="BD18" s="733">
        <f t="shared" si="55"/>
        <v>37.142110448655878</v>
      </c>
      <c r="BE18" s="733">
        <f t="shared" si="55"/>
        <v>37.165674941862164</v>
      </c>
      <c r="BF18" s="733">
        <f t="shared" si="55"/>
        <v>37.189239435068451</v>
      </c>
      <c r="BG18" s="733">
        <f t="shared" si="55"/>
        <v>37.212803928274738</v>
      </c>
      <c r="BH18" s="733">
        <f t="shared" si="55"/>
        <v>37.236368421481025</v>
      </c>
      <c r="BI18" s="733">
        <f t="shared" si="55"/>
        <v>37.259932914687312</v>
      </c>
      <c r="BJ18" s="733">
        <f t="shared" si="55"/>
        <v>37.283497407893599</v>
      </c>
      <c r="BK18" s="733">
        <f t="shared" si="55"/>
        <v>37.307061901099885</v>
      </c>
      <c r="BL18" s="733">
        <f t="shared" si="55"/>
        <v>37.330626394306172</v>
      </c>
      <c r="BM18" s="733">
        <f t="shared" si="55"/>
        <v>37.354190887512459</v>
      </c>
      <c r="BN18" s="733">
        <f t="shared" si="55"/>
        <v>37.377755380718746</v>
      </c>
      <c r="BO18" s="733">
        <f t="shared" si="55"/>
        <v>37.401319873925033</v>
      </c>
      <c r="BP18" s="733">
        <f t="shared" si="55"/>
        <v>37.42488436713132</v>
      </c>
      <c r="BQ18" s="865">
        <f>1.00952871208344*BB18</f>
        <v>37.448448860337564</v>
      </c>
      <c r="BR18" s="733">
        <f t="shared" si="56"/>
        <v>37.472237892815023</v>
      </c>
      <c r="BS18" s="733">
        <f t="shared" si="56"/>
        <v>37.496026925292483</v>
      </c>
      <c r="BT18" s="733">
        <f t="shared" si="56"/>
        <v>37.519815957769943</v>
      </c>
      <c r="BU18" s="733">
        <f t="shared" si="56"/>
        <v>37.543604990247402</v>
      </c>
      <c r="BV18" s="866">
        <f>1.00317623736115*BQ18</f>
        <v>37.567394022724876</v>
      </c>
      <c r="BW18" s="1074">
        <f>+BV18*BW$141/BV$141</f>
        <v>37.550852957486022</v>
      </c>
      <c r="BX18" s="1074">
        <f t="shared" ref="BX18:CZ18" si="59">+BW18*BX$141/BW$141</f>
        <v>37.534319175340556</v>
      </c>
      <c r="BY18" s="1074">
        <f t="shared" si="59"/>
        <v>37.517792673081715</v>
      </c>
      <c r="BZ18" s="1074">
        <f t="shared" si="59"/>
        <v>37.501273447504133</v>
      </c>
      <c r="CA18" s="1074">
        <f t="shared" si="59"/>
        <v>37.484761495403866</v>
      </c>
      <c r="CB18" s="1074">
        <f t="shared" si="59"/>
        <v>37.454736786829947</v>
      </c>
      <c r="CC18" s="1074">
        <f t="shared" si="59"/>
        <v>37.424736127578718</v>
      </c>
      <c r="CD18" s="1074">
        <f t="shared" si="59"/>
        <v>37.394759498387039</v>
      </c>
      <c r="CE18" s="1074">
        <f t="shared" si="59"/>
        <v>37.364806880007208</v>
      </c>
      <c r="CF18" s="1074">
        <f t="shared" si="59"/>
        <v>37.334878253206945</v>
      </c>
      <c r="CG18" s="1074">
        <f t="shared" si="59"/>
        <v>37.293649892574038</v>
      </c>
      <c r="CH18" s="1074">
        <f t="shared" si="59"/>
        <v>37.252467059817484</v>
      </c>
      <c r="CI18" s="1074">
        <f t="shared" si="59"/>
        <v>37.211329704661502</v>
      </c>
      <c r="CJ18" s="1074">
        <f t="shared" si="59"/>
        <v>37.170237776885841</v>
      </c>
      <c r="CK18" s="1074">
        <f t="shared" si="59"/>
        <v>37.129191226325716</v>
      </c>
      <c r="CL18" s="1074">
        <f t="shared" si="59"/>
        <v>37.084440454820722</v>
      </c>
      <c r="CM18" s="1074">
        <f t="shared" si="59"/>
        <v>37.039743620163904</v>
      </c>
      <c r="CN18" s="1074">
        <f t="shared" si="59"/>
        <v>36.995100657346704</v>
      </c>
      <c r="CO18" s="1074">
        <f t="shared" si="59"/>
        <v>36.950511501438903</v>
      </c>
      <c r="CP18" s="1074">
        <f t="shared" si="59"/>
        <v>36.905976087588542</v>
      </c>
      <c r="CQ18" s="1074">
        <f t="shared" si="59"/>
        <v>36.854392449105958</v>
      </c>
      <c r="CR18" s="1074">
        <f t="shared" si="59"/>
        <v>36.802880909292512</v>
      </c>
      <c r="CS18" s="1074">
        <f t="shared" si="59"/>
        <v>36.751441367375584</v>
      </c>
      <c r="CT18" s="1074">
        <f t="shared" si="59"/>
        <v>36.70007372272341</v>
      </c>
      <c r="CU18" s="1074">
        <f t="shared" si="59"/>
        <v>36.648777874844889</v>
      </c>
      <c r="CV18" s="1074">
        <f t="shared" si="59"/>
        <v>36.598703995041703</v>
      </c>
      <c r="CW18" s="1074">
        <f t="shared" si="59"/>
        <v>36.548698532074873</v>
      </c>
      <c r="CX18" s="1074">
        <f t="shared" si="59"/>
        <v>36.498761392465255</v>
      </c>
      <c r="CY18" s="1074">
        <f t="shared" si="59"/>
        <v>36.448892482861424</v>
      </c>
      <c r="CZ18" s="1074">
        <f t="shared" si="59"/>
        <v>36.399091710039507</v>
      </c>
    </row>
    <row r="19" spans="1:104" ht="13.8" thickTop="1" x14ac:dyDescent="0.25">
      <c r="AH19" s="254"/>
    </row>
    <row r="20" spans="1:104" x14ac:dyDescent="0.25">
      <c r="E20" s="254"/>
    </row>
    <row r="21" spans="1:104" ht="13.8" thickBot="1" x14ac:dyDescent="0.3"/>
    <row r="22" spans="1:104" ht="13.8" thickTop="1" x14ac:dyDescent="0.25">
      <c r="A22" s="720" t="s">
        <v>1076</v>
      </c>
      <c r="B22" s="721" t="str">
        <f>"Prices are in $(" &amp; ref_year&amp;")/GJ LHV"</f>
        <v>Prices are in $(2016)/GJ LHV</v>
      </c>
      <c r="C22" s="722"/>
      <c r="D22" s="722"/>
      <c r="E22" s="722"/>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722"/>
      <c r="AN22" s="722"/>
      <c r="AO22" s="722"/>
      <c r="AP22" s="722"/>
      <c r="AQ22" s="722"/>
      <c r="AR22" s="722"/>
      <c r="AS22" s="735" t="s">
        <v>757</v>
      </c>
      <c r="AT22" s="736"/>
      <c r="AU22" s="736"/>
      <c r="AV22" s="736"/>
      <c r="AW22" s="736"/>
      <c r="AX22" s="736"/>
      <c r="AY22" s="736"/>
      <c r="AZ22" s="736"/>
      <c r="BA22" s="736"/>
      <c r="BB22" s="736"/>
      <c r="BC22" s="736"/>
      <c r="BD22" s="736"/>
      <c r="BE22" s="736"/>
      <c r="BF22" s="736"/>
      <c r="BG22" s="736"/>
      <c r="BH22" s="736"/>
      <c r="BI22" s="736"/>
      <c r="BJ22" s="736"/>
      <c r="BK22" s="736"/>
      <c r="BL22" s="736"/>
      <c r="BM22" s="736"/>
      <c r="BN22" s="736"/>
      <c r="BO22" s="736"/>
      <c r="BP22" s="736"/>
      <c r="BQ22" s="736"/>
      <c r="BR22" s="736"/>
      <c r="BS22" s="736"/>
      <c r="BT22" s="736"/>
      <c r="BU22" s="736"/>
      <c r="BV22" s="737"/>
    </row>
    <row r="23" spans="1:104" ht="40.200000000000003" thickBot="1" x14ac:dyDescent="0.3">
      <c r="A23" s="740" t="s">
        <v>1057</v>
      </c>
      <c r="B23" s="741" t="s">
        <v>663</v>
      </c>
      <c r="C23" s="741" t="s">
        <v>664</v>
      </c>
      <c r="D23" s="741" t="s">
        <v>675</v>
      </c>
      <c r="E23" s="741" t="s">
        <v>676</v>
      </c>
      <c r="F23" s="742" t="s">
        <v>665</v>
      </c>
      <c r="G23" s="742" t="s">
        <v>677</v>
      </c>
      <c r="H23" s="852">
        <v>2004</v>
      </c>
      <c r="I23" s="852">
        <v>2005</v>
      </c>
      <c r="J23" s="852">
        <v>2006</v>
      </c>
      <c r="K23" s="852">
        <v>2007</v>
      </c>
      <c r="L23" s="852">
        <v>2008</v>
      </c>
      <c r="M23" s="852">
        <v>2009</v>
      </c>
      <c r="N23" s="742">
        <v>2010</v>
      </c>
      <c r="O23" s="742">
        <v>2011</v>
      </c>
      <c r="P23" s="742">
        <v>2012</v>
      </c>
      <c r="Q23" s="742">
        <v>2013</v>
      </c>
      <c r="R23" s="742">
        <v>2014</v>
      </c>
      <c r="S23" s="742">
        <v>2015</v>
      </c>
      <c r="T23" s="742">
        <v>2016</v>
      </c>
      <c r="U23" s="742">
        <v>2017</v>
      </c>
      <c r="V23" s="742">
        <v>2018</v>
      </c>
      <c r="W23" s="742">
        <v>2019</v>
      </c>
      <c r="X23" s="742">
        <v>2020</v>
      </c>
      <c r="Y23" s="742">
        <v>2021</v>
      </c>
      <c r="Z23" s="742">
        <v>2022</v>
      </c>
      <c r="AA23" s="742">
        <v>2023</v>
      </c>
      <c r="AB23" s="742">
        <v>2024</v>
      </c>
      <c r="AC23" s="742">
        <v>2025</v>
      </c>
      <c r="AD23" s="742">
        <v>2026</v>
      </c>
      <c r="AE23" s="742">
        <v>2027</v>
      </c>
      <c r="AF23" s="742">
        <v>2028</v>
      </c>
      <c r="AG23" s="742">
        <v>2029</v>
      </c>
      <c r="AH23" s="742">
        <v>2030</v>
      </c>
      <c r="AI23" s="742">
        <v>2031</v>
      </c>
      <c r="AJ23" s="742">
        <v>2032</v>
      </c>
      <c r="AK23" s="742">
        <v>2033</v>
      </c>
      <c r="AL23" s="742">
        <v>2034</v>
      </c>
      <c r="AM23" s="742">
        <v>2035</v>
      </c>
      <c r="AN23" s="742">
        <v>2036</v>
      </c>
      <c r="AO23" s="742">
        <v>2037</v>
      </c>
      <c r="AP23" s="742">
        <v>2038</v>
      </c>
      <c r="AQ23" s="742">
        <v>2039</v>
      </c>
      <c r="AR23" s="742">
        <v>2040</v>
      </c>
      <c r="AS23" s="742">
        <v>2041</v>
      </c>
      <c r="AT23" s="742">
        <v>2042</v>
      </c>
      <c r="AU23" s="742">
        <v>2043</v>
      </c>
      <c r="AV23" s="742">
        <v>2044</v>
      </c>
      <c r="AW23" s="742">
        <v>2045</v>
      </c>
      <c r="AX23" s="742">
        <v>2046</v>
      </c>
      <c r="AY23" s="742">
        <v>2047</v>
      </c>
      <c r="AZ23" s="742">
        <v>2048</v>
      </c>
      <c r="BA23" s="742">
        <v>2049</v>
      </c>
      <c r="BB23" s="742">
        <v>2050</v>
      </c>
      <c r="BC23" s="742">
        <v>2051</v>
      </c>
      <c r="BD23" s="742">
        <v>2052</v>
      </c>
      <c r="BE23" s="742">
        <v>2053</v>
      </c>
      <c r="BF23" s="742">
        <v>2054</v>
      </c>
      <c r="BG23" s="742">
        <v>2055</v>
      </c>
      <c r="BH23" s="742">
        <v>2056</v>
      </c>
      <c r="BI23" s="742">
        <v>2057</v>
      </c>
      <c r="BJ23" s="742">
        <v>2058</v>
      </c>
      <c r="BK23" s="742">
        <v>2059</v>
      </c>
      <c r="BL23" s="742">
        <v>2060</v>
      </c>
      <c r="BM23" s="742">
        <v>2061</v>
      </c>
      <c r="BN23" s="742">
        <v>2062</v>
      </c>
      <c r="BO23" s="742">
        <v>2063</v>
      </c>
      <c r="BP23" s="742">
        <v>2064</v>
      </c>
      <c r="BQ23" s="742">
        <v>2065</v>
      </c>
      <c r="BR23" s="742">
        <v>2066</v>
      </c>
      <c r="BS23" s="742">
        <v>2067</v>
      </c>
      <c r="BT23" s="742">
        <v>2068</v>
      </c>
      <c r="BU23" s="742">
        <v>2069</v>
      </c>
      <c r="BV23" s="743">
        <v>2070</v>
      </c>
      <c r="BW23" s="1075">
        <f t="shared" ref="BW23" si="60">+BV23+1</f>
        <v>2071</v>
      </c>
      <c r="BX23" s="1075">
        <f t="shared" ref="BX23" si="61">+BW23+1</f>
        <v>2072</v>
      </c>
      <c r="BY23" s="1075">
        <f t="shared" ref="BY23" si="62">+BX23+1</f>
        <v>2073</v>
      </c>
      <c r="BZ23" s="1075">
        <f t="shared" ref="BZ23" si="63">+BY23+1</f>
        <v>2074</v>
      </c>
      <c r="CA23" s="1075">
        <f t="shared" ref="CA23" si="64">+BZ23+1</f>
        <v>2075</v>
      </c>
      <c r="CB23" s="1075">
        <f t="shared" ref="CB23" si="65">+CA23+1</f>
        <v>2076</v>
      </c>
      <c r="CC23" s="1075">
        <f t="shared" ref="CC23" si="66">+CB23+1</f>
        <v>2077</v>
      </c>
      <c r="CD23" s="1075">
        <f t="shared" ref="CD23" si="67">+CC23+1</f>
        <v>2078</v>
      </c>
      <c r="CE23" s="1075">
        <f t="shared" ref="CE23" si="68">+CD23+1</f>
        <v>2079</v>
      </c>
      <c r="CF23" s="1075">
        <f t="shared" ref="CF23" si="69">+CE23+1</f>
        <v>2080</v>
      </c>
      <c r="CG23" s="1075">
        <f t="shared" ref="CG23" si="70">+CF23+1</f>
        <v>2081</v>
      </c>
      <c r="CH23" s="1075">
        <f t="shared" ref="CH23" si="71">+CG23+1</f>
        <v>2082</v>
      </c>
      <c r="CI23" s="1075">
        <f t="shared" ref="CI23" si="72">+CH23+1</f>
        <v>2083</v>
      </c>
      <c r="CJ23" s="1075">
        <f t="shared" ref="CJ23" si="73">+CI23+1</f>
        <v>2084</v>
      </c>
      <c r="CK23" s="1075">
        <f t="shared" ref="CK23" si="74">+CJ23+1</f>
        <v>2085</v>
      </c>
      <c r="CL23" s="1075">
        <f t="shared" ref="CL23" si="75">+CK23+1</f>
        <v>2086</v>
      </c>
      <c r="CM23" s="1075">
        <f t="shared" ref="CM23" si="76">+CL23+1</f>
        <v>2087</v>
      </c>
      <c r="CN23" s="1075">
        <f t="shared" ref="CN23" si="77">+CM23+1</f>
        <v>2088</v>
      </c>
      <c r="CO23" s="1075">
        <f t="shared" ref="CO23" si="78">+CN23+1</f>
        <v>2089</v>
      </c>
      <c r="CP23" s="1075">
        <f t="shared" ref="CP23" si="79">+CO23+1</f>
        <v>2090</v>
      </c>
      <c r="CQ23" s="1075">
        <f t="shared" ref="CQ23" si="80">+CP23+1</f>
        <v>2091</v>
      </c>
      <c r="CR23" s="1075">
        <f t="shared" ref="CR23" si="81">+CQ23+1</f>
        <v>2092</v>
      </c>
      <c r="CS23" s="1075">
        <f t="shared" ref="CS23" si="82">+CR23+1</f>
        <v>2093</v>
      </c>
      <c r="CT23" s="1075">
        <f t="shared" ref="CT23" si="83">+CS23+1</f>
        <v>2094</v>
      </c>
      <c r="CU23" s="1075">
        <f t="shared" ref="CU23" si="84">+CT23+1</f>
        <v>2095</v>
      </c>
      <c r="CV23" s="1075">
        <f t="shared" ref="CV23" si="85">+CU23+1</f>
        <v>2096</v>
      </c>
      <c r="CW23" s="1075">
        <f t="shared" ref="CW23" si="86">+CV23+1</f>
        <v>2097</v>
      </c>
      <c r="CX23" s="1075">
        <f t="shared" ref="CX23" si="87">+CW23+1</f>
        <v>2098</v>
      </c>
      <c r="CY23" s="1075">
        <f t="shared" ref="CY23" si="88">+CX23+1</f>
        <v>2099</v>
      </c>
      <c r="CZ23" s="1075">
        <f t="shared" ref="CZ23" si="89">+CY23+1</f>
        <v>2100</v>
      </c>
    </row>
    <row r="24" spans="1:104" ht="13.8" thickBot="1" x14ac:dyDescent="0.3">
      <c r="A24" s="801" t="s">
        <v>1063</v>
      </c>
      <c r="B24" s="802"/>
      <c r="C24" s="802"/>
      <c r="D24" s="802"/>
      <c r="E24" s="802"/>
      <c r="F24" s="724"/>
      <c r="G24" s="802"/>
      <c r="H24" s="802"/>
      <c r="I24" s="802"/>
      <c r="J24" s="802"/>
      <c r="K24" s="802"/>
      <c r="L24" s="802"/>
      <c r="M24" s="802"/>
      <c r="N24" s="802"/>
      <c r="O24" s="802"/>
      <c r="P24" s="802"/>
      <c r="Q24" s="802"/>
      <c r="R24" s="802"/>
      <c r="S24" s="802"/>
      <c r="T24" s="802"/>
      <c r="U24" s="802"/>
      <c r="V24" s="802"/>
      <c r="W24" s="802"/>
      <c r="X24" s="802"/>
      <c r="Y24" s="802"/>
      <c r="Z24" s="802"/>
      <c r="AA24" s="802"/>
      <c r="AB24" s="802"/>
      <c r="AC24" s="802"/>
      <c r="AD24" s="802"/>
      <c r="AE24" s="802"/>
      <c r="AF24" s="802"/>
      <c r="AG24" s="802"/>
      <c r="AH24" s="802"/>
      <c r="AI24" s="802"/>
      <c r="AJ24" s="802"/>
      <c r="AK24" s="802"/>
      <c r="AL24" s="802"/>
      <c r="AM24" s="802"/>
      <c r="AN24" s="802"/>
      <c r="AO24" s="802"/>
      <c r="AP24" s="802"/>
      <c r="AQ24" s="802"/>
      <c r="AR24" s="802"/>
      <c r="AS24" s="802"/>
      <c r="AT24" s="802"/>
      <c r="AU24" s="802"/>
      <c r="AV24" s="802"/>
      <c r="AW24" s="802"/>
      <c r="AX24" s="802"/>
      <c r="AY24" s="802"/>
      <c r="AZ24" s="802"/>
      <c r="BA24" s="802"/>
      <c r="BC24" s="802"/>
      <c r="BD24" s="802"/>
      <c r="BE24" s="802"/>
      <c r="BF24" s="802"/>
      <c r="BG24" s="802"/>
      <c r="BH24" s="802"/>
      <c r="BI24" s="802"/>
      <c r="BJ24" s="802"/>
      <c r="BK24" s="802"/>
      <c r="BL24" s="802"/>
      <c r="BM24" s="802"/>
      <c r="BN24" s="802"/>
      <c r="BO24" s="802"/>
      <c r="BP24" s="802"/>
      <c r="BR24" s="802"/>
      <c r="BS24" s="802"/>
      <c r="BT24" s="802"/>
      <c r="BU24" s="802"/>
    </row>
    <row r="25" spans="1:104" x14ac:dyDescent="0.25">
      <c r="A25" s="818" t="str">
        <f>'HyARC Physical Property Data'!A73</f>
        <v>Residential Natural Gas</v>
      </c>
      <c r="B25" s="802">
        <v>2011</v>
      </c>
      <c r="C25" s="803">
        <f>VLOOKUP(ref_year,DeflatorTable,2,FALSE)/VLOOKUP(B25,DeflatorTable,2,FALSE)</f>
        <v>1.0771767810026385</v>
      </c>
      <c r="D25" s="1018" t="str">
        <f>'HyARC Physical Property Data'!H73</f>
        <v>mmBtu</v>
      </c>
      <c r="E25" s="803" t="s">
        <v>1031</v>
      </c>
      <c r="F25" s="802">
        <f>'HyARC Physical Property Data'!$E$6</f>
        <v>47.141269049911173</v>
      </c>
      <c r="G25" s="802">
        <f>'HyARC Physical Property Data'!$I$6</f>
        <v>52.224661236371581</v>
      </c>
      <c r="H25" s="853">
        <v>14.386141835345208</v>
      </c>
      <c r="I25" s="853">
        <v>14.386141835345208</v>
      </c>
      <c r="J25" s="853">
        <v>14.386141835345208</v>
      </c>
      <c r="K25" s="853">
        <v>13.326716630976858</v>
      </c>
      <c r="L25" s="853">
        <v>13.627764477872551</v>
      </c>
      <c r="M25" s="853">
        <v>11.254339733155913</v>
      </c>
      <c r="N25" s="802">
        <f t="shared" ref="N25:AR25" si="90">((N42/(mmBTU_to_GJ))*($C25))*($G25/$F25)</f>
        <v>12.848820030872972</v>
      </c>
      <c r="O25" s="802">
        <f t="shared" si="90"/>
        <v>12.218751960936617</v>
      </c>
      <c r="P25" s="802">
        <f t="shared" si="90"/>
        <v>11.836476203703018</v>
      </c>
      <c r="Q25" s="802">
        <f t="shared" si="90"/>
        <v>11.8517734777777</v>
      </c>
      <c r="R25" s="802">
        <f t="shared" si="90"/>
        <v>11.597927407987708</v>
      </c>
      <c r="S25" s="802">
        <f t="shared" si="90"/>
        <v>11.487750612568879</v>
      </c>
      <c r="T25" s="802">
        <f t="shared" si="90"/>
        <v>12.060887123888937</v>
      </c>
      <c r="U25" s="802">
        <f t="shared" si="90"/>
        <v>12.431586993598115</v>
      </c>
      <c r="V25" s="802">
        <f t="shared" si="90"/>
        <v>12.891966623565866</v>
      </c>
      <c r="W25" s="802">
        <f t="shared" si="90"/>
        <v>13.149168727974281</v>
      </c>
      <c r="X25" s="802">
        <f t="shared" si="90"/>
        <v>13.320350247045116</v>
      </c>
      <c r="Y25" s="802">
        <f t="shared" si="90"/>
        <v>13.528204956004251</v>
      </c>
      <c r="Z25" s="802">
        <f t="shared" si="90"/>
        <v>13.803266322492309</v>
      </c>
      <c r="AA25" s="802">
        <f t="shared" si="90"/>
        <v>14.062393594046176</v>
      </c>
      <c r="AB25" s="802">
        <f t="shared" si="90"/>
        <v>14.234621399609106</v>
      </c>
      <c r="AC25" s="802">
        <f t="shared" si="90"/>
        <v>14.336189236658935</v>
      </c>
      <c r="AD25" s="802">
        <f t="shared" si="90"/>
        <v>14.525745808772006</v>
      </c>
      <c r="AE25" s="802">
        <f t="shared" si="90"/>
        <v>14.629217321677178</v>
      </c>
      <c r="AF25" s="802">
        <f t="shared" si="90"/>
        <v>14.801367079923402</v>
      </c>
      <c r="AG25" s="802">
        <f t="shared" si="90"/>
        <v>14.969684601807232</v>
      </c>
      <c r="AH25" s="802">
        <f t="shared" si="90"/>
        <v>15.121948129980476</v>
      </c>
      <c r="AI25" s="802">
        <f t="shared" si="90"/>
        <v>15.323390516643737</v>
      </c>
      <c r="AJ25" s="802">
        <f t="shared" si="90"/>
        <v>15.521017633752583</v>
      </c>
      <c r="AK25" s="802">
        <f t="shared" si="90"/>
        <v>15.763176966206016</v>
      </c>
      <c r="AL25" s="802">
        <f t="shared" si="90"/>
        <v>16.117258413059144</v>
      </c>
      <c r="AM25" s="802">
        <f t="shared" si="90"/>
        <v>16.51303296272155</v>
      </c>
      <c r="AN25" s="802">
        <f t="shared" si="90"/>
        <v>16.993618929872834</v>
      </c>
      <c r="AO25" s="802">
        <f t="shared" si="90"/>
        <v>17.437235353556446</v>
      </c>
      <c r="AP25" s="802">
        <f t="shared" si="90"/>
        <v>17.919522525987844</v>
      </c>
      <c r="AQ25" s="802">
        <f t="shared" si="90"/>
        <v>18.161000923881019</v>
      </c>
      <c r="AR25" s="802">
        <f t="shared" si="90"/>
        <v>18.508607836809013</v>
      </c>
      <c r="AS25" s="802">
        <f>($BB25-$AR25)/10+AR25</f>
        <v>18.515839395504365</v>
      </c>
      <c r="AT25" s="802">
        <f t="shared" ref="AT25:BA25" si="91">($BB25-$AR25)/10+AS25</f>
        <v>18.523070954199717</v>
      </c>
      <c r="AU25" s="802">
        <f t="shared" si="91"/>
        <v>18.530302512895069</v>
      </c>
      <c r="AV25" s="802">
        <f t="shared" si="91"/>
        <v>18.537534071590422</v>
      </c>
      <c r="AW25" s="802">
        <f t="shared" si="91"/>
        <v>18.544765630285774</v>
      </c>
      <c r="AX25" s="802">
        <f t="shared" si="91"/>
        <v>18.551997188981126</v>
      </c>
      <c r="AY25" s="802">
        <f t="shared" si="91"/>
        <v>18.559228747676478</v>
      </c>
      <c r="AZ25" s="802">
        <f t="shared" si="91"/>
        <v>18.56646030637183</v>
      </c>
      <c r="BA25" s="802">
        <f t="shared" si="91"/>
        <v>18.573691865067183</v>
      </c>
      <c r="BB25" s="804">
        <f>'AEO Data'!$B$30*AM25</f>
        <v>18.580923423762542</v>
      </c>
      <c r="BC25" s="802">
        <f>($BQ25-$BB25)/15+BB25</f>
        <v>18.732326935626944</v>
      </c>
      <c r="BD25" s="802">
        <f t="shared" ref="BD25:BP25" si="92">($BQ25-$BB25)/15+BC25</f>
        <v>18.883730447491345</v>
      </c>
      <c r="BE25" s="802">
        <f t="shared" si="92"/>
        <v>19.035133959355747</v>
      </c>
      <c r="BF25" s="802">
        <f t="shared" si="92"/>
        <v>19.186537471220149</v>
      </c>
      <c r="BG25" s="802">
        <f t="shared" si="92"/>
        <v>19.33794098308455</v>
      </c>
      <c r="BH25" s="802">
        <f t="shared" si="92"/>
        <v>19.489344494948952</v>
      </c>
      <c r="BI25" s="802">
        <f t="shared" si="92"/>
        <v>19.640748006813354</v>
      </c>
      <c r="BJ25" s="802">
        <f t="shared" si="92"/>
        <v>19.792151518677755</v>
      </c>
      <c r="BK25" s="802">
        <f t="shared" si="92"/>
        <v>19.943555030542157</v>
      </c>
      <c r="BL25" s="802">
        <f t="shared" si="92"/>
        <v>20.094958542406559</v>
      </c>
      <c r="BM25" s="802">
        <f t="shared" si="92"/>
        <v>20.246362054270961</v>
      </c>
      <c r="BN25" s="802">
        <f t="shared" si="92"/>
        <v>20.397765566135362</v>
      </c>
      <c r="BO25" s="802">
        <f t="shared" si="92"/>
        <v>20.549169077999764</v>
      </c>
      <c r="BP25" s="802">
        <f t="shared" si="92"/>
        <v>20.700572589864166</v>
      </c>
      <c r="BQ25" s="804">
        <f>'AEO Data'!$C$30*BB25</f>
        <v>20.851976101728582</v>
      </c>
      <c r="BR25" s="802">
        <f>($BV25-$BQ25)/5+BQ25</f>
        <v>20.971163273815758</v>
      </c>
      <c r="BS25" s="802">
        <f>($BV25-$BQ25)/5+BR25</f>
        <v>21.090350445902935</v>
      </c>
      <c r="BT25" s="802">
        <f>($BV25-$BQ25)/5+BS25</f>
        <v>21.209537617990112</v>
      </c>
      <c r="BU25" s="802">
        <f>($BV25-$BQ25)/5+BT25</f>
        <v>21.328724790077288</v>
      </c>
      <c r="BV25" s="805">
        <f>'AEO Data'!$D$30*BQ25</f>
        <v>21.447911962164458</v>
      </c>
      <c r="BW25" s="1074">
        <f>+BV25*BW$133/BV$133</f>
        <v>21.519125336431191</v>
      </c>
      <c r="BX25" s="1074">
        <f t="shared" ref="BX25:CZ25" si="93">+BW25*BX$133/BW$133</f>
        <v>21.590575160040096</v>
      </c>
      <c r="BY25" s="1074">
        <f t="shared" si="93"/>
        <v>21.66226221807252</v>
      </c>
      <c r="BZ25" s="1074">
        <f t="shared" si="93"/>
        <v>21.734187298216501</v>
      </c>
      <c r="CA25" s="1074">
        <f t="shared" si="93"/>
        <v>21.806351190775437</v>
      </c>
      <c r="CB25" s="1074">
        <f t="shared" si="93"/>
        <v>21.852884379410604</v>
      </c>
      <c r="CC25" s="1074">
        <f t="shared" si="93"/>
        <v>21.899516866531133</v>
      </c>
      <c r="CD25" s="1074">
        <f t="shared" si="93"/>
        <v>21.946248864032874</v>
      </c>
      <c r="CE25" s="1074">
        <f t="shared" si="93"/>
        <v>21.993080584263836</v>
      </c>
      <c r="CF25" s="1074">
        <f t="shared" si="93"/>
        <v>22.040012240025163</v>
      </c>
      <c r="CG25" s="1074">
        <f t="shared" si="93"/>
        <v>22.055250650944551</v>
      </c>
      <c r="CH25" s="1074">
        <f t="shared" si="93"/>
        <v>22.070499597664231</v>
      </c>
      <c r="CI25" s="1074">
        <f t="shared" si="93"/>
        <v>22.085759087468627</v>
      </c>
      <c r="CJ25" s="1074">
        <f t="shared" si="93"/>
        <v>22.101029127647202</v>
      </c>
      <c r="CK25" s="1074">
        <f t="shared" si="93"/>
        <v>22.116309725494457</v>
      </c>
      <c r="CL25" s="1074">
        <f t="shared" si="93"/>
        <v>22.121489169854147</v>
      </c>
      <c r="CM25" s="1074">
        <f t="shared" si="93"/>
        <v>22.126669827193954</v>
      </c>
      <c r="CN25" s="1074">
        <f t="shared" si="93"/>
        <v>22.131851697797941</v>
      </c>
      <c r="CO25" s="1074">
        <f t="shared" si="93"/>
        <v>22.137034781950248</v>
      </c>
      <c r="CP25" s="1074">
        <f t="shared" si="93"/>
        <v>22.142219079935074</v>
      </c>
      <c r="CQ25" s="1074">
        <f t="shared" si="93"/>
        <v>22.15007638128591</v>
      </c>
      <c r="CR25" s="1074">
        <f t="shared" si="93"/>
        <v>22.157936470848</v>
      </c>
      <c r="CS25" s="1074">
        <f t="shared" si="93"/>
        <v>22.165799349610761</v>
      </c>
      <c r="CT25" s="1074">
        <f t="shared" si="93"/>
        <v>22.173665018563963</v>
      </c>
      <c r="CU25" s="1074">
        <f t="shared" si="93"/>
        <v>22.181533478697713</v>
      </c>
      <c r="CV25" s="1074">
        <f t="shared" si="93"/>
        <v>22.193643072156416</v>
      </c>
      <c r="CW25" s="1074">
        <f t="shared" si="93"/>
        <v>22.205759276621244</v>
      </c>
      <c r="CX25" s="1074">
        <f t="shared" si="93"/>
        <v>22.217882095701352</v>
      </c>
      <c r="CY25" s="1074">
        <f t="shared" si="93"/>
        <v>22.230011533007868</v>
      </c>
      <c r="CZ25" s="1074">
        <f t="shared" si="93"/>
        <v>22.242147592153891</v>
      </c>
    </row>
    <row r="26" spans="1:104" x14ac:dyDescent="0.25">
      <c r="A26" s="728" t="str">
        <f>'HyARC Physical Property Data'!A71</f>
        <v>Commercial Natural Gas</v>
      </c>
      <c r="B26" s="254">
        <v>2011</v>
      </c>
      <c r="C26" s="727">
        <f>VLOOKUP(ref_year,DeflatorTable,2,FALSE)/VLOOKUP(B26,DeflatorTable,2,FALSE)</f>
        <v>1.0771767810026385</v>
      </c>
      <c r="D26" s="1019" t="str">
        <f>'HyARC Physical Property Data'!H71</f>
        <v>mmBtu</v>
      </c>
      <c r="E26" s="727" t="s">
        <v>1031</v>
      </c>
      <c r="F26" s="254">
        <f>'HyARC Physical Property Data'!$E$6</f>
        <v>47.141269049911173</v>
      </c>
      <c r="G26" s="254">
        <f>'HyARC Physical Property Data'!$I$6</f>
        <v>52.224661236371581</v>
      </c>
      <c r="H26" s="854">
        <v>12.491836786393147</v>
      </c>
      <c r="I26" s="854">
        <v>12.491836786393147</v>
      </c>
      <c r="J26" s="854">
        <v>12.491836786393147</v>
      </c>
      <c r="K26" s="854">
        <v>11.540201846875071</v>
      </c>
      <c r="L26" s="854">
        <v>11.906633267965836</v>
      </c>
      <c r="M26" s="854">
        <v>9.3536765847618941</v>
      </c>
      <c r="N26" s="254">
        <f t="shared" ref="N26:AR26" si="94">((N43/(mmBTU_to_GJ))*($C26))*($G26/$F26)</f>
        <v>10.629111361129928</v>
      </c>
      <c r="O26" s="254">
        <f t="shared" si="94"/>
        <v>9.9955549154729031</v>
      </c>
      <c r="P26" s="254">
        <f t="shared" si="94"/>
        <v>9.1313053061952658</v>
      </c>
      <c r="Q26" s="254">
        <f t="shared" si="94"/>
        <v>9.5723721841997591</v>
      </c>
      <c r="R26" s="254">
        <f t="shared" si="94"/>
        <v>9.3150739345461275</v>
      </c>
      <c r="S26" s="254">
        <f t="shared" si="94"/>
        <v>9.1670102569081706</v>
      </c>
      <c r="T26" s="254">
        <f t="shared" si="94"/>
        <v>9.6835669880973843</v>
      </c>
      <c r="U26" s="254">
        <f t="shared" si="94"/>
        <v>9.9819022906517407</v>
      </c>
      <c r="V26" s="254">
        <f t="shared" si="94"/>
        <v>10.374954233193641</v>
      </c>
      <c r="W26" s="254">
        <f t="shared" si="94"/>
        <v>10.576898837373108</v>
      </c>
      <c r="X26" s="254">
        <f t="shared" si="94"/>
        <v>10.709472950445942</v>
      </c>
      <c r="Y26" s="254">
        <f t="shared" si="94"/>
        <v>10.871133827998989</v>
      </c>
      <c r="Z26" s="254">
        <f t="shared" si="94"/>
        <v>11.106678367581321</v>
      </c>
      <c r="AA26" s="254">
        <f t="shared" si="94"/>
        <v>11.324324055865388</v>
      </c>
      <c r="AB26" s="254">
        <f t="shared" si="94"/>
        <v>11.461664710860044</v>
      </c>
      <c r="AC26" s="254">
        <f t="shared" si="94"/>
        <v>11.530251335438004</v>
      </c>
      <c r="AD26" s="254">
        <f t="shared" si="94"/>
        <v>11.690741503240439</v>
      </c>
      <c r="AE26" s="254">
        <f t="shared" si="94"/>
        <v>11.750101577638928</v>
      </c>
      <c r="AF26" s="254">
        <f t="shared" si="94"/>
        <v>11.876771241534755</v>
      </c>
      <c r="AG26" s="254">
        <f t="shared" si="94"/>
        <v>11.995898593723251</v>
      </c>
      <c r="AH26" s="254">
        <f t="shared" si="94"/>
        <v>12.099846308372394</v>
      </c>
      <c r="AI26" s="254">
        <f t="shared" si="94"/>
        <v>12.252762493092598</v>
      </c>
      <c r="AJ26" s="254">
        <f t="shared" si="94"/>
        <v>12.390975242017417</v>
      </c>
      <c r="AK26" s="254">
        <f t="shared" si="94"/>
        <v>12.576341012559455</v>
      </c>
      <c r="AL26" s="254">
        <f t="shared" si="94"/>
        <v>12.876005381738906</v>
      </c>
      <c r="AM26" s="254">
        <f t="shared" si="94"/>
        <v>13.213362080405979</v>
      </c>
      <c r="AN26" s="254">
        <f t="shared" si="94"/>
        <v>13.642549930583472</v>
      </c>
      <c r="AO26" s="254">
        <f t="shared" si="94"/>
        <v>14.027368446772995</v>
      </c>
      <c r="AP26" s="254">
        <f t="shared" si="94"/>
        <v>14.457440833206514</v>
      </c>
      <c r="AQ26" s="254">
        <f t="shared" si="94"/>
        <v>14.646759870007866</v>
      </c>
      <c r="AR26" s="254">
        <f t="shared" si="94"/>
        <v>14.945407361829057</v>
      </c>
      <c r="AS26" s="254">
        <f t="shared" ref="AS26:BA26" si="95">($BB26-$AR26)/10+AR26</f>
        <v>14.937670833817531</v>
      </c>
      <c r="AT26" s="254">
        <f t="shared" si="95"/>
        <v>14.929934305806006</v>
      </c>
      <c r="AU26" s="254">
        <f t="shared" si="95"/>
        <v>14.92219777779448</v>
      </c>
      <c r="AV26" s="254">
        <f t="shared" si="95"/>
        <v>14.914461249782955</v>
      </c>
      <c r="AW26" s="254">
        <f t="shared" si="95"/>
        <v>14.906724721771429</v>
      </c>
      <c r="AX26" s="254">
        <f t="shared" si="95"/>
        <v>14.898988193759903</v>
      </c>
      <c r="AY26" s="254">
        <f t="shared" si="95"/>
        <v>14.891251665748378</v>
      </c>
      <c r="AZ26" s="254">
        <f t="shared" si="95"/>
        <v>14.883515137736852</v>
      </c>
      <c r="BA26" s="254">
        <f t="shared" si="95"/>
        <v>14.875778609725327</v>
      </c>
      <c r="BB26" s="782">
        <f>'AEO Data'!$B$30*AM26</f>
        <v>14.868042081713805</v>
      </c>
      <c r="BC26" s="254">
        <f t="shared" ref="BC26:BP28" si="96">($BQ26-$BB26)/15+BB26</f>
        <v>14.989191807934644</v>
      </c>
      <c r="BD26" s="254">
        <f t="shared" si="96"/>
        <v>15.110341534155483</v>
      </c>
      <c r="BE26" s="254">
        <f t="shared" si="96"/>
        <v>15.231491260376322</v>
      </c>
      <c r="BF26" s="254">
        <f t="shared" si="96"/>
        <v>15.35264098659716</v>
      </c>
      <c r="BG26" s="254">
        <f t="shared" si="96"/>
        <v>15.473790712817999</v>
      </c>
      <c r="BH26" s="254">
        <f t="shared" si="96"/>
        <v>15.594940439038838</v>
      </c>
      <c r="BI26" s="254">
        <f t="shared" si="96"/>
        <v>15.716090165259677</v>
      </c>
      <c r="BJ26" s="254">
        <f t="shared" si="96"/>
        <v>15.837239891480516</v>
      </c>
      <c r="BK26" s="254">
        <f t="shared" si="96"/>
        <v>15.958389617701355</v>
      </c>
      <c r="BL26" s="254">
        <f t="shared" si="96"/>
        <v>16.079539343922193</v>
      </c>
      <c r="BM26" s="254">
        <f t="shared" si="96"/>
        <v>16.200689070143032</v>
      </c>
      <c r="BN26" s="254">
        <f t="shared" si="96"/>
        <v>16.32183879636387</v>
      </c>
      <c r="BO26" s="254">
        <f t="shared" si="96"/>
        <v>16.442988522584709</v>
      </c>
      <c r="BP26" s="254">
        <f t="shared" si="96"/>
        <v>16.564138248805548</v>
      </c>
      <c r="BQ26" s="782">
        <f>'AEO Data'!$C$30*BB26</f>
        <v>16.68528797502638</v>
      </c>
      <c r="BR26" s="254">
        <f t="shared" ref="BR26:BU28" si="97">($BV26-$BQ26)/5+BQ26</f>
        <v>16.780658901959232</v>
      </c>
      <c r="BS26" s="254">
        <f t="shared" si="97"/>
        <v>16.876029828892083</v>
      </c>
      <c r="BT26" s="254">
        <f t="shared" si="97"/>
        <v>16.971400755824934</v>
      </c>
      <c r="BU26" s="254">
        <f t="shared" si="97"/>
        <v>17.066771682757786</v>
      </c>
      <c r="BV26" s="806">
        <f>'AEO Data'!$D$30*BQ26</f>
        <v>17.162142609690644</v>
      </c>
      <c r="BW26" s="1074">
        <f>+BV26*BW$134/BV$134</f>
        <v>17.219125969517879</v>
      </c>
      <c r="BX26" s="1074">
        <f t="shared" ref="BX26:CZ26" si="98">+BW26*BX$134/BW$134</f>
        <v>17.276298530855151</v>
      </c>
      <c r="BY26" s="1074">
        <f t="shared" si="98"/>
        <v>17.333660921907107</v>
      </c>
      <c r="BZ26" s="1074">
        <f t="shared" si="98"/>
        <v>17.391213772964214</v>
      </c>
      <c r="CA26" s="1074">
        <f t="shared" si="98"/>
        <v>17.448957716409694</v>
      </c>
      <c r="CB26" s="1074">
        <f t="shared" si="98"/>
        <v>17.486192540053562</v>
      </c>
      <c r="CC26" s="1074">
        <f t="shared" si="98"/>
        <v>17.523506820139147</v>
      </c>
      <c r="CD26" s="1074">
        <f t="shared" si="98"/>
        <v>17.56090072622079</v>
      </c>
      <c r="CE26" s="1074">
        <f t="shared" si="98"/>
        <v>17.598374428214658</v>
      </c>
      <c r="CF26" s="1074">
        <f t="shared" si="98"/>
        <v>17.635928096399496</v>
      </c>
      <c r="CG26" s="1074">
        <f t="shared" si="98"/>
        <v>17.648121534241135</v>
      </c>
      <c r="CH26" s="1074">
        <f t="shared" si="98"/>
        <v>17.660323402596077</v>
      </c>
      <c r="CI26" s="1074">
        <f t="shared" si="98"/>
        <v>17.672533707293155</v>
      </c>
      <c r="CJ26" s="1074">
        <f t="shared" si="98"/>
        <v>17.684752454165238</v>
      </c>
      <c r="CK26" s="1074">
        <f t="shared" si="98"/>
        <v>17.696979649049226</v>
      </c>
      <c r="CL26" s="1074">
        <f t="shared" si="98"/>
        <v>17.701124125345881</v>
      </c>
      <c r="CM26" s="1074">
        <f t="shared" si="98"/>
        <v>17.705269572242276</v>
      </c>
      <c r="CN26" s="1074">
        <f t="shared" si="98"/>
        <v>17.709415989965713</v>
      </c>
      <c r="CO26" s="1074">
        <f t="shared" si="98"/>
        <v>17.713563378743547</v>
      </c>
      <c r="CP26" s="1074">
        <f t="shared" si="98"/>
        <v>17.717711738803196</v>
      </c>
      <c r="CQ26" s="1074">
        <f t="shared" si="98"/>
        <v>17.723998976765952</v>
      </c>
      <c r="CR26" s="1074">
        <f t="shared" si="98"/>
        <v>17.730288445793402</v>
      </c>
      <c r="CS26" s="1074">
        <f t="shared" si="98"/>
        <v>17.736580146677259</v>
      </c>
      <c r="CT26" s="1074">
        <f t="shared" si="98"/>
        <v>17.742874080209511</v>
      </c>
      <c r="CU26" s="1074">
        <f t="shared" si="98"/>
        <v>17.749170247182427</v>
      </c>
      <c r="CV26" s="1074">
        <f t="shared" si="98"/>
        <v>17.758860074809945</v>
      </c>
      <c r="CW26" s="1074">
        <f t="shared" si="98"/>
        <v>17.768555192417683</v>
      </c>
      <c r="CX26" s="1074">
        <f t="shared" si="98"/>
        <v>17.778255602893598</v>
      </c>
      <c r="CY26" s="1074">
        <f t="shared" si="98"/>
        <v>17.78796130912724</v>
      </c>
      <c r="CZ26" s="1074">
        <f t="shared" si="98"/>
        <v>17.797672314009723</v>
      </c>
    </row>
    <row r="27" spans="1:104" x14ac:dyDescent="0.25">
      <c r="A27" s="728" t="str">
        <f>'HyARC Physical Property Data'!A72</f>
        <v>Industrial Natural Gas</v>
      </c>
      <c r="B27" s="254">
        <v>2011</v>
      </c>
      <c r="C27" s="727">
        <f t="shared" ref="C27:C35" si="99">VLOOKUP(ref_year,DeflatorTable,2,FALSE)/VLOOKUP(B27,DeflatorTable,2,FALSE)</f>
        <v>1.0771767810026385</v>
      </c>
      <c r="D27" s="1019" t="str">
        <f>'HyARC Physical Property Data'!H72</f>
        <v>mmBtu</v>
      </c>
      <c r="E27" s="727" t="s">
        <v>1031</v>
      </c>
      <c r="F27" s="254">
        <f>'HyARC Physical Property Data'!$E$6</f>
        <v>47.141269049911173</v>
      </c>
      <c r="G27" s="254">
        <f>'HyARC Physical Property Data'!$I$6</f>
        <v>52.224661236371581</v>
      </c>
      <c r="H27" s="854">
        <v>8.3524006010892204</v>
      </c>
      <c r="I27" s="854">
        <v>8.3524006010892204</v>
      </c>
      <c r="J27" s="854">
        <v>8.3524006010892204</v>
      </c>
      <c r="K27" s="854">
        <v>7.891606632326889</v>
      </c>
      <c r="L27" s="854">
        <v>9.2420298006250725</v>
      </c>
      <c r="M27" s="854">
        <v>5.091378564817072</v>
      </c>
      <c r="N27" s="254">
        <f t="shared" ref="N27:AR27" si="100">((N44/(mmBTU_to_GJ))*($C27))*($G27/$F27)</f>
        <v>6.2030197526312536</v>
      </c>
      <c r="O27" s="254">
        <f t="shared" si="100"/>
        <v>5.530967881908893</v>
      </c>
      <c r="P27" s="254">
        <f t="shared" si="100"/>
        <v>4.2526580284486375</v>
      </c>
      <c r="Q27" s="254">
        <f t="shared" si="100"/>
        <v>4.9022628122135865</v>
      </c>
      <c r="R27" s="254">
        <f t="shared" si="100"/>
        <v>4.9487111457393711</v>
      </c>
      <c r="S27" s="254">
        <f t="shared" si="100"/>
        <v>5.0024201419600187</v>
      </c>
      <c r="T27" s="254">
        <f t="shared" si="100"/>
        <v>5.5040732290196832</v>
      </c>
      <c r="U27" s="254">
        <f t="shared" si="100"/>
        <v>5.7324521200318364</v>
      </c>
      <c r="V27" s="254">
        <f t="shared" si="100"/>
        <v>6.0189830487143103</v>
      </c>
      <c r="W27" s="254">
        <f t="shared" si="100"/>
        <v>6.1643784130172916</v>
      </c>
      <c r="X27" s="254">
        <f t="shared" si="100"/>
        <v>6.2544314430514243</v>
      </c>
      <c r="Y27" s="254">
        <f t="shared" si="100"/>
        <v>6.3802934868874104</v>
      </c>
      <c r="Z27" s="254">
        <f t="shared" si="100"/>
        <v>6.5919159583386113</v>
      </c>
      <c r="AA27" s="254">
        <f t="shared" si="100"/>
        <v>6.7988318372561878</v>
      </c>
      <c r="AB27" s="254">
        <f t="shared" si="100"/>
        <v>6.9111566305652739</v>
      </c>
      <c r="AC27" s="254">
        <f t="shared" si="100"/>
        <v>6.9577474852780874</v>
      </c>
      <c r="AD27" s="254">
        <f t="shared" si="100"/>
        <v>7.0760185792238648</v>
      </c>
      <c r="AE27" s="254">
        <f t="shared" si="100"/>
        <v>7.1203087347746017</v>
      </c>
      <c r="AF27" s="254">
        <f t="shared" si="100"/>
        <v>7.2355314588866548</v>
      </c>
      <c r="AG27" s="254">
        <f t="shared" si="100"/>
        <v>7.3367328128841169</v>
      </c>
      <c r="AH27" s="254">
        <f t="shared" si="100"/>
        <v>7.4218281416265226</v>
      </c>
      <c r="AI27" s="254">
        <f t="shared" si="100"/>
        <v>7.552074408644514</v>
      </c>
      <c r="AJ27" s="254">
        <f t="shared" si="100"/>
        <v>7.6589686922794975</v>
      </c>
      <c r="AK27" s="254">
        <f t="shared" si="100"/>
        <v>7.8228205503030184</v>
      </c>
      <c r="AL27" s="254">
        <f t="shared" si="100"/>
        <v>8.1087248382107671</v>
      </c>
      <c r="AM27" s="254">
        <f t="shared" si="100"/>
        <v>8.4216617757126304</v>
      </c>
      <c r="AN27" s="254">
        <f t="shared" si="100"/>
        <v>8.8376765961745321</v>
      </c>
      <c r="AO27" s="254">
        <f t="shared" si="100"/>
        <v>9.2227722368943912</v>
      </c>
      <c r="AP27" s="254">
        <f t="shared" si="100"/>
        <v>9.6133017806499446</v>
      </c>
      <c r="AQ27" s="254">
        <f t="shared" si="100"/>
        <v>9.7721812328148197</v>
      </c>
      <c r="AR27" s="254">
        <f t="shared" si="100"/>
        <v>10.045586638844041</v>
      </c>
      <c r="AS27" s="254">
        <f t="shared" ref="AS27:BA27" si="101">($BB27-$AR27)/10+AR27</f>
        <v>9.9886567534439159</v>
      </c>
      <c r="AT27" s="254">
        <f t="shared" si="101"/>
        <v>9.9317268680437891</v>
      </c>
      <c r="AU27" s="254">
        <f t="shared" si="101"/>
        <v>9.8747969826436623</v>
      </c>
      <c r="AV27" s="254">
        <f t="shared" si="101"/>
        <v>9.8178670972435356</v>
      </c>
      <c r="AW27" s="254">
        <f t="shared" si="101"/>
        <v>9.7609372118434088</v>
      </c>
      <c r="AX27" s="254">
        <f t="shared" si="101"/>
        <v>9.704007326443282</v>
      </c>
      <c r="AY27" s="254">
        <f t="shared" si="101"/>
        <v>9.6470774410431552</v>
      </c>
      <c r="AZ27" s="254">
        <f t="shared" si="101"/>
        <v>9.5901475556430285</v>
      </c>
      <c r="BA27" s="254">
        <f t="shared" si="101"/>
        <v>9.5332176702429017</v>
      </c>
      <c r="BB27" s="782">
        <f>'AEO Data'!$B$30*AM27</f>
        <v>9.476287784842782</v>
      </c>
      <c r="BC27" s="254">
        <f t="shared" si="96"/>
        <v>9.5535037131011205</v>
      </c>
      <c r="BD27" s="254">
        <f t="shared" si="96"/>
        <v>9.6307196413594589</v>
      </c>
      <c r="BE27" s="254">
        <f t="shared" si="96"/>
        <v>9.7079355696177974</v>
      </c>
      <c r="BF27" s="254">
        <f t="shared" si="96"/>
        <v>9.7851514978761358</v>
      </c>
      <c r="BG27" s="254">
        <f t="shared" si="96"/>
        <v>9.8623674261344743</v>
      </c>
      <c r="BH27" s="254">
        <f t="shared" si="96"/>
        <v>9.9395833543928127</v>
      </c>
      <c r="BI27" s="254">
        <f t="shared" si="96"/>
        <v>10.016799282651151</v>
      </c>
      <c r="BJ27" s="254">
        <f t="shared" si="96"/>
        <v>10.09401521090949</v>
      </c>
      <c r="BK27" s="254">
        <f t="shared" si="96"/>
        <v>10.171231139167828</v>
      </c>
      <c r="BL27" s="254">
        <f t="shared" si="96"/>
        <v>10.248447067426167</v>
      </c>
      <c r="BM27" s="254">
        <f t="shared" si="96"/>
        <v>10.325662995684505</v>
      </c>
      <c r="BN27" s="254">
        <f t="shared" si="96"/>
        <v>10.402878923942843</v>
      </c>
      <c r="BO27" s="254">
        <f t="shared" si="96"/>
        <v>10.480094852201182</v>
      </c>
      <c r="BP27" s="254">
        <f t="shared" si="96"/>
        <v>10.55731078045952</v>
      </c>
      <c r="BQ27" s="782">
        <f>'AEO Data'!$C$30*BB27</f>
        <v>10.634526708717866</v>
      </c>
      <c r="BR27" s="254">
        <f t="shared" si="97"/>
        <v>10.695312274494174</v>
      </c>
      <c r="BS27" s="254">
        <f t="shared" si="97"/>
        <v>10.756097840270483</v>
      </c>
      <c r="BT27" s="254">
        <f t="shared" si="97"/>
        <v>10.816883406046792</v>
      </c>
      <c r="BU27" s="254">
        <f t="shared" si="97"/>
        <v>10.8776689718231</v>
      </c>
      <c r="BV27" s="806">
        <f>'AEO Data'!$D$30*BQ27</f>
        <v>10.938454537599405</v>
      </c>
      <c r="BW27" s="1074">
        <f>+BV27*BW$135/BV$135</f>
        <v>10.974773423011646</v>
      </c>
      <c r="BX27" s="1074">
        <f t="shared" ref="BX27:CZ27" si="102">+BW27*BX$135/BW$135</f>
        <v>11.011212897802675</v>
      </c>
      <c r="BY27" s="1074">
        <f t="shared" si="102"/>
        <v>11.047773362364691</v>
      </c>
      <c r="BZ27" s="1074">
        <f t="shared" si="102"/>
        <v>11.084455218419302</v>
      </c>
      <c r="CA27" s="1074">
        <f t="shared" si="102"/>
        <v>11.121258869021963</v>
      </c>
      <c r="CB27" s="1074">
        <f t="shared" si="102"/>
        <v>11.144990837396005</v>
      </c>
      <c r="CC27" s="1074">
        <f t="shared" si="102"/>
        <v>11.168773448087572</v>
      </c>
      <c r="CD27" s="1074">
        <f t="shared" si="102"/>
        <v>11.192606809163733</v>
      </c>
      <c r="CE27" s="1074">
        <f t="shared" si="102"/>
        <v>11.216491028922169</v>
      </c>
      <c r="CF27" s="1074">
        <f t="shared" si="102"/>
        <v>11.240426215891658</v>
      </c>
      <c r="CG27" s="1074">
        <f t="shared" si="102"/>
        <v>11.24819781927016</v>
      </c>
      <c r="CH27" s="1074">
        <f t="shared" si="102"/>
        <v>11.255974795916359</v>
      </c>
      <c r="CI27" s="1074">
        <f t="shared" si="102"/>
        <v>11.263757149545318</v>
      </c>
      <c r="CJ27" s="1074">
        <f t="shared" si="102"/>
        <v>11.27154488387467</v>
      </c>
      <c r="CK27" s="1074">
        <f t="shared" si="102"/>
        <v>11.279338002624618</v>
      </c>
      <c r="CL27" s="1074">
        <f t="shared" si="102"/>
        <v>11.281979523941867</v>
      </c>
      <c r="CM27" s="1074">
        <f t="shared" si="102"/>
        <v>11.284621663880072</v>
      </c>
      <c r="CN27" s="1074">
        <f t="shared" si="102"/>
        <v>11.28726442258411</v>
      </c>
      <c r="CO27" s="1074">
        <f t="shared" si="102"/>
        <v>11.28990780019889</v>
      </c>
      <c r="CP27" s="1074">
        <f t="shared" si="102"/>
        <v>11.292551796869356</v>
      </c>
      <c r="CQ27" s="1074">
        <f t="shared" si="102"/>
        <v>11.296559027678859</v>
      </c>
      <c r="CR27" s="1074">
        <f t="shared" si="102"/>
        <v>11.300567680478631</v>
      </c>
      <c r="CS27" s="1074">
        <f t="shared" si="102"/>
        <v>11.304577755773273</v>
      </c>
      <c r="CT27" s="1074">
        <f t="shared" si="102"/>
        <v>11.308589254067567</v>
      </c>
      <c r="CU27" s="1074">
        <f t="shared" si="102"/>
        <v>11.312602175866472</v>
      </c>
      <c r="CV27" s="1074">
        <f t="shared" si="102"/>
        <v>11.318778079504572</v>
      </c>
      <c r="CW27" s="1074">
        <f t="shared" si="102"/>
        <v>11.324957354761789</v>
      </c>
      <c r="CX27" s="1074">
        <f t="shared" si="102"/>
        <v>11.331140003478794</v>
      </c>
      <c r="CY27" s="1074">
        <f t="shared" si="102"/>
        <v>11.337326027497264</v>
      </c>
      <c r="CZ27" s="1074">
        <f t="shared" si="102"/>
        <v>11.343515428659883</v>
      </c>
    </row>
    <row r="28" spans="1:104" x14ac:dyDescent="0.25">
      <c r="A28" s="728" t="str">
        <f>'HyARC Physical Property Data'!A74</f>
        <v>Electric Utility Natural Gas</v>
      </c>
      <c r="B28" s="254">
        <v>2011</v>
      </c>
      <c r="C28" s="727">
        <f t="shared" si="99"/>
        <v>1.0771767810026385</v>
      </c>
      <c r="D28" s="1032" t="str">
        <f>'HyARC Physical Property Data'!H74</f>
        <v>mmBtu</v>
      </c>
      <c r="E28" s="727" t="s">
        <v>1031</v>
      </c>
      <c r="F28" s="254">
        <f>'HyARC Physical Property Data'!$E$6</f>
        <v>47.141269049911173</v>
      </c>
      <c r="G28" s="254">
        <f>'HyARC Physical Property Data'!$I$6</f>
        <v>52.224661236371581</v>
      </c>
      <c r="H28" s="854">
        <v>7.4079259090132386</v>
      </c>
      <c r="I28" s="854">
        <v>7.4079259090132386</v>
      </c>
      <c r="J28" s="854">
        <v>7.4079259090132386</v>
      </c>
      <c r="K28" s="854">
        <v>7.3706710915002853</v>
      </c>
      <c r="L28" s="854">
        <v>9.3158925097981644</v>
      </c>
      <c r="M28" s="854">
        <v>4.7837623175056114</v>
      </c>
      <c r="N28" s="254">
        <f t="shared" ref="N28:AR28" si="103">((N45/(mmBTU_to_GJ))*($C28))*($G28/$F28)</f>
        <v>5.9476183921097752</v>
      </c>
      <c r="O28" s="254">
        <f t="shared" si="103"/>
        <v>5.4007770397969708</v>
      </c>
      <c r="P28" s="254">
        <f t="shared" si="103"/>
        <v>3.7573064138727101</v>
      </c>
      <c r="Q28" s="254">
        <f t="shared" si="103"/>
        <v>4.2027122702379316</v>
      </c>
      <c r="R28" s="254">
        <f t="shared" si="103"/>
        <v>4.2509986746282031</v>
      </c>
      <c r="S28" s="254">
        <f t="shared" si="103"/>
        <v>4.3458453934769246</v>
      </c>
      <c r="T28" s="254">
        <f t="shared" si="103"/>
        <v>4.8441571504850804</v>
      </c>
      <c r="U28" s="254">
        <f t="shared" si="103"/>
        <v>5.0319853704252662</v>
      </c>
      <c r="V28" s="254">
        <f t="shared" si="103"/>
        <v>5.3192198560786403</v>
      </c>
      <c r="W28" s="254">
        <f t="shared" si="103"/>
        <v>5.4545256252362373</v>
      </c>
      <c r="X28" s="254">
        <f t="shared" si="103"/>
        <v>5.5388246451241194</v>
      </c>
      <c r="Y28" s="254">
        <f t="shared" si="103"/>
        <v>5.6639944431945244</v>
      </c>
      <c r="Z28" s="254">
        <f t="shared" si="103"/>
        <v>5.884484899616556</v>
      </c>
      <c r="AA28" s="254">
        <f t="shared" si="103"/>
        <v>6.0953551759139817</v>
      </c>
      <c r="AB28" s="254">
        <f t="shared" si="103"/>
        <v>6.2414495727057346</v>
      </c>
      <c r="AC28" s="254">
        <f t="shared" si="103"/>
        <v>6.309346213759178</v>
      </c>
      <c r="AD28" s="254">
        <f t="shared" si="103"/>
        <v>6.4573499420089364</v>
      </c>
      <c r="AE28" s="254">
        <f t="shared" si="103"/>
        <v>6.5161274893334484</v>
      </c>
      <c r="AF28" s="254">
        <f t="shared" si="103"/>
        <v>6.6361077064030667</v>
      </c>
      <c r="AG28" s="254">
        <f t="shared" si="103"/>
        <v>6.7471554646315317</v>
      </c>
      <c r="AH28" s="254">
        <f t="shared" si="103"/>
        <v>6.8465029120770557</v>
      </c>
      <c r="AI28" s="254">
        <f t="shared" si="103"/>
        <v>6.9944896735188342</v>
      </c>
      <c r="AJ28" s="254">
        <f t="shared" si="103"/>
        <v>7.1183428472899974</v>
      </c>
      <c r="AK28" s="254">
        <f t="shared" si="103"/>
        <v>7.2910592969227492</v>
      </c>
      <c r="AL28" s="254">
        <f t="shared" si="103"/>
        <v>7.5766389532378176</v>
      </c>
      <c r="AM28" s="254">
        <f t="shared" si="103"/>
        <v>7.8957257930721285</v>
      </c>
      <c r="AN28" s="254">
        <f t="shared" si="103"/>
        <v>8.3082759913445337</v>
      </c>
      <c r="AO28" s="254">
        <f t="shared" si="103"/>
        <v>8.6812923959032329</v>
      </c>
      <c r="AP28" s="254">
        <f t="shared" si="103"/>
        <v>9.0738262852414806</v>
      </c>
      <c r="AQ28" s="254">
        <f t="shared" si="103"/>
        <v>9.2242743649608752</v>
      </c>
      <c r="AR28" s="254">
        <f t="shared" si="103"/>
        <v>9.4762823638863765</v>
      </c>
      <c r="AS28" s="254">
        <f t="shared" ref="AS28:BA28" si="104">($BB28-$AR28)/10+AR28</f>
        <v>9.4171031281586099</v>
      </c>
      <c r="AT28" s="254">
        <f t="shared" si="104"/>
        <v>9.3579238924308434</v>
      </c>
      <c r="AU28" s="254">
        <f t="shared" si="104"/>
        <v>9.2987446567030769</v>
      </c>
      <c r="AV28" s="254">
        <f t="shared" si="104"/>
        <v>9.2395654209753104</v>
      </c>
      <c r="AW28" s="254">
        <f t="shared" si="104"/>
        <v>9.1803861852475439</v>
      </c>
      <c r="AX28" s="254">
        <f t="shared" si="104"/>
        <v>9.1212069495197774</v>
      </c>
      <c r="AY28" s="254">
        <f t="shared" si="104"/>
        <v>9.0620277137920109</v>
      </c>
      <c r="AZ28" s="254">
        <f t="shared" si="104"/>
        <v>9.0028484780642444</v>
      </c>
      <c r="BA28" s="254">
        <f t="shared" si="104"/>
        <v>8.9436692423364779</v>
      </c>
      <c r="BB28" s="782">
        <f>'AEO Data'!$B$30*AM28</f>
        <v>8.8844900066087185</v>
      </c>
      <c r="BC28" s="254">
        <f t="shared" si="96"/>
        <v>8.9568837707638682</v>
      </c>
      <c r="BD28" s="254">
        <f t="shared" si="96"/>
        <v>9.029277534919018</v>
      </c>
      <c r="BE28" s="254">
        <f t="shared" si="96"/>
        <v>9.1016712990741677</v>
      </c>
      <c r="BF28" s="254">
        <f t="shared" si="96"/>
        <v>9.1740650632293175</v>
      </c>
      <c r="BG28" s="254">
        <f t="shared" si="96"/>
        <v>9.2464588273844672</v>
      </c>
      <c r="BH28" s="254">
        <f t="shared" si="96"/>
        <v>9.318852591539617</v>
      </c>
      <c r="BI28" s="254">
        <f t="shared" si="96"/>
        <v>9.3912463556947667</v>
      </c>
      <c r="BJ28" s="254">
        <f t="shared" si="96"/>
        <v>9.4636401198499165</v>
      </c>
      <c r="BK28" s="254">
        <f t="shared" si="96"/>
        <v>9.5360338840050662</v>
      </c>
      <c r="BL28" s="254">
        <f t="shared" si="96"/>
        <v>9.608427648160216</v>
      </c>
      <c r="BM28" s="254">
        <f t="shared" si="96"/>
        <v>9.6808214123153657</v>
      </c>
      <c r="BN28" s="254">
        <f t="shared" si="96"/>
        <v>9.7532151764705155</v>
      </c>
      <c r="BO28" s="254">
        <f t="shared" si="96"/>
        <v>9.8256089406256653</v>
      </c>
      <c r="BP28" s="254">
        <f t="shared" si="96"/>
        <v>9.898002704780815</v>
      </c>
      <c r="BQ28" s="782">
        <f>'AEO Data'!$C$30*BB28</f>
        <v>9.9703964689359541</v>
      </c>
      <c r="BR28" s="254">
        <f t="shared" si="97"/>
        <v>10.027385952998422</v>
      </c>
      <c r="BS28" s="254">
        <f t="shared" si="97"/>
        <v>10.08437543706089</v>
      </c>
      <c r="BT28" s="254">
        <f t="shared" si="97"/>
        <v>10.141364921123358</v>
      </c>
      <c r="BU28" s="254">
        <f t="shared" si="97"/>
        <v>10.198354405185826</v>
      </c>
      <c r="BV28" s="806">
        <f>'AEO Data'!$D$30*BQ28</f>
        <v>10.255343889248296</v>
      </c>
      <c r="BW28" s="1074">
        <f>+BV28*BW$136/BV$136</f>
        <v>10.289394646445894</v>
      </c>
      <c r="BX28" s="1074">
        <f t="shared" ref="BX28:CZ28" si="105">+BW28*BX$136/BW$136</f>
        <v>10.323558462169682</v>
      </c>
      <c r="BY28" s="1074">
        <f t="shared" si="105"/>
        <v>10.357835711807217</v>
      </c>
      <c r="BZ28" s="1074">
        <f t="shared" si="105"/>
        <v>10.392226771992446</v>
      </c>
      <c r="CA28" s="1074">
        <f t="shared" si="105"/>
        <v>10.426732020609851</v>
      </c>
      <c r="CB28" s="1074">
        <f t="shared" si="105"/>
        <v>10.448981918528062</v>
      </c>
      <c r="CC28" s="1074">
        <f t="shared" si="105"/>
        <v>10.471279296131797</v>
      </c>
      <c r="CD28" s="1074">
        <f t="shared" si="105"/>
        <v>10.493624254739295</v>
      </c>
      <c r="CE28" s="1074">
        <f t="shared" si="105"/>
        <v>10.516016895885006</v>
      </c>
      <c r="CF28" s="1074">
        <f t="shared" si="105"/>
        <v>10.538457321320044</v>
      </c>
      <c r="CG28" s="1074">
        <f t="shared" si="105"/>
        <v>10.545743585110182</v>
      </c>
      <c r="CH28" s="1074">
        <f t="shared" si="105"/>
        <v>10.553034886605404</v>
      </c>
      <c r="CI28" s="1074">
        <f t="shared" si="105"/>
        <v>10.560331229288767</v>
      </c>
      <c r="CJ28" s="1074">
        <f t="shared" si="105"/>
        <v>10.567632616645735</v>
      </c>
      <c r="CK28" s="1074">
        <f t="shared" si="105"/>
        <v>10.574939052164185</v>
      </c>
      <c r="CL28" s="1074">
        <f t="shared" si="105"/>
        <v>10.577415609469975</v>
      </c>
      <c r="CM28" s="1074">
        <f t="shared" si="105"/>
        <v>10.579892746763608</v>
      </c>
      <c r="CN28" s="1074">
        <f t="shared" si="105"/>
        <v>10.582370464180912</v>
      </c>
      <c r="CO28" s="1074">
        <f t="shared" si="105"/>
        <v>10.584848761857746</v>
      </c>
      <c r="CP28" s="1074">
        <f t="shared" si="105"/>
        <v>10.587327639930004</v>
      </c>
      <c r="CQ28" s="1074">
        <f t="shared" si="105"/>
        <v>10.591084617650559</v>
      </c>
      <c r="CR28" s="1074">
        <f t="shared" si="105"/>
        <v>10.594842928557549</v>
      </c>
      <c r="CS28" s="1074">
        <f t="shared" si="105"/>
        <v>10.598602573124062</v>
      </c>
      <c r="CT28" s="1074">
        <f t="shared" si="105"/>
        <v>10.602363551823357</v>
      </c>
      <c r="CU28" s="1074">
        <f t="shared" si="105"/>
        <v>10.60612586512886</v>
      </c>
      <c r="CV28" s="1074">
        <f t="shared" si="105"/>
        <v>10.611916081234606</v>
      </c>
      <c r="CW28" s="1074">
        <f t="shared" si="105"/>
        <v>10.617709458400572</v>
      </c>
      <c r="CX28" s="1074">
        <f t="shared" si="105"/>
        <v>10.62350599835248</v>
      </c>
      <c r="CY28" s="1074">
        <f t="shared" si="105"/>
        <v>10.629305702816991</v>
      </c>
      <c r="CZ28" s="1074">
        <f t="shared" si="105"/>
        <v>10.635108573521714</v>
      </c>
    </row>
    <row r="29" spans="1:104" x14ac:dyDescent="0.25">
      <c r="A29" s="728" t="str">
        <f>'HyARC Physical Property Data'!A75</f>
        <v>Bio Methane</v>
      </c>
      <c r="B29" s="254">
        <v>2007</v>
      </c>
      <c r="C29" s="727">
        <f t="shared" si="99"/>
        <v>1.1413971588333081</v>
      </c>
      <c r="D29" s="1032" t="str">
        <f>'HyARC Physical Property Data'!H75</f>
        <v>mmBtu</v>
      </c>
      <c r="E29" s="727" t="s">
        <v>1031</v>
      </c>
      <c r="F29" s="254">
        <f>'HyARC Physical Property Data'!$E$6</f>
        <v>47.141269049911173</v>
      </c>
      <c r="G29" s="254">
        <f>'HyARC Physical Property Data'!$I$6</f>
        <v>52.224661236371581</v>
      </c>
      <c r="H29" s="854">
        <v>12.42654028436019</v>
      </c>
      <c r="I29" s="854">
        <v>12.42654028436019</v>
      </c>
      <c r="J29" s="854">
        <v>12.42654028436019</v>
      </c>
      <c r="K29" s="854">
        <v>12.42654028436019</v>
      </c>
      <c r="L29" s="854">
        <v>12.42654028436019</v>
      </c>
      <c r="M29" s="854">
        <v>12.42654028436019</v>
      </c>
      <c r="N29" s="254">
        <f t="shared" ref="N29:AM29" si="106">13.11*($C$29/mmBTU_to_GJ)</f>
        <v>14.183617774696369</v>
      </c>
      <c r="O29" s="254">
        <f t="shared" si="106"/>
        <v>14.183617774696369</v>
      </c>
      <c r="P29" s="254">
        <f t="shared" si="106"/>
        <v>14.183617774696369</v>
      </c>
      <c r="Q29" s="254">
        <f t="shared" si="106"/>
        <v>14.183617774696369</v>
      </c>
      <c r="R29" s="254">
        <f t="shared" si="106"/>
        <v>14.183617774696369</v>
      </c>
      <c r="S29" s="254">
        <f t="shared" si="106"/>
        <v>14.183617774696369</v>
      </c>
      <c r="T29" s="254">
        <f t="shared" si="106"/>
        <v>14.183617774696369</v>
      </c>
      <c r="U29" s="254">
        <f t="shared" si="106"/>
        <v>14.183617774696369</v>
      </c>
      <c r="V29" s="254">
        <f t="shared" si="106"/>
        <v>14.183617774696369</v>
      </c>
      <c r="W29" s="254">
        <f t="shared" si="106"/>
        <v>14.183617774696369</v>
      </c>
      <c r="X29" s="254">
        <f t="shared" si="106"/>
        <v>14.183617774696369</v>
      </c>
      <c r="Y29" s="254">
        <f t="shared" si="106"/>
        <v>14.183617774696369</v>
      </c>
      <c r="Z29" s="254">
        <f t="shared" si="106"/>
        <v>14.183617774696369</v>
      </c>
      <c r="AA29" s="254">
        <f t="shared" si="106"/>
        <v>14.183617774696369</v>
      </c>
      <c r="AB29" s="254">
        <f t="shared" si="106"/>
        <v>14.183617774696369</v>
      </c>
      <c r="AC29" s="254">
        <f t="shared" si="106"/>
        <v>14.183617774696369</v>
      </c>
      <c r="AD29" s="254">
        <f t="shared" si="106"/>
        <v>14.183617774696369</v>
      </c>
      <c r="AE29" s="254">
        <f t="shared" si="106"/>
        <v>14.183617774696369</v>
      </c>
      <c r="AF29" s="254">
        <f t="shared" si="106"/>
        <v>14.183617774696369</v>
      </c>
      <c r="AG29" s="254">
        <f t="shared" si="106"/>
        <v>14.183617774696369</v>
      </c>
      <c r="AH29" s="254">
        <f t="shared" si="106"/>
        <v>14.183617774696369</v>
      </c>
      <c r="AI29" s="254">
        <f t="shared" si="106"/>
        <v>14.183617774696369</v>
      </c>
      <c r="AJ29" s="254">
        <f t="shared" si="106"/>
        <v>14.183617774696369</v>
      </c>
      <c r="AK29" s="254">
        <f t="shared" si="106"/>
        <v>14.183617774696369</v>
      </c>
      <c r="AL29" s="254">
        <f t="shared" si="106"/>
        <v>14.183617774696369</v>
      </c>
      <c r="AM29" s="254">
        <f t="shared" si="106"/>
        <v>14.183617774696369</v>
      </c>
      <c r="AN29" s="254">
        <f t="shared" ref="AN29:BV29" si="107">13.11*($C$29/mmBTU_to_GJ)</f>
        <v>14.183617774696369</v>
      </c>
      <c r="AO29" s="254">
        <f t="shared" si="107"/>
        <v>14.183617774696369</v>
      </c>
      <c r="AP29" s="254">
        <f t="shared" si="107"/>
        <v>14.183617774696369</v>
      </c>
      <c r="AQ29" s="254">
        <f t="shared" si="107"/>
        <v>14.183617774696369</v>
      </c>
      <c r="AR29" s="254">
        <f t="shared" si="107"/>
        <v>14.183617774696369</v>
      </c>
      <c r="AS29" s="254">
        <f t="shared" si="107"/>
        <v>14.183617774696369</v>
      </c>
      <c r="AT29" s="254">
        <f t="shared" si="107"/>
        <v>14.183617774696369</v>
      </c>
      <c r="AU29" s="254">
        <f t="shared" si="107"/>
        <v>14.183617774696369</v>
      </c>
      <c r="AV29" s="254">
        <f t="shared" si="107"/>
        <v>14.183617774696369</v>
      </c>
      <c r="AW29" s="254">
        <f t="shared" si="107"/>
        <v>14.183617774696369</v>
      </c>
      <c r="AX29" s="254">
        <f t="shared" si="107"/>
        <v>14.183617774696369</v>
      </c>
      <c r="AY29" s="254">
        <f t="shared" si="107"/>
        <v>14.183617774696369</v>
      </c>
      <c r="AZ29" s="254">
        <f t="shared" si="107"/>
        <v>14.183617774696369</v>
      </c>
      <c r="BA29" s="254">
        <f t="shared" si="107"/>
        <v>14.183617774696369</v>
      </c>
      <c r="BB29" s="254">
        <f t="shared" si="107"/>
        <v>14.183617774696369</v>
      </c>
      <c r="BC29" s="254">
        <f t="shared" si="107"/>
        <v>14.183617774696369</v>
      </c>
      <c r="BD29" s="254">
        <f t="shared" si="107"/>
        <v>14.183617774696369</v>
      </c>
      <c r="BE29" s="254">
        <f t="shared" si="107"/>
        <v>14.183617774696369</v>
      </c>
      <c r="BF29" s="254">
        <f t="shared" si="107"/>
        <v>14.183617774696369</v>
      </c>
      <c r="BG29" s="254">
        <f t="shared" si="107"/>
        <v>14.183617774696369</v>
      </c>
      <c r="BH29" s="254">
        <f t="shared" si="107"/>
        <v>14.183617774696369</v>
      </c>
      <c r="BI29" s="254">
        <f t="shared" si="107"/>
        <v>14.183617774696369</v>
      </c>
      <c r="BJ29" s="254">
        <f t="shared" si="107"/>
        <v>14.183617774696369</v>
      </c>
      <c r="BK29" s="254">
        <f t="shared" si="107"/>
        <v>14.183617774696369</v>
      </c>
      <c r="BL29" s="254">
        <f t="shared" si="107"/>
        <v>14.183617774696369</v>
      </c>
      <c r="BM29" s="254">
        <f t="shared" si="107"/>
        <v>14.183617774696369</v>
      </c>
      <c r="BN29" s="254">
        <f t="shared" si="107"/>
        <v>14.183617774696369</v>
      </c>
      <c r="BO29" s="254">
        <f t="shared" si="107"/>
        <v>14.183617774696369</v>
      </c>
      <c r="BP29" s="254">
        <f t="shared" si="107"/>
        <v>14.183617774696369</v>
      </c>
      <c r="BQ29" s="254">
        <f t="shared" si="107"/>
        <v>14.183617774696369</v>
      </c>
      <c r="BR29" s="254">
        <f t="shared" si="107"/>
        <v>14.183617774696369</v>
      </c>
      <c r="BS29" s="254">
        <f t="shared" si="107"/>
        <v>14.183617774696369</v>
      </c>
      <c r="BT29" s="254">
        <f t="shared" si="107"/>
        <v>14.183617774696369</v>
      </c>
      <c r="BU29" s="254">
        <f t="shared" si="107"/>
        <v>14.183617774696369</v>
      </c>
      <c r="BV29" s="254">
        <f t="shared" si="107"/>
        <v>14.183617774696369</v>
      </c>
      <c r="BW29" s="1074">
        <f>+BV29*BW$136/BV$136</f>
        <v>14.230711556264829</v>
      </c>
      <c r="BX29" s="1074">
        <f t="shared" ref="BX29:CZ29" si="108">+BW29*BX$136/BW$136</f>
        <v>14.277961703035571</v>
      </c>
      <c r="BY29" s="1074">
        <f t="shared" si="108"/>
        <v>14.325368734187041</v>
      </c>
      <c r="BZ29" s="1074">
        <f t="shared" si="108"/>
        <v>14.372933170621517</v>
      </c>
      <c r="CA29" s="1074">
        <f t="shared" si="108"/>
        <v>14.420655534970821</v>
      </c>
      <c r="CB29" s="1074">
        <f t="shared" si="108"/>
        <v>14.451428179067991</v>
      </c>
      <c r="CC29" s="1074">
        <f t="shared" si="108"/>
        <v>14.482266489779443</v>
      </c>
      <c r="CD29" s="1074">
        <f t="shared" si="108"/>
        <v>14.51317060723302</v>
      </c>
      <c r="CE29" s="1074">
        <f t="shared" si="108"/>
        <v>14.54414067185559</v>
      </c>
      <c r="CF29" s="1074">
        <f t="shared" si="108"/>
        <v>14.575176824373679</v>
      </c>
      <c r="CG29" s="1074">
        <f t="shared" si="108"/>
        <v>14.585254066221541</v>
      </c>
      <c r="CH29" s="1074">
        <f t="shared" si="108"/>
        <v>14.595338275449933</v>
      </c>
      <c r="CI29" s="1074">
        <f t="shared" si="108"/>
        <v>14.605429456876088</v>
      </c>
      <c r="CJ29" s="1074">
        <f t="shared" si="108"/>
        <v>14.615527615320566</v>
      </c>
      <c r="CK29" s="1074">
        <f t="shared" si="108"/>
        <v>14.625632755607262</v>
      </c>
      <c r="CL29" s="1074">
        <f t="shared" si="108"/>
        <v>14.629057949594106</v>
      </c>
      <c r="CM29" s="1074">
        <f t="shared" si="108"/>
        <v>14.632483945731124</v>
      </c>
      <c r="CN29" s="1074">
        <f t="shared" si="108"/>
        <v>14.635910744206171</v>
      </c>
      <c r="CO29" s="1074">
        <f t="shared" si="108"/>
        <v>14.639338345207147</v>
      </c>
      <c r="CP29" s="1074">
        <f t="shared" si="108"/>
        <v>14.642766748922</v>
      </c>
      <c r="CQ29" s="1074">
        <f t="shared" si="108"/>
        <v>14.647962823919764</v>
      </c>
      <c r="CR29" s="1074">
        <f t="shared" si="108"/>
        <v>14.6531607427764</v>
      </c>
      <c r="CS29" s="1074">
        <f t="shared" si="108"/>
        <v>14.658360506146211</v>
      </c>
      <c r="CT29" s="1074">
        <f t="shared" si="108"/>
        <v>14.663562114683737</v>
      </c>
      <c r="CU29" s="1074">
        <f t="shared" si="108"/>
        <v>14.668765569043746</v>
      </c>
      <c r="CV29" s="1074">
        <f t="shared" si="108"/>
        <v>14.676773707333766</v>
      </c>
      <c r="CW29" s="1074">
        <f t="shared" si="108"/>
        <v>14.68478621751715</v>
      </c>
      <c r="CX29" s="1074">
        <f t="shared" si="108"/>
        <v>14.692803101980653</v>
      </c>
      <c r="CY29" s="1074">
        <f t="shared" si="108"/>
        <v>14.700824363112332</v>
      </c>
      <c r="CZ29" s="1074">
        <f t="shared" si="108"/>
        <v>14.708850003301547</v>
      </c>
    </row>
    <row r="30" spans="1:104" x14ac:dyDescent="0.25">
      <c r="A30" s="807" t="str">
        <f>'HyARC Physical Property Data'!A85</f>
        <v>Woody Biomass</v>
      </c>
      <c r="B30" s="254">
        <v>2005</v>
      </c>
      <c r="C30" s="727">
        <f>VLOOKUP(ref_year,DeflatorTable,2,FALSE)/VLOOKUP(B30,DeflatorTable,2,FALSE)</f>
        <v>1.208440716126562</v>
      </c>
      <c r="D30" s="1032" t="str">
        <f>+'HyARC Physical Property Data'!$H$85</f>
        <v>kg</v>
      </c>
      <c r="E30" s="748" t="s">
        <v>1025</v>
      </c>
      <c r="F30" s="254">
        <f>'HyARC Physical Property Data'!$E$45</f>
        <v>19.551069237418005</v>
      </c>
      <c r="G30" s="254">
        <f>'HyARC Physical Property Data'!$I$45</f>
        <v>20.588656379262464</v>
      </c>
      <c r="H30" s="855">
        <v>1.3438238843289665</v>
      </c>
      <c r="I30" s="855">
        <v>1.3438238843289665</v>
      </c>
      <c r="J30" s="855">
        <v>1.3438238843289665</v>
      </c>
      <c r="K30" s="855">
        <v>1.3438238843289665</v>
      </c>
      <c r="L30" s="855">
        <v>1.3438238843289665</v>
      </c>
      <c r="M30" s="855">
        <v>1.3438238843289665</v>
      </c>
      <c r="N30" s="808">
        <f>1.27*($C$30)</f>
        <v>1.5347197094807337</v>
      </c>
      <c r="O30" s="808">
        <f>1.27*($C$30)</f>
        <v>1.5347197094807337</v>
      </c>
      <c r="P30" s="808">
        <f>1.28*($C$30)</f>
        <v>1.5468041166419995</v>
      </c>
      <c r="Q30" s="808">
        <f>1.32*($C$30)</f>
        <v>1.595141745287062</v>
      </c>
      <c r="R30" s="808">
        <f>1.32*($C$30)</f>
        <v>1.595141745287062</v>
      </c>
      <c r="S30" s="808">
        <f>1.34*($C$30)</f>
        <v>1.6193105596095931</v>
      </c>
      <c r="T30" s="808">
        <f>1.34*($C$30)</f>
        <v>1.6193105596095931</v>
      </c>
      <c r="U30" s="808">
        <f>1.36*($C$30)</f>
        <v>1.6434793739321245</v>
      </c>
      <c r="V30" s="808">
        <f>1.36*($C$30)</f>
        <v>1.6434793739321245</v>
      </c>
      <c r="W30" s="808">
        <f>1.38*($C$30)</f>
        <v>1.6676481882546554</v>
      </c>
      <c r="X30" s="808">
        <f>1.4*($C$30)</f>
        <v>1.6918170025771868</v>
      </c>
      <c r="Y30" s="808">
        <f>1.46*($C$30)</f>
        <v>1.7643234455447805</v>
      </c>
      <c r="Z30" s="808">
        <f>1.48*($C$30)</f>
        <v>1.7884922598673119</v>
      </c>
      <c r="AA30" s="808">
        <f>1.48*($C$30)</f>
        <v>1.7884922598673119</v>
      </c>
      <c r="AB30" s="808">
        <f>1.51*($C$30)</f>
        <v>1.8247454813511086</v>
      </c>
      <c r="AC30" s="808">
        <f>1.52*($C$30)</f>
        <v>1.8368298885123742</v>
      </c>
      <c r="AD30" s="808">
        <f>1.62*($C$30)</f>
        <v>1.9576739601250306</v>
      </c>
      <c r="AE30" s="808">
        <f>1.72*($C$30)</f>
        <v>2.0785180317376866</v>
      </c>
      <c r="AF30" s="808">
        <f>1.82*($C$30)</f>
        <v>2.1993621033503428</v>
      </c>
      <c r="AG30" s="808">
        <f>1.91*($C$30)</f>
        <v>2.3081217678017332</v>
      </c>
      <c r="AH30" s="808">
        <f>2.01*($C$30)</f>
        <v>2.4289658394143894</v>
      </c>
      <c r="AI30" s="808">
        <f>2.11*($C$30)</f>
        <v>2.5498099110270456</v>
      </c>
      <c r="AJ30" s="808">
        <f>2.2*($C$30)</f>
        <v>2.6585695754784364</v>
      </c>
      <c r="AK30" s="808">
        <f>2.3*($C$30)</f>
        <v>2.7794136470910926</v>
      </c>
      <c r="AL30" s="808">
        <f>2.4*($C$30)</f>
        <v>2.9002577187037488</v>
      </c>
      <c r="AM30" s="808">
        <f>2.5*($C$30)</f>
        <v>3.021101790316405</v>
      </c>
      <c r="AN30" s="808">
        <f>2.57*($C$30)</f>
        <v>3.1056926404452643</v>
      </c>
      <c r="AO30" s="808">
        <f>2.64*($C$30)</f>
        <v>3.190283490574124</v>
      </c>
      <c r="AP30" s="808">
        <f>2.71*($C$30)</f>
        <v>3.2748743407029832</v>
      </c>
      <c r="AQ30" s="808">
        <f>2.78*($C$30)</f>
        <v>3.359465190831842</v>
      </c>
      <c r="AR30" s="808">
        <f>2.85*($C$30)</f>
        <v>3.4440560409607017</v>
      </c>
      <c r="AS30" s="808">
        <f>2.92*($C$30)</f>
        <v>3.528646891089561</v>
      </c>
      <c r="AT30" s="808">
        <f>2.99*($C$30)</f>
        <v>3.6132377412184207</v>
      </c>
      <c r="AU30" s="808">
        <f>3.07*($C$30)</f>
        <v>3.7099129985085453</v>
      </c>
      <c r="AV30" s="808">
        <f>3.14*($C$30)</f>
        <v>3.794503848637405</v>
      </c>
      <c r="AW30" s="808">
        <f>3.21*($C$30)</f>
        <v>3.8790946987662642</v>
      </c>
      <c r="AX30" s="808">
        <f>3.28*($C$30)</f>
        <v>3.963685548895123</v>
      </c>
      <c r="AY30" s="808">
        <f>3.35*($C$30)</f>
        <v>4.0482763990239832</v>
      </c>
      <c r="AZ30" s="808">
        <f>3.42*($C$30)</f>
        <v>4.1328672491528424</v>
      </c>
      <c r="BA30" s="808">
        <f>3.49*($C$30)</f>
        <v>4.2174580992817017</v>
      </c>
      <c r="BB30" s="808">
        <f>3.56*($C$30)</f>
        <v>4.3020489494105609</v>
      </c>
      <c r="BC30" s="808">
        <f>3.64*($C$30)</f>
        <v>4.3987242067006855</v>
      </c>
      <c r="BD30" s="808">
        <f>3.71*($C$30)</f>
        <v>4.4833150568295448</v>
      </c>
      <c r="BE30" s="808">
        <f>3.78*($C$30)</f>
        <v>4.567905906958404</v>
      </c>
      <c r="BF30" s="808">
        <f>3.85*($C$30)</f>
        <v>4.6524967570872642</v>
      </c>
      <c r="BG30" s="808">
        <f>3.92*($C$30)</f>
        <v>4.7370876072161234</v>
      </c>
      <c r="BH30" s="808">
        <f>3.99*($C$30)</f>
        <v>4.8216784573449827</v>
      </c>
      <c r="BI30" s="808">
        <f>4.06*($C$30)</f>
        <v>4.906269307473841</v>
      </c>
      <c r="BJ30" s="808">
        <f>4.14*($C$30)</f>
        <v>5.0029445647639665</v>
      </c>
      <c r="BK30" s="808">
        <f>4.21*($C$30)</f>
        <v>5.0875354148928258</v>
      </c>
      <c r="BL30" s="808">
        <f>4.28*($C$30)</f>
        <v>5.1721262650216859</v>
      </c>
      <c r="BM30" s="808">
        <f>4.35*($C$30)</f>
        <v>5.2567171151505443</v>
      </c>
      <c r="BN30" s="808">
        <f>4.42*($C$30)</f>
        <v>5.3413079652794044</v>
      </c>
      <c r="BO30" s="808">
        <f>4.49*($C$30)</f>
        <v>5.4258988154082637</v>
      </c>
      <c r="BP30" s="808">
        <f>4.56*($C$30)</f>
        <v>5.5104896655371221</v>
      </c>
      <c r="BQ30" s="808">
        <f>4.63*($C$30)</f>
        <v>5.5950805156659822</v>
      </c>
      <c r="BR30" s="808">
        <f>4.71*($C$30)</f>
        <v>5.6917557729561068</v>
      </c>
      <c r="BS30" s="808">
        <f>4.78*($C$30)</f>
        <v>5.7763466230849669</v>
      </c>
      <c r="BT30" s="808">
        <f>4.85*($C$30)</f>
        <v>5.8609374732138253</v>
      </c>
      <c r="BU30" s="808">
        <f>4.92*($C$30)</f>
        <v>5.9455283233426854</v>
      </c>
      <c r="BV30" s="809">
        <f>4.99*($C$30)</f>
        <v>6.0301191734715447</v>
      </c>
      <c r="BW30" s="1074">
        <f>+BV30*BW$137/BV$137</f>
        <v>6.0446132076616896</v>
      </c>
      <c r="BX30" s="1074">
        <f t="shared" ref="BX30:CZ30" si="109">+BW30*BX$137/BW$137</f>
        <v>6.0591420798079438</v>
      </c>
      <c r="BY30" s="1074">
        <f t="shared" si="109"/>
        <v>6.0737058736470511</v>
      </c>
      <c r="BZ30" s="1074">
        <f t="shared" si="109"/>
        <v>6.0883046731170198</v>
      </c>
      <c r="CA30" s="1074">
        <f t="shared" si="109"/>
        <v>6.1029385623576156</v>
      </c>
      <c r="CB30" s="1074">
        <f t="shared" si="109"/>
        <v>6.1157485681116217</v>
      </c>
      <c r="CC30" s="1074">
        <f t="shared" si="109"/>
        <v>6.1285854619369617</v>
      </c>
      <c r="CD30" s="1074">
        <f t="shared" si="109"/>
        <v>6.1414493002714252</v>
      </c>
      <c r="CE30" s="1074">
        <f t="shared" si="109"/>
        <v>6.1543401396712598</v>
      </c>
      <c r="CF30" s="1074">
        <f t="shared" si="109"/>
        <v>6.167258036811428</v>
      </c>
      <c r="CG30" s="1074">
        <f t="shared" si="109"/>
        <v>6.183149548139812</v>
      </c>
      <c r="CH30" s="1074">
        <f t="shared" si="109"/>
        <v>6.1990820079952069</v>
      </c>
      <c r="CI30" s="1074">
        <f t="shared" si="109"/>
        <v>6.215055521891923</v>
      </c>
      <c r="CJ30" s="1074">
        <f t="shared" si="109"/>
        <v>6.2310701956161552</v>
      </c>
      <c r="CK30" s="1074">
        <f t="shared" si="109"/>
        <v>6.2471261352266838</v>
      </c>
      <c r="CL30" s="1074">
        <f t="shared" si="109"/>
        <v>6.2604975997429575</v>
      </c>
      <c r="CM30" s="1074">
        <f t="shared" si="109"/>
        <v>6.2738976847896071</v>
      </c>
      <c r="CN30" s="1074">
        <f t="shared" si="109"/>
        <v>6.2873264516265444</v>
      </c>
      <c r="CO30" s="1074">
        <f t="shared" si="109"/>
        <v>6.3007839616448056</v>
      </c>
      <c r="CP30" s="1074">
        <f t="shared" si="109"/>
        <v>6.3142702763668277</v>
      </c>
      <c r="CQ30" s="1074">
        <f t="shared" si="109"/>
        <v>6.326614172551615</v>
      </c>
      <c r="CR30" s="1074">
        <f t="shared" si="109"/>
        <v>6.3389822000716718</v>
      </c>
      <c r="CS30" s="1074">
        <f t="shared" si="109"/>
        <v>6.3513744061018391</v>
      </c>
      <c r="CT30" s="1074">
        <f t="shared" si="109"/>
        <v>6.3637908379091801</v>
      </c>
      <c r="CU30" s="1074">
        <f t="shared" si="109"/>
        <v>6.376231542853164</v>
      </c>
      <c r="CV30" s="1074">
        <f t="shared" si="109"/>
        <v>6.3909193633613004</v>
      </c>
      <c r="CW30" s="1074">
        <f t="shared" si="109"/>
        <v>6.4056410176582252</v>
      </c>
      <c r="CX30" s="1074">
        <f t="shared" si="109"/>
        <v>6.4203965836809767</v>
      </c>
      <c r="CY30" s="1074">
        <f t="shared" si="109"/>
        <v>6.4351861395461265</v>
      </c>
      <c r="CZ30" s="1074">
        <f t="shared" si="109"/>
        <v>6.450009763550189</v>
      </c>
    </row>
    <row r="31" spans="1:104" x14ac:dyDescent="0.25">
      <c r="A31" s="807" t="str">
        <f>'HyARC Physical Property Data'!$A$87</f>
        <v>Woody Biomass MYPP</v>
      </c>
      <c r="B31" s="254">
        <v>2007</v>
      </c>
      <c r="C31" s="727">
        <f>VLOOKUP(ref_year,DeflatorTable,2,FALSE)/VLOOKUP(B31,DeflatorTable,2,FALSE)</f>
        <v>1.1413971588333081</v>
      </c>
      <c r="D31" s="1032" t="str">
        <f>+'HyARC Physical Property Data'!$H$87</f>
        <v>kg</v>
      </c>
      <c r="E31" s="748" t="s">
        <v>1025</v>
      </c>
      <c r="F31" s="254">
        <v>18.608000000000001</v>
      </c>
      <c r="G31" s="254"/>
      <c r="H31" s="854">
        <v>4.4443250214961303</v>
      </c>
      <c r="I31" s="854">
        <v>4.4443250214961303</v>
      </c>
      <c r="J31" s="854">
        <v>4.4443250214961303</v>
      </c>
      <c r="K31" s="854">
        <v>4.4443250214961303</v>
      </c>
      <c r="L31" s="854">
        <v>4.4443250214961303</v>
      </c>
      <c r="M31" s="854">
        <v>4.4443250214961303</v>
      </c>
      <c r="N31" s="254">
        <f>4.44432502149613*$C$31</f>
        <v>5.0727399524674635</v>
      </c>
      <c r="O31" s="808">
        <f t="shared" ref="O31:T31" si="110">N31-($N$31-$U$31)/7</f>
        <v>4.9524277749801975</v>
      </c>
      <c r="P31" s="808">
        <f t="shared" si="110"/>
        <v>4.8321155974929315</v>
      </c>
      <c r="Q31" s="808">
        <f t="shared" si="110"/>
        <v>4.7118034200056655</v>
      </c>
      <c r="R31" s="808">
        <f t="shared" si="110"/>
        <v>4.5914912425183996</v>
      </c>
      <c r="S31" s="808">
        <f t="shared" si="110"/>
        <v>4.4711790650311336</v>
      </c>
      <c r="T31" s="808">
        <f t="shared" si="110"/>
        <v>4.3508668875438676</v>
      </c>
      <c r="U31" s="808">
        <f>3.70647033533964*$C$31</f>
        <v>4.2305547100566034</v>
      </c>
      <c r="V31" s="808">
        <f t="shared" ref="V31:BV31" si="111">3.70647033533964*$C$31</f>
        <v>4.2305547100566034</v>
      </c>
      <c r="W31" s="808">
        <f t="shared" si="111"/>
        <v>4.2305547100566034</v>
      </c>
      <c r="X31" s="808">
        <f t="shared" si="111"/>
        <v>4.2305547100566034</v>
      </c>
      <c r="Y31" s="808">
        <f t="shared" si="111"/>
        <v>4.2305547100566034</v>
      </c>
      <c r="Z31" s="808">
        <f t="shared" si="111"/>
        <v>4.2305547100566034</v>
      </c>
      <c r="AA31" s="808">
        <f t="shared" si="111"/>
        <v>4.2305547100566034</v>
      </c>
      <c r="AB31" s="808">
        <f t="shared" si="111"/>
        <v>4.2305547100566034</v>
      </c>
      <c r="AC31" s="808">
        <f t="shared" si="111"/>
        <v>4.2305547100566034</v>
      </c>
      <c r="AD31" s="808">
        <f t="shared" si="111"/>
        <v>4.2305547100566034</v>
      </c>
      <c r="AE31" s="808">
        <f t="shared" si="111"/>
        <v>4.2305547100566034</v>
      </c>
      <c r="AF31" s="808">
        <f t="shared" si="111"/>
        <v>4.2305547100566034</v>
      </c>
      <c r="AG31" s="808">
        <f t="shared" si="111"/>
        <v>4.2305547100566034</v>
      </c>
      <c r="AH31" s="808">
        <f t="shared" si="111"/>
        <v>4.2305547100566034</v>
      </c>
      <c r="AI31" s="808">
        <f t="shared" si="111"/>
        <v>4.2305547100566034</v>
      </c>
      <c r="AJ31" s="808">
        <f t="shared" si="111"/>
        <v>4.2305547100566034</v>
      </c>
      <c r="AK31" s="808">
        <f t="shared" si="111"/>
        <v>4.2305547100566034</v>
      </c>
      <c r="AL31" s="808">
        <f t="shared" si="111"/>
        <v>4.2305547100566034</v>
      </c>
      <c r="AM31" s="808">
        <f t="shared" si="111"/>
        <v>4.2305547100566034</v>
      </c>
      <c r="AN31" s="808">
        <f t="shared" si="111"/>
        <v>4.2305547100566034</v>
      </c>
      <c r="AO31" s="808">
        <f t="shared" si="111"/>
        <v>4.2305547100566034</v>
      </c>
      <c r="AP31" s="808">
        <f t="shared" si="111"/>
        <v>4.2305547100566034</v>
      </c>
      <c r="AQ31" s="808">
        <f t="shared" si="111"/>
        <v>4.2305547100566034</v>
      </c>
      <c r="AR31" s="808">
        <f t="shared" si="111"/>
        <v>4.2305547100566034</v>
      </c>
      <c r="AS31" s="808">
        <f t="shared" si="111"/>
        <v>4.2305547100566034</v>
      </c>
      <c r="AT31" s="808">
        <f t="shared" si="111"/>
        <v>4.2305547100566034</v>
      </c>
      <c r="AU31" s="808">
        <f t="shared" si="111"/>
        <v>4.2305547100566034</v>
      </c>
      <c r="AV31" s="808">
        <f t="shared" si="111"/>
        <v>4.2305547100566034</v>
      </c>
      <c r="AW31" s="808">
        <f t="shared" si="111"/>
        <v>4.2305547100566034</v>
      </c>
      <c r="AX31" s="808">
        <f t="shared" si="111"/>
        <v>4.2305547100566034</v>
      </c>
      <c r="AY31" s="808">
        <f t="shared" si="111"/>
        <v>4.2305547100566034</v>
      </c>
      <c r="AZ31" s="808">
        <f t="shared" si="111"/>
        <v>4.2305547100566034</v>
      </c>
      <c r="BA31" s="808">
        <f t="shared" si="111"/>
        <v>4.2305547100566034</v>
      </c>
      <c r="BB31" s="808">
        <f t="shared" si="111"/>
        <v>4.2305547100566034</v>
      </c>
      <c r="BC31" s="808">
        <f t="shared" si="111"/>
        <v>4.2305547100566034</v>
      </c>
      <c r="BD31" s="808">
        <f t="shared" si="111"/>
        <v>4.2305547100566034</v>
      </c>
      <c r="BE31" s="808">
        <f t="shared" si="111"/>
        <v>4.2305547100566034</v>
      </c>
      <c r="BF31" s="808">
        <f t="shared" si="111"/>
        <v>4.2305547100566034</v>
      </c>
      <c r="BG31" s="808">
        <f t="shared" si="111"/>
        <v>4.2305547100566034</v>
      </c>
      <c r="BH31" s="808">
        <f t="shared" si="111"/>
        <v>4.2305547100566034</v>
      </c>
      <c r="BI31" s="808">
        <f t="shared" si="111"/>
        <v>4.2305547100566034</v>
      </c>
      <c r="BJ31" s="808">
        <f t="shared" si="111"/>
        <v>4.2305547100566034</v>
      </c>
      <c r="BK31" s="808">
        <f t="shared" si="111"/>
        <v>4.2305547100566034</v>
      </c>
      <c r="BL31" s="808">
        <f t="shared" si="111"/>
        <v>4.2305547100566034</v>
      </c>
      <c r="BM31" s="808">
        <f t="shared" si="111"/>
        <v>4.2305547100566034</v>
      </c>
      <c r="BN31" s="808">
        <f t="shared" si="111"/>
        <v>4.2305547100566034</v>
      </c>
      <c r="BO31" s="808">
        <f t="shared" si="111"/>
        <v>4.2305547100566034</v>
      </c>
      <c r="BP31" s="808">
        <f t="shared" si="111"/>
        <v>4.2305547100566034</v>
      </c>
      <c r="BQ31" s="808">
        <f t="shared" si="111"/>
        <v>4.2305547100566034</v>
      </c>
      <c r="BR31" s="808">
        <f t="shared" si="111"/>
        <v>4.2305547100566034</v>
      </c>
      <c r="BS31" s="808">
        <f t="shared" si="111"/>
        <v>4.2305547100566034</v>
      </c>
      <c r="BT31" s="808">
        <f t="shared" si="111"/>
        <v>4.2305547100566034</v>
      </c>
      <c r="BU31" s="808">
        <f t="shared" si="111"/>
        <v>4.2305547100566034</v>
      </c>
      <c r="BV31" s="808">
        <f t="shared" si="111"/>
        <v>4.2305547100566034</v>
      </c>
      <c r="BW31" s="1074">
        <f>+BV31*BW$137/BV$137</f>
        <v>4.2407232992414734</v>
      </c>
      <c r="BX31" s="1074">
        <f t="shared" ref="BX31:CZ31" si="112">+BW31*BX$137/BW$137</f>
        <v>4.2509163297143298</v>
      </c>
      <c r="BY31" s="1074">
        <f t="shared" si="112"/>
        <v>4.2611338602224134</v>
      </c>
      <c r="BZ31" s="1074">
        <f t="shared" si="112"/>
        <v>4.2713759496541703</v>
      </c>
      <c r="CA31" s="1074">
        <f t="shared" si="112"/>
        <v>4.2816426570395922</v>
      </c>
      <c r="CB31" s="1074">
        <f t="shared" si="112"/>
        <v>4.2906297812770164</v>
      </c>
      <c r="CC31" s="1074">
        <f t="shared" si="112"/>
        <v>4.2996357693964899</v>
      </c>
      <c r="CD31" s="1074">
        <f t="shared" si="112"/>
        <v>4.3086606609931088</v>
      </c>
      <c r="CE31" s="1074">
        <f t="shared" si="112"/>
        <v>4.3177044957450779</v>
      </c>
      <c r="CF31" s="1074">
        <f t="shared" si="112"/>
        <v>4.3267673134138871</v>
      </c>
      <c r="CG31" s="1074">
        <f t="shared" si="112"/>
        <v>4.3379163315619822</v>
      </c>
      <c r="CH31" s="1074">
        <f t="shared" si="112"/>
        <v>4.3490940779953462</v>
      </c>
      <c r="CI31" s="1074">
        <f t="shared" si="112"/>
        <v>4.3603006267397229</v>
      </c>
      <c r="CJ31" s="1074">
        <f t="shared" si="112"/>
        <v>4.3715360520116029</v>
      </c>
      <c r="CK31" s="1074">
        <f t="shared" si="112"/>
        <v>4.3828004282187161</v>
      </c>
      <c r="CL31" s="1074">
        <f t="shared" si="112"/>
        <v>4.3921814554525627</v>
      </c>
      <c r="CM31" s="1074">
        <f t="shared" si="112"/>
        <v>4.4015825620108968</v>
      </c>
      <c r="CN31" s="1074">
        <f t="shared" si="112"/>
        <v>4.4110037908718764</v>
      </c>
      <c r="CO31" s="1074">
        <f t="shared" si="112"/>
        <v>4.4204451851056508</v>
      </c>
      <c r="CP31" s="1074">
        <f t="shared" si="112"/>
        <v>4.4299067878745575</v>
      </c>
      <c r="CQ31" s="1074">
        <f t="shared" si="112"/>
        <v>4.4385669033121991</v>
      </c>
      <c r="CR31" s="1074">
        <f t="shared" si="112"/>
        <v>4.4472439485867392</v>
      </c>
      <c r="CS31" s="1074">
        <f t="shared" si="112"/>
        <v>4.4559379567946618</v>
      </c>
      <c r="CT31" s="1074">
        <f t="shared" si="112"/>
        <v>4.4646489610971525</v>
      </c>
      <c r="CU31" s="1074">
        <f t="shared" si="112"/>
        <v>4.4733769947202253</v>
      </c>
      <c r="CV31" s="1074">
        <f t="shared" si="112"/>
        <v>4.4836815387008029</v>
      </c>
      <c r="CW31" s="1074">
        <f t="shared" si="112"/>
        <v>4.494009819475032</v>
      </c>
      <c r="CX31" s="1074">
        <f t="shared" si="112"/>
        <v>4.5043618917212536</v>
      </c>
      <c r="CY31" s="1074">
        <f t="shared" si="112"/>
        <v>4.5147378102437621</v>
      </c>
      <c r="CZ31" s="1074">
        <f t="shared" si="112"/>
        <v>4.525137629973095</v>
      </c>
    </row>
    <row r="32" spans="1:104" x14ac:dyDescent="0.25">
      <c r="A32" s="813" t="str">
        <f>'HyARC Physical Property Data'!A79</f>
        <v>Electric Utility Steam Coal</v>
      </c>
      <c r="B32" s="254">
        <v>2011</v>
      </c>
      <c r="C32" s="727">
        <f>VLOOKUP(ref_year,DeflatorTable,2,FALSE)/VLOOKUP(B32,DeflatorTable,2,FALSE)</f>
        <v>1.0771767810026385</v>
      </c>
      <c r="D32" s="1032" t="str">
        <f>+'HyARC Physical Property Data'!$H$79</f>
        <v>kg</v>
      </c>
      <c r="E32" s="748" t="s">
        <v>1025</v>
      </c>
      <c r="F32" s="254">
        <f>'HyARC Physical Property Data'!E42</f>
        <v>22.7322030001394</v>
      </c>
      <c r="G32" s="254">
        <f>'HyARC Physical Property Data'!I42</f>
        <v>23.967615189707661</v>
      </c>
      <c r="H32" s="854">
        <v>1.7344499599167666</v>
      </c>
      <c r="I32" s="854">
        <v>1.7344499599167666</v>
      </c>
      <c r="J32" s="854">
        <v>1.7344499599167666</v>
      </c>
      <c r="K32" s="854">
        <v>1.7788973636542149</v>
      </c>
      <c r="L32" s="854">
        <v>1.9298772179141501</v>
      </c>
      <c r="M32" s="854">
        <v>1.9810774561110811</v>
      </c>
      <c r="N32" s="254">
        <f t="shared" ref="N32:AR32" si="113">N50*($C32/mmBTU_to_GJ*$G32/$F32)</f>
        <v>2.4738067312648084</v>
      </c>
      <c r="O32" s="254">
        <f t="shared" si="113"/>
        <v>2.562092342657099</v>
      </c>
      <c r="P32" s="254">
        <f t="shared" si="113"/>
        <v>2.5893000409210973</v>
      </c>
      <c r="Q32" s="254">
        <f t="shared" si="113"/>
        <v>2.5157066296517416</v>
      </c>
      <c r="R32" s="254">
        <f t="shared" si="113"/>
        <v>2.5782561311129801</v>
      </c>
      <c r="S32" s="254">
        <f t="shared" si="113"/>
        <v>2.5794316793643168</v>
      </c>
      <c r="T32" s="254">
        <f t="shared" si="113"/>
        <v>2.6463884102586808</v>
      </c>
      <c r="U32" s="254">
        <f t="shared" si="113"/>
        <v>2.6614358584795466</v>
      </c>
      <c r="V32" s="254">
        <f t="shared" si="113"/>
        <v>2.6700253268837741</v>
      </c>
      <c r="W32" s="254">
        <f t="shared" si="113"/>
        <v>2.6738598533226581</v>
      </c>
      <c r="X32" s="254">
        <f t="shared" si="113"/>
        <v>2.7085589804154591</v>
      </c>
      <c r="Y32" s="254">
        <f t="shared" si="113"/>
        <v>2.7412837892912716</v>
      </c>
      <c r="Z32" s="254">
        <f t="shared" si="113"/>
        <v>2.7897299412646319</v>
      </c>
      <c r="AA32" s="254">
        <f t="shared" si="113"/>
        <v>2.829150638531758</v>
      </c>
      <c r="AB32" s="254">
        <f t="shared" si="113"/>
        <v>2.8628658360442274</v>
      </c>
      <c r="AC32" s="254">
        <f t="shared" si="113"/>
        <v>2.8975789577590683</v>
      </c>
      <c r="AD32" s="254">
        <f t="shared" si="113"/>
        <v>2.9373430615208616</v>
      </c>
      <c r="AE32" s="254">
        <f t="shared" si="113"/>
        <v>2.9731875946021442</v>
      </c>
      <c r="AF32" s="254">
        <f t="shared" si="113"/>
        <v>3.0056045217930829</v>
      </c>
      <c r="AG32" s="254">
        <f t="shared" si="113"/>
        <v>3.0446516703026871</v>
      </c>
      <c r="AH32" s="254">
        <f t="shared" si="113"/>
        <v>3.0864493002977911</v>
      </c>
      <c r="AI32" s="254">
        <f t="shared" si="113"/>
        <v>3.1186476960830318</v>
      </c>
      <c r="AJ32" s="254">
        <f t="shared" si="113"/>
        <v>3.1475444375762862</v>
      </c>
      <c r="AK32" s="254">
        <f t="shared" si="113"/>
        <v>3.18024986928312</v>
      </c>
      <c r="AL32" s="254">
        <f t="shared" si="113"/>
        <v>3.2161686815121526</v>
      </c>
      <c r="AM32" s="254">
        <f t="shared" si="113"/>
        <v>3.2620441290677542</v>
      </c>
      <c r="AN32" s="254">
        <f t="shared" si="113"/>
        <v>3.3016661335903748</v>
      </c>
      <c r="AO32" s="254">
        <f t="shared" si="113"/>
        <v>3.3385419626650465</v>
      </c>
      <c r="AP32" s="254">
        <f t="shared" si="113"/>
        <v>3.3748515478018035</v>
      </c>
      <c r="AQ32" s="254">
        <f t="shared" si="113"/>
        <v>3.4125282998609028</v>
      </c>
      <c r="AR32" s="254">
        <f t="shared" si="113"/>
        <v>3.4464921710419247</v>
      </c>
      <c r="AS32" s="254">
        <f t="shared" ref="AS32:BA32" si="114">($BB32-$AR32)/10+AR32</f>
        <v>3.4437798221078069</v>
      </c>
      <c r="AT32" s="254">
        <f t="shared" si="114"/>
        <v>3.441067473173689</v>
      </c>
      <c r="AU32" s="254">
        <f t="shared" si="114"/>
        <v>3.4383551242395711</v>
      </c>
      <c r="AV32" s="254">
        <f t="shared" si="114"/>
        <v>3.4356427753054533</v>
      </c>
      <c r="AW32" s="254">
        <f t="shared" si="114"/>
        <v>3.4329304263713354</v>
      </c>
      <c r="AX32" s="254">
        <f t="shared" si="114"/>
        <v>3.4302180774372175</v>
      </c>
      <c r="AY32" s="254">
        <f t="shared" si="114"/>
        <v>3.4275057285030996</v>
      </c>
      <c r="AZ32" s="254">
        <f t="shared" si="114"/>
        <v>3.4247933795689818</v>
      </c>
      <c r="BA32" s="254">
        <f t="shared" si="114"/>
        <v>3.4220810306348639</v>
      </c>
      <c r="BB32" s="782">
        <f>('AEO Data'!$B$28*AM32)</f>
        <v>3.4193686817007474</v>
      </c>
      <c r="BC32" s="254">
        <f>(($BQ$32-$BB$32)/15+BB32)</f>
        <v>3.4313687390140855</v>
      </c>
      <c r="BD32" s="254">
        <f t="shared" ref="BD32:BP32" si="115">(($BQ$32-$BB$32)/15+BC32)</f>
        <v>3.4433687963274235</v>
      </c>
      <c r="BE32" s="254">
        <f t="shared" si="115"/>
        <v>3.4553688536407616</v>
      </c>
      <c r="BF32" s="254">
        <f t="shared" si="115"/>
        <v>3.4673689109540997</v>
      </c>
      <c r="BG32" s="254">
        <f t="shared" si="115"/>
        <v>3.4793689682674378</v>
      </c>
      <c r="BH32" s="254">
        <f t="shared" si="115"/>
        <v>3.4913690255807759</v>
      </c>
      <c r="BI32" s="254">
        <f t="shared" si="115"/>
        <v>3.503369082894114</v>
      </c>
      <c r="BJ32" s="254">
        <f t="shared" si="115"/>
        <v>3.5153691402074521</v>
      </c>
      <c r="BK32" s="254">
        <f t="shared" si="115"/>
        <v>3.5273691975207901</v>
      </c>
      <c r="BL32" s="254">
        <f t="shared" si="115"/>
        <v>3.5393692548341282</v>
      </c>
      <c r="BM32" s="254">
        <f t="shared" si="115"/>
        <v>3.5513693121474663</v>
      </c>
      <c r="BN32" s="254">
        <f t="shared" si="115"/>
        <v>3.5633693694608044</v>
      </c>
      <c r="BO32" s="254">
        <f t="shared" si="115"/>
        <v>3.5753694267741425</v>
      </c>
      <c r="BP32" s="254">
        <f t="shared" si="115"/>
        <v>3.5873694840874806</v>
      </c>
      <c r="BQ32" s="782">
        <f>('AEO Data'!$C$28*BB32)</f>
        <v>3.5993695414008169</v>
      </c>
      <c r="BR32" s="254">
        <f>(($BV$32-$BQ$32)/5+BQ32)</f>
        <v>3.6109087635521795</v>
      </c>
      <c r="BS32" s="254">
        <f>(($BV$32-$BQ$32)/5+BR32)</f>
        <v>3.6224479857035421</v>
      </c>
      <c r="BT32" s="254">
        <f>(($BV$32-$BQ$32)/5+BS32)</f>
        <v>3.6339872078549047</v>
      </c>
      <c r="BU32" s="254">
        <f>(($BV$32-$BQ$32)/5+BT32)</f>
        <v>3.6455264300062673</v>
      </c>
      <c r="BV32" s="806">
        <f>('AEO Data'!$D$28*BQ32)</f>
        <v>3.657065652157629</v>
      </c>
      <c r="BW32" s="1074">
        <f>+BV32*BW$138/BV$138</f>
        <v>3.6694300274580169</v>
      </c>
      <c r="BX32" s="1074">
        <f t="shared" ref="BX32:CZ32" si="116">+BW32*BX$138/BW$138</f>
        <v>3.6818362061579366</v>
      </c>
      <c r="BY32" s="1074">
        <f t="shared" si="116"/>
        <v>3.6942843295928096</v>
      </c>
      <c r="BZ32" s="1074">
        <f t="shared" si="116"/>
        <v>3.7067745395759086</v>
      </c>
      <c r="CA32" s="1074">
        <f t="shared" si="116"/>
        <v>3.7193069783999695</v>
      </c>
      <c r="CB32" s="1074">
        <f t="shared" si="116"/>
        <v>3.7299559382094629</v>
      </c>
      <c r="CC32" s="1074">
        <f t="shared" si="116"/>
        <v>3.7406353876627754</v>
      </c>
      <c r="CD32" s="1074">
        <f t="shared" si="116"/>
        <v>3.7513454140565434</v>
      </c>
      <c r="CE32" s="1074">
        <f t="shared" si="116"/>
        <v>3.7620861049373482</v>
      </c>
      <c r="CF32" s="1074">
        <f t="shared" si="116"/>
        <v>3.7728575481024307</v>
      </c>
      <c r="CG32" s="1074">
        <f t="shared" si="116"/>
        <v>3.7810815561772397</v>
      </c>
      <c r="CH32" s="1074">
        <f t="shared" si="116"/>
        <v>3.7893234907992221</v>
      </c>
      <c r="CI32" s="1074">
        <f t="shared" si="116"/>
        <v>3.7975833910443488</v>
      </c>
      <c r="CJ32" s="1074">
        <f t="shared" si="116"/>
        <v>3.8058612960737661</v>
      </c>
      <c r="CK32" s="1074">
        <f t="shared" si="116"/>
        <v>3.8141572451339845</v>
      </c>
      <c r="CL32" s="1074">
        <f t="shared" si="116"/>
        <v>3.8197812068711383</v>
      </c>
      <c r="CM32" s="1074">
        <f t="shared" si="116"/>
        <v>3.8254134611205277</v>
      </c>
      <c r="CN32" s="1074">
        <f t="shared" si="116"/>
        <v>3.8310540201094327</v>
      </c>
      <c r="CO32" s="1074">
        <f t="shared" si="116"/>
        <v>3.8367028960831631</v>
      </c>
      <c r="CP32" s="1074">
        <f t="shared" si="116"/>
        <v>3.8423601013050841</v>
      </c>
      <c r="CQ32" s="1074">
        <f t="shared" si="116"/>
        <v>3.8442546108659763</v>
      </c>
      <c r="CR32" s="1074">
        <f t="shared" si="116"/>
        <v>3.8461500545315284</v>
      </c>
      <c r="CS32" s="1074">
        <f t="shared" si="116"/>
        <v>3.8480464327623092</v>
      </c>
      <c r="CT32" s="1074">
        <f t="shared" si="116"/>
        <v>3.8499437460191142</v>
      </c>
      <c r="CU32" s="1074">
        <f t="shared" si="116"/>
        <v>3.8518419947629661</v>
      </c>
      <c r="CV32" s="1074">
        <f t="shared" si="116"/>
        <v>3.8491138019441373</v>
      </c>
      <c r="CW32" s="1074">
        <f t="shared" si="116"/>
        <v>3.8463875414569224</v>
      </c>
      <c r="CX32" s="1074">
        <f t="shared" si="116"/>
        <v>3.8436632119326841</v>
      </c>
      <c r="CY32" s="1074">
        <f t="shared" si="116"/>
        <v>3.8409408120037543</v>
      </c>
      <c r="CZ32" s="1074">
        <f t="shared" si="116"/>
        <v>3.8382203403034345</v>
      </c>
    </row>
    <row r="33" spans="1:106" x14ac:dyDescent="0.25">
      <c r="A33" s="807" t="str">
        <f>'HyARC Physical Property Data'!A76</f>
        <v>Commercial Electricity</v>
      </c>
      <c r="B33" s="254">
        <v>2011</v>
      </c>
      <c r="C33" s="727">
        <f t="shared" si="99"/>
        <v>1.0771767810026385</v>
      </c>
      <c r="D33" s="1032" t="str">
        <f>'HyARC Physical Property Data'!$H$76</f>
        <v>kWh</v>
      </c>
      <c r="E33" s="727" t="s">
        <v>1044</v>
      </c>
      <c r="F33" s="727"/>
      <c r="G33" s="727"/>
      <c r="H33" s="854">
        <v>26.896922396257633</v>
      </c>
      <c r="I33" s="854">
        <v>26.896922396257633</v>
      </c>
      <c r="J33" s="854">
        <v>26.896922396257633</v>
      </c>
      <c r="K33" s="854">
        <v>26.568469730033652</v>
      </c>
      <c r="L33" s="854">
        <v>27.542479456318485</v>
      </c>
      <c r="M33" s="854">
        <v>26.167555894896875</v>
      </c>
      <c r="N33" s="254">
        <f t="shared" ref="N33:AR33" si="117">(N51/(mmBTU_to_GJ))*($C33)</f>
        <v>31.133552693543749</v>
      </c>
      <c r="O33" s="254">
        <f t="shared" si="117"/>
        <v>30.610864657554803</v>
      </c>
      <c r="P33" s="254">
        <f t="shared" si="117"/>
        <v>29.061789491552979</v>
      </c>
      <c r="Q33" s="254">
        <f t="shared" si="117"/>
        <v>28.354246688716874</v>
      </c>
      <c r="R33" s="254">
        <f t="shared" si="117"/>
        <v>28.429556150508322</v>
      </c>
      <c r="S33" s="254">
        <f t="shared" si="117"/>
        <v>28.316980456176768</v>
      </c>
      <c r="T33" s="254">
        <f t="shared" si="117"/>
        <v>28.823692582125577</v>
      </c>
      <c r="U33" s="254">
        <f t="shared" si="117"/>
        <v>29.117226828521051</v>
      </c>
      <c r="V33" s="254">
        <f t="shared" si="117"/>
        <v>29.247133327289326</v>
      </c>
      <c r="W33" s="254">
        <f t="shared" si="117"/>
        <v>29.177516055596545</v>
      </c>
      <c r="X33" s="254">
        <f t="shared" si="117"/>
        <v>29.167046509897588</v>
      </c>
      <c r="Y33" s="254">
        <f t="shared" si="117"/>
        <v>29.278527670097162</v>
      </c>
      <c r="Z33" s="254">
        <f t="shared" si="117"/>
        <v>29.26715860520952</v>
      </c>
      <c r="AA33" s="254">
        <f t="shared" si="117"/>
        <v>29.230231351523717</v>
      </c>
      <c r="AB33" s="254">
        <f t="shared" si="117"/>
        <v>29.234638076629693</v>
      </c>
      <c r="AC33" s="254">
        <f t="shared" si="117"/>
        <v>29.084632786454755</v>
      </c>
      <c r="AD33" s="254">
        <f t="shared" si="117"/>
        <v>28.975210003876501</v>
      </c>
      <c r="AE33" s="254">
        <f t="shared" si="117"/>
        <v>28.966039196438619</v>
      </c>
      <c r="AF33" s="254">
        <f t="shared" si="117"/>
        <v>29.081694289036999</v>
      </c>
      <c r="AG33" s="254">
        <f t="shared" si="117"/>
        <v>29.178046986332202</v>
      </c>
      <c r="AH33" s="254">
        <f t="shared" si="117"/>
        <v>29.254591883104705</v>
      </c>
      <c r="AI33" s="254">
        <f t="shared" si="117"/>
        <v>29.386069732646401</v>
      </c>
      <c r="AJ33" s="254">
        <f t="shared" si="117"/>
        <v>29.520327821405793</v>
      </c>
      <c r="AK33" s="254">
        <f t="shared" si="117"/>
        <v>29.693042652777955</v>
      </c>
      <c r="AL33" s="254">
        <f t="shared" si="117"/>
        <v>29.886409668746637</v>
      </c>
      <c r="AM33" s="254">
        <f t="shared" si="117"/>
        <v>30.281916310070152</v>
      </c>
      <c r="AN33" s="254">
        <f t="shared" si="117"/>
        <v>30.734461248733886</v>
      </c>
      <c r="AO33" s="254">
        <f t="shared" si="117"/>
        <v>31.144263200115045</v>
      </c>
      <c r="AP33" s="254">
        <f t="shared" si="117"/>
        <v>31.594533304780605</v>
      </c>
      <c r="AQ33" s="254">
        <f t="shared" si="117"/>
        <v>32.138219651364906</v>
      </c>
      <c r="AR33" s="254">
        <f t="shared" si="117"/>
        <v>32.414492522727556</v>
      </c>
      <c r="AS33" s="254">
        <f t="shared" ref="AS33:BA33" si="118">($BB33-$AR33)/10+AR33</f>
        <v>32.12574672681761</v>
      </c>
      <c r="AT33" s="254">
        <f t="shared" si="118"/>
        <v>31.837000930907664</v>
      </c>
      <c r="AU33" s="254">
        <f t="shared" si="118"/>
        <v>31.548255134997717</v>
      </c>
      <c r="AV33" s="254">
        <f t="shared" si="118"/>
        <v>31.259509339087771</v>
      </c>
      <c r="AW33" s="254">
        <f t="shared" si="118"/>
        <v>30.970763543177824</v>
      </c>
      <c r="AX33" s="254">
        <f t="shared" si="118"/>
        <v>30.682017747267878</v>
      </c>
      <c r="AY33" s="254">
        <f t="shared" si="118"/>
        <v>30.393271951357931</v>
      </c>
      <c r="AZ33" s="254">
        <f t="shared" si="118"/>
        <v>30.104526155447985</v>
      </c>
      <c r="BA33" s="254">
        <f t="shared" si="118"/>
        <v>29.815780359538039</v>
      </c>
      <c r="BB33" s="782">
        <f>'AEO Data'!$B$33*AM33</f>
        <v>29.527034563628085</v>
      </c>
      <c r="BC33" s="254">
        <f t="shared" ref="BC33:BP33" si="119">($BQ33-$BB33)/15+BB33</f>
        <v>29.544237717052788</v>
      </c>
      <c r="BD33" s="254">
        <f t="shared" si="119"/>
        <v>29.56144087047749</v>
      </c>
      <c r="BE33" s="254">
        <f t="shared" si="119"/>
        <v>29.578644023902193</v>
      </c>
      <c r="BF33" s="254">
        <f t="shared" si="119"/>
        <v>29.595847177326895</v>
      </c>
      <c r="BG33" s="254">
        <f t="shared" si="119"/>
        <v>29.613050330751598</v>
      </c>
      <c r="BH33" s="254">
        <f t="shared" si="119"/>
        <v>29.630253484176301</v>
      </c>
      <c r="BI33" s="254">
        <f t="shared" si="119"/>
        <v>29.647456637601003</v>
      </c>
      <c r="BJ33" s="254">
        <f t="shared" si="119"/>
        <v>29.664659791025706</v>
      </c>
      <c r="BK33" s="254">
        <f t="shared" si="119"/>
        <v>29.681862944450408</v>
      </c>
      <c r="BL33" s="254">
        <f t="shared" si="119"/>
        <v>29.699066097875111</v>
      </c>
      <c r="BM33" s="254">
        <f t="shared" si="119"/>
        <v>29.716269251299813</v>
      </c>
      <c r="BN33" s="254">
        <f t="shared" si="119"/>
        <v>29.733472404724516</v>
      </c>
      <c r="BO33" s="254">
        <f t="shared" si="119"/>
        <v>29.750675558149219</v>
      </c>
      <c r="BP33" s="254">
        <f t="shared" si="119"/>
        <v>29.767878711573921</v>
      </c>
      <c r="BQ33" s="782">
        <f>'AEO Data'!$C$33*BB33</f>
        <v>29.78508186499861</v>
      </c>
      <c r="BR33" s="254">
        <f t="shared" ref="BR33:BU35" si="120">($BV33-$BQ33)/5+BQ33</f>
        <v>29.765026073611775</v>
      </c>
      <c r="BS33" s="254">
        <f t="shared" si="120"/>
        <v>29.744970282224941</v>
      </c>
      <c r="BT33" s="254">
        <f t="shared" si="120"/>
        <v>29.724914490838106</v>
      </c>
      <c r="BU33" s="254">
        <f t="shared" si="120"/>
        <v>29.704858699451272</v>
      </c>
      <c r="BV33" s="806">
        <f>'AEO Data'!$D$33*BQ33</f>
        <v>29.684802908064434</v>
      </c>
      <c r="BW33" s="1074">
        <f>+BV33*BW$139/BV$139</f>
        <v>29.671732577415259</v>
      </c>
      <c r="BX33" s="1074">
        <f t="shared" ref="BX33:CZ33" si="121">+BW33*BX$139/BW$139</f>
        <v>29.658668001681953</v>
      </c>
      <c r="BY33" s="1074">
        <f t="shared" si="121"/>
        <v>29.645609178330599</v>
      </c>
      <c r="BZ33" s="1074">
        <f t="shared" si="121"/>
        <v>29.632556104828407</v>
      </c>
      <c r="CA33" s="1074">
        <f t="shared" si="121"/>
        <v>29.619508778643699</v>
      </c>
      <c r="CB33" s="1074">
        <f t="shared" si="121"/>
        <v>29.595784014667533</v>
      </c>
      <c r="CC33" s="1074">
        <f t="shared" si="121"/>
        <v>29.572078253856809</v>
      </c>
      <c r="CD33" s="1074">
        <f t="shared" si="121"/>
        <v>29.54839148099029</v>
      </c>
      <c r="CE33" s="1074">
        <f t="shared" si="121"/>
        <v>29.524723680858934</v>
      </c>
      <c r="CF33" s="1074">
        <f t="shared" si="121"/>
        <v>29.501074838265872</v>
      </c>
      <c r="CG33" s="1074">
        <f t="shared" si="121"/>
        <v>29.468497232300709</v>
      </c>
      <c r="CH33" s="1074">
        <f t="shared" si="121"/>
        <v>29.435955601309892</v>
      </c>
      <c r="CI33" s="1074">
        <f t="shared" si="121"/>
        <v>29.403449905566777</v>
      </c>
      <c r="CJ33" s="1074">
        <f t="shared" si="121"/>
        <v>29.3709801053886</v>
      </c>
      <c r="CK33" s="1074">
        <f t="shared" si="121"/>
        <v>29.33854616113641</v>
      </c>
      <c r="CL33" s="1074">
        <f t="shared" si="121"/>
        <v>29.303185235347783</v>
      </c>
      <c r="CM33" s="1074">
        <f t="shared" si="121"/>
        <v>29.267866929089987</v>
      </c>
      <c r="CN33" s="1074">
        <f t="shared" si="121"/>
        <v>29.232591190994896</v>
      </c>
      <c r="CO33" s="1074">
        <f t="shared" si="121"/>
        <v>29.1973579697563</v>
      </c>
      <c r="CP33" s="1074">
        <f t="shared" si="121"/>
        <v>29.16216721412983</v>
      </c>
      <c r="CQ33" s="1074">
        <f t="shared" si="121"/>
        <v>29.121407129980525</v>
      </c>
      <c r="CR33" s="1074">
        <f t="shared" si="121"/>
        <v>29.080704016372799</v>
      </c>
      <c r="CS33" s="1074">
        <f t="shared" si="121"/>
        <v>29.040057793678688</v>
      </c>
      <c r="CT33" s="1074">
        <f t="shared" si="121"/>
        <v>28.999468382381522</v>
      </c>
      <c r="CU33" s="1074">
        <f t="shared" si="121"/>
        <v>28.95893570307577</v>
      </c>
      <c r="CV33" s="1074">
        <f t="shared" si="121"/>
        <v>28.919368591982021</v>
      </c>
      <c r="CW33" s="1074">
        <f t="shared" si="121"/>
        <v>28.879855542138877</v>
      </c>
      <c r="CX33" s="1074">
        <f t="shared" si="121"/>
        <v>28.840396479681488</v>
      </c>
      <c r="CY33" s="1074">
        <f t="shared" si="121"/>
        <v>28.800991330845925</v>
      </c>
      <c r="CZ33" s="1074">
        <f t="shared" si="121"/>
        <v>28.761640021969036</v>
      </c>
    </row>
    <row r="34" spans="1:106" x14ac:dyDescent="0.25">
      <c r="A34" s="807" t="str">
        <f>'HyARC Physical Property Data'!A77</f>
        <v>Industrial Electricity</v>
      </c>
      <c r="B34" s="254">
        <v>2011</v>
      </c>
      <c r="C34" s="727">
        <f t="shared" si="99"/>
        <v>1.0771767810026385</v>
      </c>
      <c r="D34" s="1020" t="str">
        <f>'HyARC Physical Property Data'!$H$77</f>
        <v>kWh</v>
      </c>
      <c r="E34" s="727" t="s">
        <v>1044</v>
      </c>
      <c r="F34" s="727"/>
      <c r="G34" s="727"/>
      <c r="H34" s="854">
        <v>17.44160584363896</v>
      </c>
      <c r="I34" s="854">
        <v>17.44160584363896</v>
      </c>
      <c r="J34" s="854">
        <v>17.44160584363896</v>
      </c>
      <c r="K34" s="854">
        <v>17.651840860809763</v>
      </c>
      <c r="L34" s="854">
        <v>19.274322003549859</v>
      </c>
      <c r="M34" s="854">
        <v>18.160650967421709</v>
      </c>
      <c r="N34" s="254">
        <f t="shared" ref="N34:AR34" si="122">(N52/(mmBTU_to_GJ))*($C34)</f>
        <v>20.686330589978613</v>
      </c>
      <c r="O34" s="254">
        <f t="shared" si="122"/>
        <v>20.395642949142793</v>
      </c>
      <c r="P34" s="254">
        <f t="shared" si="122"/>
        <v>18.823552956770747</v>
      </c>
      <c r="Q34" s="254">
        <f t="shared" si="122"/>
        <v>18.524341835586291</v>
      </c>
      <c r="R34" s="254">
        <f t="shared" si="122"/>
        <v>18.425452923007665</v>
      </c>
      <c r="S34" s="254">
        <f t="shared" si="122"/>
        <v>18.26043454526129</v>
      </c>
      <c r="T34" s="254">
        <f t="shared" si="122"/>
        <v>18.754222591879351</v>
      </c>
      <c r="U34" s="254">
        <f t="shared" si="122"/>
        <v>19.028024593279895</v>
      </c>
      <c r="V34" s="254">
        <f t="shared" si="122"/>
        <v>19.177936970576098</v>
      </c>
      <c r="W34" s="254">
        <f t="shared" si="122"/>
        <v>19.120789424026807</v>
      </c>
      <c r="X34" s="254">
        <f t="shared" si="122"/>
        <v>19.113803600770296</v>
      </c>
      <c r="Y34" s="254">
        <f t="shared" si="122"/>
        <v>19.250773520364145</v>
      </c>
      <c r="Z34" s="254">
        <f t="shared" si="122"/>
        <v>19.360178945591421</v>
      </c>
      <c r="AA34" s="254">
        <f t="shared" si="122"/>
        <v>19.49113403256262</v>
      </c>
      <c r="AB34" s="254">
        <f t="shared" si="122"/>
        <v>19.561495628305966</v>
      </c>
      <c r="AC34" s="254">
        <f t="shared" si="122"/>
        <v>19.585178202178344</v>
      </c>
      <c r="AD34" s="254">
        <f t="shared" si="122"/>
        <v>19.679504173492226</v>
      </c>
      <c r="AE34" s="254">
        <f t="shared" si="122"/>
        <v>19.769484680938866</v>
      </c>
      <c r="AF34" s="254">
        <f t="shared" si="122"/>
        <v>19.876209926971701</v>
      </c>
      <c r="AG34" s="254">
        <f t="shared" si="122"/>
        <v>20.022596719978992</v>
      </c>
      <c r="AH34" s="254">
        <f t="shared" si="122"/>
        <v>20.141018778526679</v>
      </c>
      <c r="AI34" s="254">
        <f t="shared" si="122"/>
        <v>20.284500767797521</v>
      </c>
      <c r="AJ34" s="254">
        <f t="shared" si="122"/>
        <v>20.450430916980327</v>
      </c>
      <c r="AK34" s="254">
        <f t="shared" si="122"/>
        <v>20.629529169428153</v>
      </c>
      <c r="AL34" s="254">
        <f t="shared" si="122"/>
        <v>20.858104040315624</v>
      </c>
      <c r="AM34" s="254">
        <f t="shared" si="122"/>
        <v>21.232143722567496</v>
      </c>
      <c r="AN34" s="254">
        <f t="shared" si="122"/>
        <v>21.710953396316075</v>
      </c>
      <c r="AO34" s="254">
        <f t="shared" si="122"/>
        <v>22.126345435731348</v>
      </c>
      <c r="AP34" s="254">
        <f t="shared" si="122"/>
        <v>22.531327148645097</v>
      </c>
      <c r="AQ34" s="254">
        <f t="shared" si="122"/>
        <v>22.961372876364592</v>
      </c>
      <c r="AR34" s="254">
        <f t="shared" si="122"/>
        <v>23.222533621153197</v>
      </c>
      <c r="AS34" s="254">
        <f t="shared" ref="AS34:BA34" si="123">($BB34-$AR34)/10+AR34</f>
        <v>22.97056615223179</v>
      </c>
      <c r="AT34" s="254">
        <f t="shared" si="123"/>
        <v>22.718598683310383</v>
      </c>
      <c r="AU34" s="254">
        <f t="shared" si="123"/>
        <v>22.466631214388975</v>
      </c>
      <c r="AV34" s="254">
        <f t="shared" si="123"/>
        <v>22.214663745467568</v>
      </c>
      <c r="AW34" s="254">
        <f t="shared" si="123"/>
        <v>21.962696276546161</v>
      </c>
      <c r="AX34" s="254">
        <f t="shared" si="123"/>
        <v>21.710728807624754</v>
      </c>
      <c r="AY34" s="254">
        <f t="shared" si="123"/>
        <v>21.458761338703347</v>
      </c>
      <c r="AZ34" s="254">
        <f t="shared" si="123"/>
        <v>21.20679386978194</v>
      </c>
      <c r="BA34" s="254">
        <f t="shared" si="123"/>
        <v>20.954826400860533</v>
      </c>
      <c r="BB34" s="782">
        <f>'AEO Data'!$B$33*AM34</f>
        <v>20.702858931939144</v>
      </c>
      <c r="BC34" s="254">
        <f t="shared" ref="BC34:BP34" si="124">($BQ34-$BB34)/15+BB34</f>
        <v>20.714920910522487</v>
      </c>
      <c r="BD34" s="254">
        <f t="shared" si="124"/>
        <v>20.72698288910583</v>
      </c>
      <c r="BE34" s="254">
        <f t="shared" si="124"/>
        <v>20.739044867689174</v>
      </c>
      <c r="BF34" s="254">
        <f t="shared" si="124"/>
        <v>20.751106846272517</v>
      </c>
      <c r="BG34" s="254">
        <f t="shared" si="124"/>
        <v>20.76316882485586</v>
      </c>
      <c r="BH34" s="254">
        <f t="shared" si="124"/>
        <v>20.775230803439204</v>
      </c>
      <c r="BI34" s="254">
        <f t="shared" si="124"/>
        <v>20.787292782022547</v>
      </c>
      <c r="BJ34" s="254">
        <f t="shared" si="124"/>
        <v>20.79935476060589</v>
      </c>
      <c r="BK34" s="254">
        <f t="shared" si="124"/>
        <v>20.811416739189234</v>
      </c>
      <c r="BL34" s="254">
        <f t="shared" si="124"/>
        <v>20.823478717772577</v>
      </c>
      <c r="BM34" s="254">
        <f t="shared" si="124"/>
        <v>20.83554069635592</v>
      </c>
      <c r="BN34" s="254">
        <f t="shared" si="124"/>
        <v>20.847602674939264</v>
      </c>
      <c r="BO34" s="254">
        <f t="shared" si="124"/>
        <v>20.859664653522607</v>
      </c>
      <c r="BP34" s="254">
        <f t="shared" si="124"/>
        <v>20.87172663210595</v>
      </c>
      <c r="BQ34" s="782">
        <f>'AEO Data'!$C$33*BB34</f>
        <v>20.883788610689287</v>
      </c>
      <c r="BR34" s="254">
        <f t="shared" si="120"/>
        <v>20.869726507061667</v>
      </c>
      <c r="BS34" s="254">
        <f t="shared" si="120"/>
        <v>20.855664403434048</v>
      </c>
      <c r="BT34" s="254">
        <f t="shared" si="120"/>
        <v>20.841602299806429</v>
      </c>
      <c r="BU34" s="254">
        <f t="shared" si="120"/>
        <v>20.827540196178809</v>
      </c>
      <c r="BV34" s="806">
        <f>'AEO Data'!$D$33*BQ34</f>
        <v>20.813478092551186</v>
      </c>
      <c r="BW34" s="1074">
        <f>+BV34*BW$140/BV$140</f>
        <v>20.819767085860629</v>
      </c>
      <c r="BX34" s="1074">
        <f t="shared" ref="BX34:CZ34" si="125">+BW34*BX$140/BW$140</f>
        <v>20.826057979450106</v>
      </c>
      <c r="BY34" s="1074">
        <f t="shared" si="125"/>
        <v>20.832350773893804</v>
      </c>
      <c r="BZ34" s="1074">
        <f t="shared" si="125"/>
        <v>20.838645469766085</v>
      </c>
      <c r="CA34" s="1074">
        <f t="shared" si="125"/>
        <v>20.844942067641483</v>
      </c>
      <c r="CB34" s="1074">
        <f t="shared" si="125"/>
        <v>20.842584664877659</v>
      </c>
      <c r="CC34" s="1074">
        <f t="shared" si="125"/>
        <v>20.840227528717975</v>
      </c>
      <c r="CD34" s="1074">
        <f t="shared" si="125"/>
        <v>20.837870659132275</v>
      </c>
      <c r="CE34" s="1074">
        <f t="shared" si="125"/>
        <v>20.83551405609041</v>
      </c>
      <c r="CF34" s="1074">
        <f t="shared" si="125"/>
        <v>20.833157719562244</v>
      </c>
      <c r="CG34" s="1074">
        <f t="shared" si="125"/>
        <v>20.823707614808125</v>
      </c>
      <c r="CH34" s="1074">
        <f t="shared" si="125"/>
        <v>20.814261796705171</v>
      </c>
      <c r="CI34" s="1074">
        <f t="shared" si="125"/>
        <v>20.804820263308923</v>
      </c>
      <c r="CJ34" s="1074">
        <f t="shared" si="125"/>
        <v>20.795383012675799</v>
      </c>
      <c r="CK34" s="1074">
        <f t="shared" si="125"/>
        <v>20.785950042863099</v>
      </c>
      <c r="CL34" s="1074">
        <f t="shared" si="125"/>
        <v>20.77437772649537</v>
      </c>
      <c r="CM34" s="1074">
        <f t="shared" si="125"/>
        <v>20.762811852869294</v>
      </c>
      <c r="CN34" s="1074">
        <f t="shared" si="125"/>
        <v>20.751252418397954</v>
      </c>
      <c r="CO34" s="1074">
        <f t="shared" si="125"/>
        <v>20.739699419496432</v>
      </c>
      <c r="CP34" s="1074">
        <f t="shared" si="125"/>
        <v>20.728152852581804</v>
      </c>
      <c r="CQ34" s="1074">
        <f t="shared" si="125"/>
        <v>20.712333481367292</v>
      </c>
      <c r="CR34" s="1074">
        <f t="shared" si="125"/>
        <v>20.696526183225924</v>
      </c>
      <c r="CS34" s="1074">
        <f t="shared" si="125"/>
        <v>20.680730948943744</v>
      </c>
      <c r="CT34" s="1074">
        <f t="shared" si="125"/>
        <v>20.664947769313819</v>
      </c>
      <c r="CU34" s="1074">
        <f t="shared" si="125"/>
        <v>20.649176635136243</v>
      </c>
      <c r="CV34" s="1074">
        <f t="shared" si="125"/>
        <v>20.634348778597502</v>
      </c>
      <c r="CW34" s="1074">
        <f t="shared" si="125"/>
        <v>20.619531569714763</v>
      </c>
      <c r="CX34" s="1074">
        <f t="shared" si="125"/>
        <v>20.604725000842109</v>
      </c>
      <c r="CY34" s="1074">
        <f t="shared" si="125"/>
        <v>20.58992906433911</v>
      </c>
      <c r="CZ34" s="1074">
        <f t="shared" si="125"/>
        <v>20.575143752570824</v>
      </c>
    </row>
    <row r="35" spans="1:106" ht="13.8" thickBot="1" x14ac:dyDescent="0.3">
      <c r="A35" s="810" t="str">
        <f>'HyARC Physical Property Data'!A78</f>
        <v>Residential Electricity</v>
      </c>
      <c r="B35" s="733">
        <v>2011</v>
      </c>
      <c r="C35" s="734">
        <f t="shared" si="99"/>
        <v>1.0771767810026385</v>
      </c>
      <c r="D35" s="1021" t="str">
        <f>'HyARC Physical Property Data'!$H$78</f>
        <v>kWh</v>
      </c>
      <c r="E35" s="734" t="s">
        <v>1044</v>
      </c>
      <c r="F35" s="733"/>
      <c r="G35" s="733"/>
      <c r="H35" s="856">
        <v>29.579885763014694</v>
      </c>
      <c r="I35" s="856">
        <v>29.579885763014694</v>
      </c>
      <c r="J35" s="856">
        <v>29.579885763014694</v>
      </c>
      <c r="K35" s="856">
        <v>29.556357578078675</v>
      </c>
      <c r="L35" s="856">
        <v>30.116416605727963</v>
      </c>
      <c r="M35" s="856">
        <v>29.134443020933652</v>
      </c>
      <c r="N35" s="733">
        <f t="shared" ref="N35:AR35" si="126">(N53/(mmBTU_to_GJ))*($C35)</f>
        <v>35.248515023946787</v>
      </c>
      <c r="O35" s="733">
        <f t="shared" si="126"/>
        <v>35.057638277332465</v>
      </c>
      <c r="P35" s="733">
        <f t="shared" si="126"/>
        <v>33.966003843989547</v>
      </c>
      <c r="Q35" s="733">
        <f t="shared" si="126"/>
        <v>33.233617566807133</v>
      </c>
      <c r="R35" s="733">
        <f t="shared" si="126"/>
        <v>33.701326704097838</v>
      </c>
      <c r="S35" s="733">
        <f t="shared" si="126"/>
        <v>33.757355212019654</v>
      </c>
      <c r="T35" s="733">
        <f t="shared" si="126"/>
        <v>34.284141624879645</v>
      </c>
      <c r="U35" s="733">
        <f t="shared" si="126"/>
        <v>34.53730982005527</v>
      </c>
      <c r="V35" s="733">
        <f t="shared" si="126"/>
        <v>34.545858825920035</v>
      </c>
      <c r="W35" s="733">
        <f t="shared" si="126"/>
        <v>34.349778958096259</v>
      </c>
      <c r="X35" s="733">
        <f t="shared" si="126"/>
        <v>34.322062331653513</v>
      </c>
      <c r="Y35" s="733">
        <f t="shared" si="126"/>
        <v>34.366342976028214</v>
      </c>
      <c r="Z35" s="733">
        <f t="shared" si="126"/>
        <v>34.399461822706293</v>
      </c>
      <c r="AA35" s="733">
        <f t="shared" si="126"/>
        <v>34.411956052345289</v>
      </c>
      <c r="AB35" s="733">
        <f t="shared" si="126"/>
        <v>34.551308013105078</v>
      </c>
      <c r="AC35" s="733">
        <f t="shared" si="126"/>
        <v>34.673225025322317</v>
      </c>
      <c r="AD35" s="733">
        <f t="shared" si="126"/>
        <v>34.843428145906536</v>
      </c>
      <c r="AE35" s="733">
        <f t="shared" si="126"/>
        <v>34.985992237617076</v>
      </c>
      <c r="AF35" s="733">
        <f t="shared" si="126"/>
        <v>35.137048158036244</v>
      </c>
      <c r="AG35" s="733">
        <f t="shared" si="126"/>
        <v>35.236409803173729</v>
      </c>
      <c r="AH35" s="733">
        <f t="shared" si="126"/>
        <v>35.28809897335217</v>
      </c>
      <c r="AI35" s="733">
        <f t="shared" si="126"/>
        <v>35.415531539096392</v>
      </c>
      <c r="AJ35" s="733">
        <f t="shared" si="126"/>
        <v>35.539081163325783</v>
      </c>
      <c r="AK35" s="733">
        <f t="shared" si="126"/>
        <v>35.65784015868649</v>
      </c>
      <c r="AL35" s="733">
        <f t="shared" si="126"/>
        <v>35.819984363315783</v>
      </c>
      <c r="AM35" s="733">
        <f t="shared" si="126"/>
        <v>36.165866338206058</v>
      </c>
      <c r="AN35" s="733">
        <f t="shared" si="126"/>
        <v>36.58927134764722</v>
      </c>
      <c r="AO35" s="733">
        <f t="shared" si="126"/>
        <v>36.936418367117263</v>
      </c>
      <c r="AP35" s="733">
        <f t="shared" si="126"/>
        <v>37.270112418562192</v>
      </c>
      <c r="AQ35" s="733">
        <f t="shared" si="126"/>
        <v>37.681875750603361</v>
      </c>
      <c r="AR35" s="733">
        <f t="shared" si="126"/>
        <v>37.878431414047952</v>
      </c>
      <c r="AS35" s="733">
        <f t="shared" ref="AS35:BA35" si="127">($BB35-$AR35)/10+AR35</f>
        <v>37.617018946505915</v>
      </c>
      <c r="AT35" s="733">
        <f t="shared" si="127"/>
        <v>37.355606478963878</v>
      </c>
      <c r="AU35" s="733">
        <f t="shared" si="127"/>
        <v>37.094194011421841</v>
      </c>
      <c r="AV35" s="733">
        <f t="shared" si="127"/>
        <v>36.832781543879804</v>
      </c>
      <c r="AW35" s="733">
        <f t="shared" si="127"/>
        <v>36.571369076337767</v>
      </c>
      <c r="AX35" s="733">
        <f t="shared" si="127"/>
        <v>36.30995660879573</v>
      </c>
      <c r="AY35" s="733">
        <f t="shared" si="127"/>
        <v>36.048544141253693</v>
      </c>
      <c r="AZ35" s="733">
        <f t="shared" si="127"/>
        <v>35.787131673711656</v>
      </c>
      <c r="BA35" s="733">
        <f t="shared" si="127"/>
        <v>35.525719206169619</v>
      </c>
      <c r="BB35" s="811">
        <f>'AEO Data'!$B$33*AM35</f>
        <v>35.264306738627596</v>
      </c>
      <c r="BC35" s="733">
        <f t="shared" ref="BC35:BP35" si="128">($BQ35-$BB35)/15+BB35</f>
        <v>35.284852563435471</v>
      </c>
      <c r="BD35" s="733">
        <f t="shared" si="128"/>
        <v>35.305398388243347</v>
      </c>
      <c r="BE35" s="733">
        <f t="shared" si="128"/>
        <v>35.325944213051223</v>
      </c>
      <c r="BF35" s="733">
        <f t="shared" si="128"/>
        <v>35.346490037859098</v>
      </c>
      <c r="BG35" s="733">
        <f t="shared" si="128"/>
        <v>35.367035862666974</v>
      </c>
      <c r="BH35" s="733">
        <f t="shared" si="128"/>
        <v>35.387581687474849</v>
      </c>
      <c r="BI35" s="733">
        <f t="shared" si="128"/>
        <v>35.408127512282725</v>
      </c>
      <c r="BJ35" s="733">
        <f t="shared" si="128"/>
        <v>35.428673337090601</v>
      </c>
      <c r="BK35" s="733">
        <f t="shared" si="128"/>
        <v>35.449219161898476</v>
      </c>
      <c r="BL35" s="733">
        <f t="shared" si="128"/>
        <v>35.469764986706352</v>
      </c>
      <c r="BM35" s="733">
        <f t="shared" si="128"/>
        <v>35.490310811514227</v>
      </c>
      <c r="BN35" s="733">
        <f t="shared" si="128"/>
        <v>35.510856636322103</v>
      </c>
      <c r="BO35" s="733">
        <f t="shared" si="128"/>
        <v>35.531402461129979</v>
      </c>
      <c r="BP35" s="733">
        <f t="shared" si="128"/>
        <v>35.551948285937854</v>
      </c>
      <c r="BQ35" s="811">
        <f>'AEO Data'!$C$33*BB35</f>
        <v>35.572494110745708</v>
      </c>
      <c r="BR35" s="733">
        <f t="shared" si="120"/>
        <v>35.548541364057677</v>
      </c>
      <c r="BS35" s="733">
        <f t="shared" si="120"/>
        <v>35.524588617369645</v>
      </c>
      <c r="BT35" s="733">
        <f t="shared" si="120"/>
        <v>35.500635870681613</v>
      </c>
      <c r="BU35" s="733">
        <f t="shared" si="120"/>
        <v>35.476683123993581</v>
      </c>
      <c r="BV35" s="812">
        <f>'AEO Data'!$D$33*BQ35</f>
        <v>35.452730377305556</v>
      </c>
      <c r="BW35" s="1074">
        <f>+BV35*BW$141/BV$141</f>
        <v>35.437120406443277</v>
      </c>
      <c r="BX35" s="1074">
        <f t="shared" ref="BX35:CZ35" si="129">+BW35*BX$141/BW$141</f>
        <v>35.42151730871003</v>
      </c>
      <c r="BY35" s="1074">
        <f t="shared" si="129"/>
        <v>35.405921081079541</v>
      </c>
      <c r="BZ35" s="1074">
        <f t="shared" si="129"/>
        <v>35.390331720526888</v>
      </c>
      <c r="CA35" s="1074">
        <f t="shared" si="129"/>
        <v>35.37474922402847</v>
      </c>
      <c r="CB35" s="1074">
        <f t="shared" si="129"/>
        <v>35.346414602332743</v>
      </c>
      <c r="CC35" s="1074">
        <f t="shared" si="129"/>
        <v>35.318102676226502</v>
      </c>
      <c r="CD35" s="1074">
        <f t="shared" si="129"/>
        <v>35.289813427530937</v>
      </c>
      <c r="CE35" s="1074">
        <f t="shared" si="129"/>
        <v>35.261546838081799</v>
      </c>
      <c r="CF35" s="1074">
        <f t="shared" si="129"/>
        <v>35.23330288972938</v>
      </c>
      <c r="CG35" s="1074">
        <f t="shared" si="129"/>
        <v>35.194395268068625</v>
      </c>
      <c r="CH35" s="1074">
        <f t="shared" si="129"/>
        <v>35.155530611526075</v>
      </c>
      <c r="CI35" s="1074">
        <f t="shared" si="129"/>
        <v>35.11670887265597</v>
      </c>
      <c r="CJ35" s="1074">
        <f t="shared" si="129"/>
        <v>35.077930004064953</v>
      </c>
      <c r="CK35" s="1074">
        <f t="shared" si="129"/>
        <v>35.039193958412007</v>
      </c>
      <c r="CL35" s="1074">
        <f t="shared" si="129"/>
        <v>34.996962201921704</v>
      </c>
      <c r="CM35" s="1074">
        <f t="shared" si="129"/>
        <v>34.954781346181527</v>
      </c>
      <c r="CN35" s="1074">
        <f t="shared" si="129"/>
        <v>34.912651329842227</v>
      </c>
      <c r="CO35" s="1074">
        <f t="shared" si="129"/>
        <v>34.870572091628503</v>
      </c>
      <c r="CP35" s="1074">
        <f t="shared" si="129"/>
        <v>34.828543570338908</v>
      </c>
      <c r="CQ35" s="1074">
        <f t="shared" si="129"/>
        <v>34.779863568050295</v>
      </c>
      <c r="CR35" s="1074">
        <f t="shared" si="129"/>
        <v>34.731251606006261</v>
      </c>
      <c r="CS35" s="1074">
        <f t="shared" si="129"/>
        <v>34.682707589106663</v>
      </c>
      <c r="CT35" s="1074">
        <f t="shared" si="129"/>
        <v>34.634231422384289</v>
      </c>
      <c r="CU35" s="1074">
        <f t="shared" si="129"/>
        <v>34.585823011004663</v>
      </c>
      <c r="CV35" s="1074">
        <f t="shared" si="129"/>
        <v>34.538567783278886</v>
      </c>
      <c r="CW35" s="1074">
        <f t="shared" si="129"/>
        <v>34.491377121214782</v>
      </c>
      <c r="CX35" s="1074">
        <f t="shared" si="129"/>
        <v>34.444250936595139</v>
      </c>
      <c r="CY35" s="1074">
        <f t="shared" si="129"/>
        <v>34.397189141323274</v>
      </c>
      <c r="CZ35" s="1074">
        <f t="shared" si="129"/>
        <v>34.350191647422875</v>
      </c>
    </row>
    <row r="36" spans="1:106" ht="13.8" thickTop="1" x14ac:dyDescent="0.25">
      <c r="A36" s="730"/>
      <c r="B36" s="254"/>
      <c r="C36" s="727"/>
      <c r="D36" s="1022"/>
      <c r="E36" s="727"/>
      <c r="F36" s="254"/>
      <c r="G36" s="254"/>
      <c r="H36" s="254"/>
      <c r="I36" s="254"/>
      <c r="J36" s="254"/>
      <c r="K36" s="254"/>
      <c r="L36" s="254"/>
      <c r="M36" s="254"/>
      <c r="N36" s="254"/>
      <c r="O36" s="254"/>
      <c r="P36" s="254"/>
      <c r="Q36" s="254"/>
      <c r="R36" s="254"/>
      <c r="S36" s="254"/>
      <c r="T36" s="254"/>
      <c r="U36" s="254"/>
      <c r="V36" s="254"/>
      <c r="W36" s="254"/>
      <c r="X36" s="254"/>
      <c r="Y36" s="254"/>
      <c r="Z36" s="254"/>
      <c r="AA36" s="254"/>
      <c r="AB36" s="254"/>
      <c r="AC36" s="254"/>
      <c r="AD36" s="254"/>
      <c r="AE36" s="254"/>
      <c r="AF36" s="254"/>
      <c r="AG36" s="254"/>
      <c r="AH36" s="254"/>
      <c r="AI36" s="254"/>
      <c r="AJ36" s="254"/>
      <c r="AK36" s="254"/>
      <c r="AL36" s="254"/>
      <c r="AM36" s="254"/>
      <c r="AN36" s="254"/>
      <c r="AO36" s="254"/>
      <c r="AP36" s="254"/>
      <c r="AQ36" s="254"/>
      <c r="AR36" s="254"/>
      <c r="AS36" s="254"/>
      <c r="AT36" s="254"/>
      <c r="AU36" s="254"/>
      <c r="AV36" s="254"/>
      <c r="AW36" s="254"/>
      <c r="AX36" s="254"/>
      <c r="AY36" s="254"/>
      <c r="AZ36" s="254"/>
      <c r="BA36" s="254"/>
      <c r="BB36" s="254"/>
      <c r="BC36" s="254"/>
      <c r="BD36" s="254"/>
      <c r="BE36" s="254"/>
      <c r="BF36" s="254"/>
      <c r="BG36" s="254"/>
      <c r="BH36" s="254"/>
      <c r="BI36" s="254"/>
      <c r="BJ36" s="254"/>
      <c r="BK36" s="254"/>
      <c r="BL36" s="254"/>
      <c r="BM36" s="254"/>
      <c r="BN36" s="254"/>
      <c r="BO36" s="254"/>
      <c r="BP36" s="254"/>
      <c r="BQ36" s="254"/>
      <c r="BR36" s="254"/>
      <c r="BS36" s="254"/>
      <c r="BT36" s="254"/>
      <c r="BU36" s="254"/>
      <c r="BV36" s="254"/>
      <c r="BW36" s="254"/>
      <c r="BX36" s="254"/>
      <c r="BY36" s="254"/>
      <c r="BZ36" s="254"/>
      <c r="CA36" s="254"/>
      <c r="CB36" s="254"/>
      <c r="CC36" s="254"/>
      <c r="CD36" s="254"/>
      <c r="CE36" s="254"/>
      <c r="CF36" s="254"/>
      <c r="CG36" s="254"/>
      <c r="CH36" s="254"/>
      <c r="CI36" s="254"/>
      <c r="CJ36" s="254"/>
      <c r="CK36" s="254"/>
      <c r="CL36" s="254"/>
      <c r="CM36" s="254"/>
      <c r="CN36" s="254"/>
      <c r="CO36" s="254"/>
      <c r="CP36" s="254"/>
      <c r="CQ36" s="254"/>
      <c r="CR36" s="254"/>
      <c r="CS36" s="254"/>
      <c r="CT36" s="254"/>
      <c r="CU36" s="254"/>
      <c r="CV36" s="254"/>
      <c r="CW36" s="254"/>
      <c r="CX36" s="254"/>
      <c r="CY36" s="254"/>
      <c r="CZ36" s="254"/>
      <c r="DA36" s="254"/>
      <c r="DB36" s="254"/>
    </row>
    <row r="37" spans="1:106" x14ac:dyDescent="0.25">
      <c r="A37" s="730"/>
      <c r="B37" s="254"/>
      <c r="C37" s="727"/>
      <c r="D37" s="1023"/>
      <c r="E37" s="727"/>
      <c r="F37" s="254"/>
      <c r="G37" s="254"/>
      <c r="H37" s="254"/>
      <c r="I37" s="254"/>
      <c r="J37" s="254"/>
      <c r="K37" s="254"/>
      <c r="L37" s="254"/>
      <c r="M37" s="254"/>
      <c r="N37" s="254"/>
      <c r="O37" s="254"/>
      <c r="P37" s="254"/>
      <c r="Q37" s="254"/>
      <c r="R37" s="254"/>
      <c r="S37" s="254"/>
      <c r="T37" s="254"/>
      <c r="U37" s="254"/>
      <c r="V37" s="254"/>
      <c r="W37" s="254"/>
      <c r="X37" s="254"/>
      <c r="Y37" s="254"/>
      <c r="Z37" s="254"/>
      <c r="AA37" s="254"/>
      <c r="AB37" s="254"/>
      <c r="AC37" s="254"/>
      <c r="AD37" s="254"/>
      <c r="AE37" s="254"/>
      <c r="AF37" s="254"/>
      <c r="AG37" s="254"/>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4"/>
      <c r="BH37" s="254"/>
      <c r="BI37" s="254"/>
      <c r="BJ37" s="254"/>
      <c r="BK37" s="254"/>
      <c r="BL37" s="254"/>
      <c r="BM37" s="254"/>
      <c r="BN37" s="254"/>
      <c r="BO37" s="254"/>
      <c r="BP37" s="254"/>
      <c r="BQ37" s="254"/>
      <c r="BR37" s="254"/>
      <c r="BS37" s="254"/>
      <c r="BT37" s="254"/>
      <c r="BU37" s="254"/>
      <c r="BV37" s="254"/>
    </row>
    <row r="38" spans="1:106" ht="13.8" thickBot="1" x14ac:dyDescent="0.3">
      <c r="A38" s="817"/>
      <c r="B38" s="254"/>
      <c r="C38" s="727"/>
      <c r="D38" s="1023"/>
      <c r="E38" s="727"/>
      <c r="F38" s="254"/>
      <c r="G38" s="254"/>
      <c r="H38" s="254"/>
      <c r="I38" s="254"/>
      <c r="J38" s="254"/>
      <c r="K38" s="254"/>
      <c r="L38" s="254"/>
      <c r="M38" s="254"/>
      <c r="N38" s="254"/>
      <c r="O38" s="254"/>
      <c r="P38" s="254"/>
      <c r="Q38" s="254"/>
      <c r="R38" s="254"/>
      <c r="S38" s="254"/>
      <c r="T38" s="254"/>
      <c r="U38" s="254"/>
      <c r="V38" s="254"/>
      <c r="W38" s="254"/>
      <c r="X38" s="254"/>
      <c r="Y38" s="254"/>
      <c r="Z38" s="254"/>
      <c r="AA38" s="254"/>
      <c r="AB38" s="254"/>
      <c r="AC38" s="254"/>
      <c r="AD38" s="254"/>
      <c r="AE38" s="254"/>
      <c r="AF38" s="254"/>
      <c r="AG38" s="254"/>
      <c r="AH38" s="254"/>
      <c r="AI38" s="254"/>
      <c r="AJ38" s="254"/>
      <c r="AK38" s="254"/>
      <c r="AL38" s="254"/>
      <c r="AM38" s="254"/>
      <c r="AN38" s="254"/>
      <c r="AO38" s="254"/>
      <c r="AP38" s="254"/>
      <c r="AQ38" s="254"/>
      <c r="AR38" s="254"/>
      <c r="AS38" s="254"/>
      <c r="AT38" s="254"/>
      <c r="AU38" s="254"/>
      <c r="AV38" s="254"/>
      <c r="AW38" s="254"/>
      <c r="AX38" s="254"/>
      <c r="AY38" s="254"/>
      <c r="AZ38" s="254"/>
      <c r="BA38" s="254"/>
      <c r="BB38" s="254"/>
      <c r="BC38" s="254"/>
      <c r="BD38" s="254"/>
      <c r="BE38" s="254"/>
      <c r="BF38" s="254"/>
      <c r="BG38" s="254"/>
      <c r="BH38" s="254"/>
      <c r="BI38" s="254"/>
      <c r="BJ38" s="254"/>
      <c r="BK38" s="254"/>
      <c r="BL38" s="254"/>
      <c r="BM38" s="254"/>
      <c r="BN38" s="254"/>
      <c r="BO38" s="254"/>
      <c r="BP38" s="254"/>
      <c r="BQ38" s="254"/>
      <c r="BR38" s="254"/>
      <c r="BS38" s="254"/>
      <c r="BT38" s="254"/>
      <c r="BU38" s="254"/>
      <c r="BV38" s="254"/>
    </row>
    <row r="39" spans="1:106" s="838" customFormat="1" x14ac:dyDescent="0.25">
      <c r="A39" s="834" t="s">
        <v>1079</v>
      </c>
      <c r="B39" s="835"/>
      <c r="C39" s="836"/>
      <c r="D39" s="1024"/>
      <c r="E39" s="836"/>
      <c r="F39" s="835"/>
      <c r="G39" s="835"/>
      <c r="H39" s="835"/>
      <c r="I39" s="835"/>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5"/>
      <c r="BN39" s="835"/>
      <c r="BO39" s="835"/>
      <c r="BP39" s="835"/>
      <c r="BQ39" s="835"/>
      <c r="BR39" s="835"/>
      <c r="BS39" s="835"/>
      <c r="BT39" s="835"/>
      <c r="BU39" s="835"/>
      <c r="BV39" s="837"/>
    </row>
    <row r="40" spans="1:106" s="838" customFormat="1" x14ac:dyDescent="0.25">
      <c r="A40" s="839" t="s">
        <v>1080</v>
      </c>
      <c r="B40" s="840"/>
      <c r="C40" s="841"/>
      <c r="D40" s="1025"/>
      <c r="E40" s="841"/>
      <c r="F40" s="840"/>
      <c r="G40" s="840"/>
      <c r="H40" s="840"/>
      <c r="I40" s="840"/>
      <c r="J40" s="840"/>
      <c r="K40" s="840"/>
      <c r="L40" s="840"/>
      <c r="M40" s="840"/>
      <c r="N40" s="840"/>
      <c r="O40" s="840"/>
      <c r="P40" s="840"/>
      <c r="Q40" s="840"/>
      <c r="R40" s="840"/>
      <c r="S40" s="840"/>
      <c r="T40" s="840"/>
      <c r="U40" s="840"/>
      <c r="V40" s="840"/>
      <c r="W40" s="840"/>
      <c r="X40" s="840"/>
      <c r="Y40" s="840"/>
      <c r="Z40" s="840"/>
      <c r="AA40" s="840"/>
      <c r="AB40" s="840"/>
      <c r="AC40" s="840"/>
      <c r="AD40" s="840"/>
      <c r="AE40" s="840"/>
      <c r="AF40" s="840"/>
      <c r="AG40" s="840"/>
      <c r="AH40" s="840"/>
      <c r="AI40" s="840"/>
      <c r="AJ40" s="840"/>
      <c r="AK40" s="840"/>
      <c r="AL40" s="840"/>
      <c r="AM40" s="840"/>
      <c r="AN40" s="840"/>
      <c r="AO40" s="840"/>
      <c r="AP40" s="840"/>
      <c r="AQ40" s="840"/>
      <c r="AR40" s="840"/>
      <c r="AS40" s="840"/>
      <c r="AT40" s="840"/>
      <c r="AU40" s="840"/>
      <c r="AV40" s="840"/>
      <c r="AW40" s="840"/>
      <c r="AX40" s="840"/>
      <c r="AY40" s="840"/>
      <c r="AZ40" s="840"/>
      <c r="BA40" s="840"/>
      <c r="BB40" s="840"/>
      <c r="BC40" s="840"/>
      <c r="BD40" s="840"/>
      <c r="BE40" s="840"/>
      <c r="BF40" s="840"/>
      <c r="BG40" s="840"/>
      <c r="BH40" s="840"/>
      <c r="BI40" s="840"/>
      <c r="BJ40" s="840"/>
      <c r="BK40" s="840"/>
      <c r="BL40" s="840"/>
      <c r="BM40" s="840"/>
      <c r="BN40" s="840"/>
      <c r="BO40" s="840"/>
      <c r="BP40" s="840"/>
      <c r="BQ40" s="840"/>
      <c r="BR40" s="840"/>
      <c r="BS40" s="840"/>
      <c r="BT40" s="840"/>
      <c r="BU40" s="840"/>
      <c r="BV40" s="842"/>
    </row>
    <row r="41" spans="1:106" s="838" customFormat="1" x14ac:dyDescent="0.25">
      <c r="A41" s="843"/>
      <c r="B41" s="840"/>
      <c r="C41" s="841"/>
      <c r="D41" s="1025"/>
      <c r="E41" s="841"/>
      <c r="F41" s="840"/>
      <c r="G41" s="840"/>
      <c r="H41" s="840"/>
      <c r="I41" s="840"/>
      <c r="J41" s="840"/>
      <c r="K41" s="840"/>
      <c r="L41" s="840"/>
      <c r="M41" s="840"/>
      <c r="N41" s="840"/>
      <c r="O41" s="840"/>
      <c r="P41" s="840"/>
      <c r="Q41" s="840"/>
      <c r="R41" s="840"/>
      <c r="S41" s="840"/>
      <c r="T41" s="840"/>
      <c r="U41" s="840"/>
      <c r="V41" s="840"/>
      <c r="W41" s="840"/>
      <c r="X41" s="840"/>
      <c r="Y41" s="840"/>
      <c r="Z41" s="840"/>
      <c r="AA41" s="840"/>
      <c r="AB41" s="840"/>
      <c r="AC41" s="840"/>
      <c r="AD41" s="840"/>
      <c r="AE41" s="840"/>
      <c r="AF41" s="840"/>
      <c r="AG41" s="840"/>
      <c r="AH41" s="840"/>
      <c r="AI41" s="840"/>
      <c r="AJ41" s="840"/>
      <c r="AK41" s="840"/>
      <c r="AL41" s="840"/>
      <c r="AM41" s="840"/>
      <c r="AN41" s="840"/>
      <c r="AO41" s="840"/>
      <c r="AP41" s="840"/>
      <c r="AQ41" s="840"/>
      <c r="AR41" s="840"/>
      <c r="AS41" s="840"/>
      <c r="AT41" s="840"/>
      <c r="AU41" s="840"/>
      <c r="AV41" s="840"/>
      <c r="AW41" s="840"/>
      <c r="AX41" s="840"/>
      <c r="AY41" s="840"/>
      <c r="AZ41" s="840"/>
      <c r="BA41" s="840"/>
      <c r="BB41" s="840"/>
      <c r="BC41" s="840"/>
      <c r="BD41" s="840"/>
      <c r="BE41" s="840"/>
      <c r="BF41" s="840"/>
      <c r="BG41" s="840"/>
      <c r="BH41" s="840"/>
      <c r="BI41" s="840"/>
      <c r="BJ41" s="840"/>
      <c r="BK41" s="840"/>
      <c r="BL41" s="840"/>
      <c r="BM41" s="840"/>
      <c r="BN41" s="840"/>
      <c r="BO41" s="840"/>
      <c r="BP41" s="840"/>
      <c r="BQ41" s="840"/>
      <c r="BR41" s="840"/>
      <c r="BS41" s="840"/>
      <c r="BT41" s="840"/>
      <c r="BU41" s="840"/>
      <c r="BV41" s="842"/>
    </row>
    <row r="42" spans="1:106" s="838" customFormat="1" x14ac:dyDescent="0.25">
      <c r="A42" s="843" t="s">
        <v>666</v>
      </c>
      <c r="B42" s="840"/>
      <c r="C42" s="841"/>
      <c r="D42" s="1025"/>
      <c r="E42" s="841"/>
      <c r="F42" s="840"/>
      <c r="G42" s="840"/>
      <c r="H42" s="840"/>
      <c r="I42" s="840"/>
      <c r="J42" s="840"/>
      <c r="K42" s="840"/>
      <c r="L42" s="840"/>
      <c r="M42" s="840"/>
      <c r="N42" s="844">
        <v>11.359373</v>
      </c>
      <c r="O42" s="844">
        <v>10.802343</v>
      </c>
      <c r="P42" s="844">
        <v>10.464380999999999</v>
      </c>
      <c r="Q42" s="844">
        <v>10.477905</v>
      </c>
      <c r="R42" s="844">
        <v>10.253485</v>
      </c>
      <c r="S42" s="844">
        <v>10.156079999999999</v>
      </c>
      <c r="T42" s="844">
        <v>10.662777999999999</v>
      </c>
      <c r="U42" s="844">
        <v>10.990506</v>
      </c>
      <c r="V42" s="844">
        <v>11.397518</v>
      </c>
      <c r="W42" s="844">
        <v>11.624905</v>
      </c>
      <c r="X42" s="844">
        <v>11.776242999999999</v>
      </c>
      <c r="Y42" s="844">
        <v>11.960003</v>
      </c>
      <c r="Z42" s="844">
        <v>12.203179</v>
      </c>
      <c r="AA42" s="844">
        <v>12.432268000000001</v>
      </c>
      <c r="AB42" s="844">
        <v>12.584531</v>
      </c>
      <c r="AC42" s="844">
        <v>12.674325</v>
      </c>
      <c r="AD42" s="844">
        <v>12.841908</v>
      </c>
      <c r="AE42" s="844">
        <v>12.933384999999999</v>
      </c>
      <c r="AF42" s="844">
        <v>13.085578999999999</v>
      </c>
      <c r="AG42" s="844">
        <v>13.234385</v>
      </c>
      <c r="AH42" s="844">
        <v>13.368997999999999</v>
      </c>
      <c r="AI42" s="844">
        <v>13.547089</v>
      </c>
      <c r="AJ42" s="844">
        <v>13.721807</v>
      </c>
      <c r="AK42" s="844">
        <v>13.935895</v>
      </c>
      <c r="AL42" s="844">
        <v>14.248931000000001</v>
      </c>
      <c r="AM42" s="844">
        <v>14.598827</v>
      </c>
      <c r="AN42" s="844">
        <v>15.023702999999999</v>
      </c>
      <c r="AO42" s="844">
        <v>15.415895000000001</v>
      </c>
      <c r="AP42" s="844">
        <v>15.842275000000001</v>
      </c>
      <c r="AQ42" s="844">
        <v>16.055761</v>
      </c>
      <c r="AR42" s="844">
        <v>16.363073</v>
      </c>
      <c r="AS42" s="840"/>
      <c r="AT42" s="840"/>
      <c r="AU42" s="840"/>
      <c r="AV42" s="840"/>
      <c r="AW42" s="840"/>
      <c r="AX42" s="840"/>
      <c r="AY42" s="840"/>
      <c r="AZ42" s="840"/>
      <c r="BA42" s="840"/>
      <c r="BB42" s="840"/>
      <c r="BC42" s="840"/>
      <c r="BD42" s="840"/>
      <c r="BE42" s="840"/>
      <c r="BF42" s="840"/>
      <c r="BG42" s="840"/>
      <c r="BH42" s="840"/>
      <c r="BI42" s="840"/>
      <c r="BJ42" s="840"/>
      <c r="BK42" s="840"/>
      <c r="BL42" s="840"/>
      <c r="BM42" s="840"/>
      <c r="BN42" s="840"/>
      <c r="BO42" s="840"/>
      <c r="BP42" s="840"/>
      <c r="BQ42" s="840"/>
      <c r="BR42" s="840"/>
      <c r="BS42" s="840"/>
      <c r="BT42" s="840"/>
      <c r="BU42" s="840"/>
      <c r="BV42" s="842"/>
    </row>
    <row r="43" spans="1:106" s="838" customFormat="1" x14ac:dyDescent="0.25">
      <c r="A43" s="843" t="s">
        <v>1058</v>
      </c>
      <c r="B43" s="840"/>
      <c r="C43" s="841"/>
      <c r="D43" s="1025"/>
      <c r="E43" s="841"/>
      <c r="F43" s="840"/>
      <c r="G43" s="840"/>
      <c r="H43" s="840"/>
      <c r="I43" s="840"/>
      <c r="J43" s="840"/>
      <c r="K43" s="840"/>
      <c r="L43" s="840"/>
      <c r="M43" s="840"/>
      <c r="N43" s="844">
        <v>9.3969749999999994</v>
      </c>
      <c r="O43" s="844">
        <v>8.8368610000000007</v>
      </c>
      <c r="P43" s="844">
        <v>8.0727960000000003</v>
      </c>
      <c r="Q43" s="844">
        <v>8.4627339999999993</v>
      </c>
      <c r="R43" s="844">
        <v>8.2352620000000005</v>
      </c>
      <c r="S43" s="844">
        <v>8.1043620000000001</v>
      </c>
      <c r="T43" s="844">
        <v>8.5610389999999992</v>
      </c>
      <c r="U43" s="844">
        <v>8.8247909999999994</v>
      </c>
      <c r="V43" s="844">
        <v>9.1722800000000007</v>
      </c>
      <c r="W43" s="844">
        <v>9.3508150000000008</v>
      </c>
      <c r="X43" s="844">
        <v>9.4680210000000002</v>
      </c>
      <c r="Y43" s="844">
        <v>9.6109419999999997</v>
      </c>
      <c r="Z43" s="844">
        <v>9.8191819999999996</v>
      </c>
      <c r="AA43" s="844">
        <v>10.011597999999999</v>
      </c>
      <c r="AB43" s="844">
        <v>10.133018</v>
      </c>
      <c r="AC43" s="844">
        <v>10.193654</v>
      </c>
      <c r="AD43" s="844">
        <v>10.33554</v>
      </c>
      <c r="AE43" s="844">
        <v>10.388019</v>
      </c>
      <c r="AF43" s="844">
        <v>10.500005</v>
      </c>
      <c r="AG43" s="844">
        <v>10.605323</v>
      </c>
      <c r="AH43" s="844">
        <v>10.697221000000001</v>
      </c>
      <c r="AI43" s="844">
        <v>10.832411</v>
      </c>
      <c r="AJ43" s="844">
        <v>10.954602</v>
      </c>
      <c r="AK43" s="844">
        <v>11.11848</v>
      </c>
      <c r="AL43" s="844">
        <v>11.383407</v>
      </c>
      <c r="AM43" s="844">
        <v>11.681657</v>
      </c>
      <c r="AN43" s="844">
        <v>12.061093</v>
      </c>
      <c r="AO43" s="844">
        <v>12.401303</v>
      </c>
      <c r="AP43" s="844">
        <v>12.781521</v>
      </c>
      <c r="AQ43" s="844">
        <v>12.948893999999999</v>
      </c>
      <c r="AR43" s="844">
        <v>13.212922000000001</v>
      </c>
      <c r="AS43" s="840"/>
      <c r="AT43" s="840"/>
      <c r="AU43" s="840"/>
      <c r="AV43" s="840"/>
      <c r="AW43" s="840"/>
      <c r="AX43" s="840"/>
      <c r="AY43" s="840"/>
      <c r="AZ43" s="840"/>
      <c r="BA43" s="840"/>
      <c r="BB43" s="840"/>
      <c r="BC43" s="840"/>
      <c r="BD43" s="840"/>
      <c r="BE43" s="840"/>
      <c r="BF43" s="840"/>
      <c r="BG43" s="840"/>
      <c r="BH43" s="840"/>
      <c r="BI43" s="840"/>
      <c r="BJ43" s="840"/>
      <c r="BK43" s="840"/>
      <c r="BL43" s="840"/>
      <c r="BM43" s="840"/>
      <c r="BN43" s="840"/>
      <c r="BO43" s="840"/>
      <c r="BP43" s="840"/>
      <c r="BQ43" s="840"/>
      <c r="BR43" s="840"/>
      <c r="BS43" s="840"/>
      <c r="BT43" s="840"/>
      <c r="BU43" s="840"/>
      <c r="BV43" s="842"/>
    </row>
    <row r="44" spans="1:106" s="838" customFormat="1" x14ac:dyDescent="0.25">
      <c r="A44" s="843" t="s">
        <v>280</v>
      </c>
      <c r="B44" s="840"/>
      <c r="C44" s="841"/>
      <c r="D44" s="1025"/>
      <c r="E44" s="841"/>
      <c r="F44" s="840"/>
      <c r="G44" s="840"/>
      <c r="H44" s="840"/>
      <c r="I44" s="840"/>
      <c r="J44" s="840"/>
      <c r="K44" s="840"/>
      <c r="L44" s="840"/>
      <c r="M44" s="840"/>
      <c r="N44" s="844">
        <v>5.4839599999999997</v>
      </c>
      <c r="O44" s="844">
        <v>4.8898130000000002</v>
      </c>
      <c r="P44" s="844">
        <v>3.7596859999999999</v>
      </c>
      <c r="Q44" s="844">
        <v>4.3339879999999997</v>
      </c>
      <c r="R44" s="844">
        <v>4.3750520000000002</v>
      </c>
      <c r="S44" s="844">
        <v>4.4225349999999999</v>
      </c>
      <c r="T44" s="844">
        <v>4.8660360000000003</v>
      </c>
      <c r="U44" s="844">
        <v>5.0679410000000003</v>
      </c>
      <c r="V44" s="844">
        <v>5.3212570000000001</v>
      </c>
      <c r="W44" s="844">
        <v>5.4497980000000004</v>
      </c>
      <c r="X44" s="844">
        <v>5.5294119999999998</v>
      </c>
      <c r="Y44" s="844">
        <v>5.6406840000000003</v>
      </c>
      <c r="Z44" s="844">
        <v>5.8277749999999999</v>
      </c>
      <c r="AA44" s="844">
        <v>6.0107049999999997</v>
      </c>
      <c r="AB44" s="844">
        <v>6.1100089999999998</v>
      </c>
      <c r="AC44" s="844">
        <v>6.1511990000000001</v>
      </c>
      <c r="AD44" s="844">
        <v>6.2557600000000004</v>
      </c>
      <c r="AE44" s="844">
        <v>6.2949159999999997</v>
      </c>
      <c r="AF44" s="844">
        <v>6.396782</v>
      </c>
      <c r="AG44" s="844">
        <v>6.4862520000000004</v>
      </c>
      <c r="AH44" s="844">
        <v>6.561483</v>
      </c>
      <c r="AI44" s="844">
        <v>6.6766310000000004</v>
      </c>
      <c r="AJ44" s="844">
        <v>6.771134</v>
      </c>
      <c r="AK44" s="844">
        <v>6.9159920000000001</v>
      </c>
      <c r="AL44" s="844">
        <v>7.1687539999999998</v>
      </c>
      <c r="AM44" s="844">
        <v>7.4454149999999997</v>
      </c>
      <c r="AN44" s="844">
        <v>7.813205</v>
      </c>
      <c r="AO44" s="844">
        <v>8.1536600000000004</v>
      </c>
      <c r="AP44" s="844">
        <v>8.4989190000000008</v>
      </c>
      <c r="AQ44" s="844">
        <v>8.6393810000000002</v>
      </c>
      <c r="AR44" s="844">
        <v>8.8810929999999999</v>
      </c>
      <c r="AS44" s="840"/>
      <c r="AT44" s="840"/>
      <c r="AU44" s="840"/>
      <c r="AV44" s="840"/>
      <c r="AW44" s="840"/>
      <c r="AX44" s="840"/>
      <c r="AY44" s="840"/>
      <c r="AZ44" s="840"/>
      <c r="BA44" s="840"/>
      <c r="BB44" s="840"/>
      <c r="BC44" s="840"/>
      <c r="BD44" s="840"/>
      <c r="BE44" s="840"/>
      <c r="BF44" s="840"/>
      <c r="BG44" s="840"/>
      <c r="BH44" s="840"/>
      <c r="BI44" s="840"/>
      <c r="BJ44" s="840"/>
      <c r="BK44" s="840"/>
      <c r="BL44" s="840"/>
      <c r="BM44" s="840"/>
      <c r="BN44" s="840"/>
      <c r="BO44" s="840"/>
      <c r="BP44" s="840"/>
      <c r="BQ44" s="840"/>
      <c r="BR44" s="840"/>
      <c r="BS44" s="840"/>
      <c r="BT44" s="840"/>
      <c r="BU44" s="840"/>
      <c r="BV44" s="842"/>
    </row>
    <row r="45" spans="1:106" s="838" customFormat="1" x14ac:dyDescent="0.25">
      <c r="A45" s="845" t="str">
        <f>'HyARC Physical Property Data'!$A$74</f>
        <v>Electric Utility Natural Gas</v>
      </c>
      <c r="B45" s="840"/>
      <c r="C45" s="841"/>
      <c r="D45" s="1025"/>
      <c r="E45" s="841"/>
      <c r="F45" s="840"/>
      <c r="G45" s="840"/>
      <c r="H45" s="840"/>
      <c r="I45" s="840"/>
      <c r="J45" s="840"/>
      <c r="K45" s="840"/>
      <c r="L45" s="840"/>
      <c r="M45" s="840"/>
      <c r="N45" s="844">
        <v>5.258165</v>
      </c>
      <c r="O45" s="844">
        <v>4.7747140000000003</v>
      </c>
      <c r="P45" s="844">
        <v>3.3217560000000002</v>
      </c>
      <c r="Q45" s="844">
        <v>3.7155300000000002</v>
      </c>
      <c r="R45" s="844">
        <v>3.758219</v>
      </c>
      <c r="S45" s="844">
        <v>3.8420709999999998</v>
      </c>
      <c r="T45" s="844">
        <v>4.2826180000000003</v>
      </c>
      <c r="U45" s="844">
        <v>4.4486730000000003</v>
      </c>
      <c r="V45" s="844">
        <v>4.7026110000000001</v>
      </c>
      <c r="W45" s="844">
        <v>4.8222319999999996</v>
      </c>
      <c r="X45" s="844">
        <v>4.8967590000000003</v>
      </c>
      <c r="Y45" s="844">
        <v>5.0074189999999996</v>
      </c>
      <c r="Z45" s="844">
        <v>5.20235</v>
      </c>
      <c r="AA45" s="844">
        <v>5.388776</v>
      </c>
      <c r="AB45" s="844">
        <v>5.5179349999999996</v>
      </c>
      <c r="AC45" s="844">
        <v>5.5779610000000002</v>
      </c>
      <c r="AD45" s="844">
        <v>5.7088080000000003</v>
      </c>
      <c r="AE45" s="844">
        <v>5.7607720000000002</v>
      </c>
      <c r="AF45" s="844">
        <v>5.8668440000000004</v>
      </c>
      <c r="AG45" s="844">
        <v>5.9650189999999998</v>
      </c>
      <c r="AH45" s="844">
        <v>6.0528500000000003</v>
      </c>
      <c r="AI45" s="844">
        <v>6.1836820000000001</v>
      </c>
      <c r="AJ45" s="844">
        <v>6.2931780000000002</v>
      </c>
      <c r="AK45" s="844">
        <v>6.4458729999999997</v>
      </c>
      <c r="AL45" s="844">
        <v>6.6983480000000002</v>
      </c>
      <c r="AM45" s="844">
        <v>6.9804459999999997</v>
      </c>
      <c r="AN45" s="844">
        <v>7.345173</v>
      </c>
      <c r="AO45" s="844">
        <v>7.6749489999999998</v>
      </c>
      <c r="AP45" s="844">
        <v>8.0219799999999992</v>
      </c>
      <c r="AQ45" s="844">
        <v>8.1549879999999995</v>
      </c>
      <c r="AR45" s="844">
        <v>8.3777830000000009</v>
      </c>
      <c r="AS45" s="840"/>
      <c r="AT45" s="840"/>
      <c r="AU45" s="840"/>
      <c r="AV45" s="840"/>
      <c r="AW45" s="840"/>
      <c r="AX45" s="840"/>
      <c r="AY45" s="840"/>
      <c r="AZ45" s="840"/>
      <c r="BA45" s="840"/>
      <c r="BB45" s="840"/>
      <c r="BC45" s="840"/>
      <c r="BD45" s="840"/>
      <c r="BE45" s="840"/>
      <c r="BF45" s="840"/>
      <c r="BG45" s="840"/>
      <c r="BH45" s="840"/>
      <c r="BI45" s="840"/>
      <c r="BJ45" s="840"/>
      <c r="BK45" s="840"/>
      <c r="BL45" s="840"/>
      <c r="BM45" s="840"/>
      <c r="BN45" s="840"/>
      <c r="BO45" s="840"/>
      <c r="BP45" s="840"/>
      <c r="BQ45" s="840"/>
      <c r="BR45" s="840"/>
      <c r="BS45" s="840"/>
      <c r="BT45" s="840"/>
      <c r="BU45" s="840"/>
      <c r="BV45" s="842"/>
    </row>
    <row r="46" spans="1:106" s="838" customFormat="1" x14ac:dyDescent="0.25">
      <c r="A46" s="843" t="str">
        <f>'HyARC Physical Property Data'!$A$85</f>
        <v>Woody Biomass</v>
      </c>
      <c r="B46" s="840"/>
      <c r="C46" s="841"/>
      <c r="D46" s="1025"/>
      <c r="E46" s="841"/>
      <c r="F46" s="840"/>
      <c r="G46" s="840"/>
      <c r="H46" s="840"/>
      <c r="I46" s="840"/>
      <c r="J46" s="840"/>
      <c r="K46" s="840"/>
      <c r="L46" s="840"/>
      <c r="M46" s="840"/>
      <c r="N46" s="844"/>
      <c r="O46" s="844"/>
      <c r="P46" s="844"/>
      <c r="Q46" s="844"/>
      <c r="R46" s="844"/>
      <c r="S46" s="844"/>
      <c r="T46" s="844"/>
      <c r="U46" s="844"/>
      <c r="V46" s="844"/>
      <c r="W46" s="844"/>
      <c r="X46" s="844"/>
      <c r="Y46" s="844"/>
      <c r="Z46" s="844"/>
      <c r="AA46" s="844"/>
      <c r="AB46" s="844"/>
      <c r="AC46" s="844"/>
      <c r="AD46" s="844"/>
      <c r="AE46" s="844"/>
      <c r="AF46" s="844"/>
      <c r="AG46" s="844"/>
      <c r="AH46" s="844"/>
      <c r="AI46" s="844"/>
      <c r="AJ46" s="844"/>
      <c r="AK46" s="844"/>
      <c r="AL46" s="844"/>
      <c r="AM46" s="844"/>
      <c r="AN46" s="844"/>
      <c r="AO46" s="844"/>
      <c r="AP46" s="844"/>
      <c r="AQ46" s="844"/>
      <c r="AR46" s="844"/>
      <c r="AS46" s="840"/>
      <c r="AT46" s="840"/>
      <c r="AU46" s="840"/>
      <c r="AV46" s="840"/>
      <c r="AW46" s="840"/>
      <c r="AX46" s="840"/>
      <c r="AY46" s="840"/>
      <c r="AZ46" s="840"/>
      <c r="BA46" s="840"/>
      <c r="BB46" s="840"/>
      <c r="BC46" s="840"/>
      <c r="BD46" s="840"/>
      <c r="BE46" s="840"/>
      <c r="BF46" s="840"/>
      <c r="BG46" s="840"/>
      <c r="BH46" s="840"/>
      <c r="BI46" s="840"/>
      <c r="BJ46" s="840"/>
      <c r="BK46" s="840"/>
      <c r="BL46" s="840"/>
      <c r="BM46" s="840"/>
      <c r="BN46" s="840"/>
      <c r="BO46" s="840"/>
      <c r="BP46" s="840"/>
      <c r="BQ46" s="840"/>
      <c r="BR46" s="840"/>
      <c r="BS46" s="840"/>
      <c r="BT46" s="840"/>
      <c r="BU46" s="840"/>
      <c r="BV46" s="842"/>
    </row>
    <row r="47" spans="1:106" s="838" customFormat="1" x14ac:dyDescent="0.25">
      <c r="A47" s="843" t="s">
        <v>1081</v>
      </c>
      <c r="B47" s="840"/>
      <c r="C47" s="841"/>
      <c r="D47" s="1025"/>
      <c r="E47" s="841"/>
      <c r="F47" s="840"/>
      <c r="G47" s="840"/>
      <c r="H47" s="840"/>
      <c r="I47" s="840"/>
      <c r="J47" s="840"/>
      <c r="K47" s="840"/>
      <c r="L47" s="840"/>
      <c r="M47" s="840"/>
      <c r="N47" s="844">
        <v>13.6</v>
      </c>
      <c r="O47" s="844">
        <v>13.6</v>
      </c>
      <c r="P47" s="844">
        <v>13.6</v>
      </c>
      <c r="Q47" s="844">
        <v>13.6</v>
      </c>
      <c r="R47" s="844">
        <v>13.6</v>
      </c>
      <c r="S47" s="844">
        <v>13.6</v>
      </c>
      <c r="T47" s="844">
        <v>13.6</v>
      </c>
      <c r="U47" s="844">
        <v>14.11</v>
      </c>
      <c r="V47" s="844">
        <v>14.11</v>
      </c>
      <c r="W47" s="844">
        <v>14.11</v>
      </c>
      <c r="X47" s="844">
        <v>14.11</v>
      </c>
      <c r="Y47" s="844">
        <v>14.11</v>
      </c>
      <c r="Z47" s="844">
        <v>14.11</v>
      </c>
      <c r="AA47" s="844">
        <v>14.11</v>
      </c>
      <c r="AB47" s="844">
        <v>14.11</v>
      </c>
      <c r="AC47" s="844">
        <v>14.11</v>
      </c>
      <c r="AD47" s="844">
        <v>14.11</v>
      </c>
      <c r="AE47" s="844">
        <v>14.11</v>
      </c>
      <c r="AF47" s="844">
        <v>14.11</v>
      </c>
      <c r="AG47" s="844">
        <v>14.11</v>
      </c>
      <c r="AH47" s="844">
        <v>14.11</v>
      </c>
      <c r="AI47" s="844">
        <v>14.11</v>
      </c>
      <c r="AJ47" s="844">
        <v>14.11</v>
      </c>
      <c r="AK47" s="844">
        <v>14.11</v>
      </c>
      <c r="AL47" s="844">
        <v>14.11</v>
      </c>
      <c r="AM47" s="844">
        <v>14.11</v>
      </c>
      <c r="AN47" s="844">
        <v>14.11</v>
      </c>
      <c r="AO47" s="844">
        <v>14.11</v>
      </c>
      <c r="AP47" s="844">
        <v>14.11</v>
      </c>
      <c r="AQ47" s="844">
        <v>14.11</v>
      </c>
      <c r="AR47" s="844">
        <v>14.11</v>
      </c>
      <c r="AS47" s="844">
        <v>14.11</v>
      </c>
      <c r="AT47" s="844">
        <v>14.11</v>
      </c>
      <c r="AU47" s="844">
        <v>14.11</v>
      </c>
      <c r="AV47" s="844">
        <v>14.11</v>
      </c>
      <c r="AW47" s="844">
        <v>14.11</v>
      </c>
      <c r="AX47" s="844">
        <v>14.11</v>
      </c>
      <c r="AY47" s="844">
        <v>14.11</v>
      </c>
      <c r="AZ47" s="844">
        <v>14.11</v>
      </c>
      <c r="BA47" s="844">
        <v>14.11</v>
      </c>
      <c r="BB47" s="844">
        <v>14.11</v>
      </c>
      <c r="BC47" s="844">
        <v>14.11</v>
      </c>
      <c r="BD47" s="844">
        <v>14.11</v>
      </c>
      <c r="BE47" s="844">
        <v>14.11</v>
      </c>
      <c r="BF47" s="844">
        <v>14.11</v>
      </c>
      <c r="BG47" s="844">
        <v>14.11</v>
      </c>
      <c r="BH47" s="844">
        <v>14.11</v>
      </c>
      <c r="BI47" s="844">
        <v>14.11</v>
      </c>
      <c r="BJ47" s="844">
        <v>14.11</v>
      </c>
      <c r="BK47" s="844">
        <v>14.11</v>
      </c>
      <c r="BL47" s="844">
        <v>14.11</v>
      </c>
      <c r="BM47" s="844">
        <v>14.11</v>
      </c>
      <c r="BN47" s="844">
        <v>14.11</v>
      </c>
      <c r="BO47" s="844">
        <v>14.11</v>
      </c>
      <c r="BP47" s="844">
        <v>14.11</v>
      </c>
      <c r="BQ47" s="844">
        <v>14.11</v>
      </c>
      <c r="BR47" s="844">
        <v>14.11</v>
      </c>
      <c r="BS47" s="844">
        <v>14.11</v>
      </c>
      <c r="BT47" s="844">
        <v>14.11</v>
      </c>
      <c r="BU47" s="844">
        <v>14.11</v>
      </c>
      <c r="BV47" s="846">
        <v>14.11</v>
      </c>
    </row>
    <row r="48" spans="1:106" s="838" customFormat="1" x14ac:dyDescent="0.25">
      <c r="A48" s="843" t="s">
        <v>308</v>
      </c>
      <c r="B48" s="840"/>
      <c r="C48" s="841"/>
      <c r="D48" s="1025"/>
      <c r="E48" s="841"/>
      <c r="F48" s="840"/>
      <c r="G48" s="840"/>
      <c r="H48" s="840"/>
      <c r="I48" s="840"/>
      <c r="J48" s="840"/>
      <c r="K48" s="840"/>
      <c r="L48" s="840"/>
      <c r="M48" s="840"/>
      <c r="N48" s="844">
        <v>23.6</v>
      </c>
      <c r="O48" s="844">
        <v>23.6</v>
      </c>
      <c r="P48" s="844">
        <v>23.6</v>
      </c>
      <c r="Q48" s="844">
        <v>23.6</v>
      </c>
      <c r="R48" s="844">
        <v>23.6</v>
      </c>
      <c r="S48" s="844">
        <v>23.6</v>
      </c>
      <c r="T48" s="844">
        <v>23.6</v>
      </c>
      <c r="U48" s="844">
        <v>23.6</v>
      </c>
      <c r="V48" s="844">
        <v>23.6</v>
      </c>
      <c r="W48" s="844">
        <v>23.6</v>
      </c>
      <c r="X48" s="844">
        <v>23.6</v>
      </c>
      <c r="Y48" s="844">
        <v>23.6</v>
      </c>
      <c r="Z48" s="844">
        <v>23.6</v>
      </c>
      <c r="AA48" s="844">
        <v>23.6</v>
      </c>
      <c r="AB48" s="844">
        <v>23.6</v>
      </c>
      <c r="AC48" s="844">
        <v>23.6</v>
      </c>
      <c r="AD48" s="844">
        <v>23.6</v>
      </c>
      <c r="AE48" s="844">
        <v>23.6</v>
      </c>
      <c r="AF48" s="844">
        <v>23.6</v>
      </c>
      <c r="AG48" s="844">
        <v>23.6</v>
      </c>
      <c r="AH48" s="844">
        <v>23.6</v>
      </c>
      <c r="AI48" s="844">
        <v>23.6</v>
      </c>
      <c r="AJ48" s="844">
        <v>23.6</v>
      </c>
      <c r="AK48" s="844">
        <v>23.6</v>
      </c>
      <c r="AL48" s="844">
        <v>23.6</v>
      </c>
      <c r="AM48" s="844">
        <v>23.6</v>
      </c>
      <c r="AN48" s="844">
        <v>23.6</v>
      </c>
      <c r="AO48" s="844">
        <v>23.6</v>
      </c>
      <c r="AP48" s="844">
        <v>23.6</v>
      </c>
      <c r="AQ48" s="844">
        <v>23.6</v>
      </c>
      <c r="AR48" s="844">
        <v>23.6</v>
      </c>
      <c r="AS48" s="844">
        <v>23.6</v>
      </c>
      <c r="AT48" s="844">
        <v>23.6</v>
      </c>
      <c r="AU48" s="844">
        <v>23.6</v>
      </c>
      <c r="AV48" s="844">
        <v>23.6</v>
      </c>
      <c r="AW48" s="844">
        <v>23.6</v>
      </c>
      <c r="AX48" s="844">
        <v>23.6</v>
      </c>
      <c r="AY48" s="844">
        <v>23.6</v>
      </c>
      <c r="AZ48" s="844">
        <v>23.6</v>
      </c>
      <c r="BA48" s="844">
        <v>23.6</v>
      </c>
      <c r="BB48" s="844">
        <v>23.6</v>
      </c>
      <c r="BC48" s="844">
        <v>23.6</v>
      </c>
      <c r="BD48" s="844">
        <v>23.6</v>
      </c>
      <c r="BE48" s="844">
        <v>23.6</v>
      </c>
      <c r="BF48" s="844">
        <v>23.6</v>
      </c>
      <c r="BG48" s="844">
        <v>23.6</v>
      </c>
      <c r="BH48" s="844">
        <v>23.6</v>
      </c>
      <c r="BI48" s="844">
        <v>23.6</v>
      </c>
      <c r="BJ48" s="844">
        <v>23.6</v>
      </c>
      <c r="BK48" s="844">
        <v>23.6</v>
      </c>
      <c r="BL48" s="844">
        <v>23.6</v>
      </c>
      <c r="BM48" s="844">
        <v>23.6</v>
      </c>
      <c r="BN48" s="844">
        <v>23.6</v>
      </c>
      <c r="BO48" s="844">
        <v>23.6</v>
      </c>
      <c r="BP48" s="844">
        <v>23.6</v>
      </c>
      <c r="BQ48" s="844">
        <v>23.6</v>
      </c>
      <c r="BR48" s="844">
        <v>23.6</v>
      </c>
      <c r="BS48" s="844">
        <v>23.6</v>
      </c>
      <c r="BT48" s="844">
        <v>23.6</v>
      </c>
      <c r="BU48" s="844">
        <v>23.6</v>
      </c>
      <c r="BV48" s="846">
        <v>23.6</v>
      </c>
    </row>
    <row r="49" spans="1:104" s="838" customFormat="1" x14ac:dyDescent="0.25">
      <c r="A49" s="845" t="s">
        <v>1082</v>
      </c>
      <c r="B49" s="840"/>
      <c r="C49" s="841"/>
      <c r="D49" s="1025"/>
      <c r="E49" s="841"/>
      <c r="F49" s="840"/>
      <c r="G49" s="840"/>
      <c r="H49" s="840"/>
      <c r="I49" s="840"/>
      <c r="J49" s="840"/>
      <c r="K49" s="840"/>
      <c r="L49" s="840"/>
      <c r="M49" s="840"/>
      <c r="N49" s="844">
        <v>25.561684</v>
      </c>
      <c r="O49" s="844">
        <v>25.303816000000001</v>
      </c>
      <c r="P49" s="844">
        <v>33.642014000000003</v>
      </c>
      <c r="Q49" s="844">
        <v>31.120284999999999</v>
      </c>
      <c r="R49" s="844">
        <v>24.805427999999999</v>
      </c>
      <c r="S49" s="844">
        <v>24.941547</v>
      </c>
      <c r="T49" s="844">
        <v>24.510408000000002</v>
      </c>
      <c r="U49" s="844">
        <v>24.773121</v>
      </c>
      <c r="V49" s="844">
        <v>25.840997999999999</v>
      </c>
      <c r="W49" s="844">
        <v>26.808551999999999</v>
      </c>
      <c r="X49" s="844">
        <v>29.644617</v>
      </c>
      <c r="Y49" s="844">
        <v>29.383793000000001</v>
      </c>
      <c r="Z49" s="844">
        <v>28.224442</v>
      </c>
      <c r="AA49" s="844">
        <v>28.253482999999999</v>
      </c>
      <c r="AB49" s="844">
        <v>27.145426</v>
      </c>
      <c r="AC49" s="844">
        <v>27.272445999999999</v>
      </c>
      <c r="AD49" s="844">
        <v>27.519344</v>
      </c>
      <c r="AE49" s="844">
        <v>26.363682000000001</v>
      </c>
      <c r="AF49" s="844">
        <v>26.241467</v>
      </c>
      <c r="AG49" s="844">
        <v>26.599018000000001</v>
      </c>
      <c r="AH49" s="844">
        <v>26.941008</v>
      </c>
      <c r="AI49" s="844">
        <v>27.294556</v>
      </c>
      <c r="AJ49" s="844">
        <v>27.667862</v>
      </c>
      <c r="AK49" s="844">
        <v>28.194492</v>
      </c>
      <c r="AL49" s="844">
        <v>28.632065000000001</v>
      </c>
      <c r="AM49" s="844">
        <v>29.186733</v>
      </c>
      <c r="AN49" s="844">
        <v>29.790071000000001</v>
      </c>
      <c r="AO49" s="844">
        <v>30.397635000000001</v>
      </c>
      <c r="AP49" s="844">
        <v>30.990224999999999</v>
      </c>
      <c r="AQ49" s="844">
        <v>31.671036000000001</v>
      </c>
      <c r="AR49" s="844">
        <v>30.576360999999999</v>
      </c>
      <c r="AS49" s="840"/>
      <c r="AT49" s="840"/>
      <c r="AU49" s="840"/>
      <c r="AV49" s="840"/>
      <c r="AW49" s="840"/>
      <c r="AX49" s="840"/>
      <c r="AY49" s="840"/>
      <c r="AZ49" s="840"/>
      <c r="BA49" s="840"/>
      <c r="BB49" s="840"/>
      <c r="BC49" s="840"/>
      <c r="BD49" s="840"/>
      <c r="BE49" s="840"/>
      <c r="BF49" s="840"/>
      <c r="BG49" s="840"/>
      <c r="BH49" s="840"/>
      <c r="BI49" s="840"/>
      <c r="BJ49" s="840"/>
      <c r="BK49" s="840"/>
      <c r="BL49" s="840"/>
      <c r="BM49" s="840"/>
      <c r="BN49" s="840"/>
      <c r="BO49" s="840"/>
      <c r="BP49" s="840"/>
      <c r="BQ49" s="840"/>
      <c r="BR49" s="840"/>
      <c r="BS49" s="840"/>
      <c r="BT49" s="840"/>
      <c r="BU49" s="840"/>
      <c r="BV49" s="842"/>
    </row>
    <row r="50" spans="1:104" s="838" customFormat="1" x14ac:dyDescent="0.25">
      <c r="A50" s="843" t="s">
        <v>1060</v>
      </c>
      <c r="B50" s="840"/>
      <c r="C50" s="841"/>
      <c r="D50" s="1025"/>
      <c r="E50" s="841"/>
      <c r="F50" s="840"/>
      <c r="G50" s="840"/>
      <c r="H50" s="840"/>
      <c r="I50" s="840"/>
      <c r="J50" s="840"/>
      <c r="K50" s="840"/>
      <c r="L50" s="840"/>
      <c r="M50" s="840"/>
      <c r="N50" s="844">
        <v>2.2979889999999998</v>
      </c>
      <c r="O50" s="844">
        <v>2.38</v>
      </c>
      <c r="P50" s="844">
        <v>2.4052739999999999</v>
      </c>
      <c r="Q50" s="844">
        <v>2.3369110000000002</v>
      </c>
      <c r="R50" s="844">
        <v>2.3950149999999999</v>
      </c>
      <c r="S50" s="844">
        <v>2.3961070000000002</v>
      </c>
      <c r="T50" s="844">
        <v>2.4583050000000002</v>
      </c>
      <c r="U50" s="844">
        <v>2.472283</v>
      </c>
      <c r="V50" s="844">
        <v>2.4802620000000002</v>
      </c>
      <c r="W50" s="844">
        <v>2.4838239999999998</v>
      </c>
      <c r="X50" s="844">
        <v>2.516057</v>
      </c>
      <c r="Y50" s="844">
        <v>2.5464560000000001</v>
      </c>
      <c r="Z50" s="844">
        <v>2.591459</v>
      </c>
      <c r="AA50" s="844">
        <v>2.6280779999999999</v>
      </c>
      <c r="AB50" s="844">
        <v>2.6593969999999998</v>
      </c>
      <c r="AC50" s="844">
        <v>2.691643</v>
      </c>
      <c r="AD50" s="844">
        <v>2.7285810000000001</v>
      </c>
      <c r="AE50" s="844">
        <v>2.7618779999999998</v>
      </c>
      <c r="AF50" s="844">
        <v>2.7919909999999999</v>
      </c>
      <c r="AG50" s="844">
        <v>2.8282630000000002</v>
      </c>
      <c r="AH50" s="844">
        <v>2.8670900000000001</v>
      </c>
      <c r="AI50" s="844">
        <v>2.8969999999999998</v>
      </c>
      <c r="AJ50" s="844">
        <v>2.9238430000000002</v>
      </c>
      <c r="AK50" s="844">
        <v>2.954224</v>
      </c>
      <c r="AL50" s="844">
        <v>2.98759</v>
      </c>
      <c r="AM50" s="844">
        <v>3.030205</v>
      </c>
      <c r="AN50" s="844">
        <v>3.0670109999999999</v>
      </c>
      <c r="AO50" s="844">
        <v>3.1012659999999999</v>
      </c>
      <c r="AP50" s="844">
        <v>3.134995</v>
      </c>
      <c r="AQ50" s="844">
        <v>3.169994</v>
      </c>
      <c r="AR50" s="844">
        <v>3.2015440000000002</v>
      </c>
      <c r="AS50" s="840"/>
      <c r="AT50" s="840"/>
      <c r="AU50" s="840"/>
      <c r="AV50" s="840"/>
      <c r="AW50" s="840"/>
      <c r="AX50" s="840"/>
      <c r="AY50" s="840"/>
      <c r="AZ50" s="840"/>
      <c r="BA50" s="840"/>
      <c r="BB50" s="840"/>
      <c r="BC50" s="840"/>
      <c r="BD50" s="840"/>
      <c r="BE50" s="840"/>
      <c r="BF50" s="840"/>
      <c r="BG50" s="840"/>
      <c r="BH50" s="840"/>
      <c r="BI50" s="840"/>
      <c r="BJ50" s="840"/>
      <c r="BK50" s="840"/>
      <c r="BL50" s="840"/>
      <c r="BM50" s="840"/>
      <c r="BN50" s="840"/>
      <c r="BO50" s="840"/>
      <c r="BP50" s="840"/>
      <c r="BQ50" s="840"/>
      <c r="BR50" s="840"/>
      <c r="BS50" s="840"/>
      <c r="BT50" s="840"/>
      <c r="BU50" s="840"/>
      <c r="BV50" s="842"/>
    </row>
    <row r="51" spans="1:104" s="838" customFormat="1" x14ac:dyDescent="0.25">
      <c r="A51" s="843" t="s">
        <v>668</v>
      </c>
      <c r="B51" s="840"/>
      <c r="C51" s="841"/>
      <c r="D51" s="1025"/>
      <c r="E51" s="841"/>
      <c r="F51" s="840"/>
      <c r="G51" s="840"/>
      <c r="H51" s="840"/>
      <c r="I51" s="840"/>
      <c r="J51" s="840"/>
      <c r="K51" s="840"/>
      <c r="L51" s="840"/>
      <c r="M51" s="840"/>
      <c r="N51" s="844">
        <v>30.492578999999999</v>
      </c>
      <c r="O51" s="844">
        <v>29.980651999999999</v>
      </c>
      <c r="P51" s="844">
        <v>28.463469</v>
      </c>
      <c r="Q51" s="844">
        <v>27.770492999999998</v>
      </c>
      <c r="R51" s="844">
        <v>27.844252000000001</v>
      </c>
      <c r="S51" s="844">
        <v>27.733993999999999</v>
      </c>
      <c r="T51" s="844">
        <v>28.230274000000001</v>
      </c>
      <c r="U51" s="844">
        <v>28.517765000000001</v>
      </c>
      <c r="V51" s="844">
        <v>28.644997</v>
      </c>
      <c r="W51" s="844">
        <v>28.576813000000001</v>
      </c>
      <c r="X51" s="844">
        <v>28.566559000000002</v>
      </c>
      <c r="Y51" s="844">
        <v>28.675744999999999</v>
      </c>
      <c r="Z51" s="844">
        <v>28.66461</v>
      </c>
      <c r="AA51" s="844">
        <v>28.628443000000001</v>
      </c>
      <c r="AB51" s="844">
        <v>28.632759</v>
      </c>
      <c r="AC51" s="844">
        <v>28.485842000000002</v>
      </c>
      <c r="AD51" s="844">
        <v>28.378672000000002</v>
      </c>
      <c r="AE51" s="844">
        <v>28.369689999999999</v>
      </c>
      <c r="AF51" s="844">
        <v>28.482963999999999</v>
      </c>
      <c r="AG51" s="844">
        <v>28.577332999999999</v>
      </c>
      <c r="AH51" s="844">
        <v>28.652301999999999</v>
      </c>
      <c r="AI51" s="844">
        <v>28.781072999999999</v>
      </c>
      <c r="AJ51" s="844">
        <v>28.912566999999999</v>
      </c>
      <c r="AK51" s="844">
        <v>29.081726</v>
      </c>
      <c r="AL51" s="844">
        <v>29.271111999999999</v>
      </c>
      <c r="AM51" s="844">
        <v>29.658476</v>
      </c>
      <c r="AN51" s="844">
        <v>30.101704000000002</v>
      </c>
      <c r="AO51" s="844">
        <v>30.503069</v>
      </c>
      <c r="AP51" s="844">
        <v>30.944068999999999</v>
      </c>
      <c r="AQ51" s="844">
        <v>31.476562000000001</v>
      </c>
      <c r="AR51" s="844">
        <v>31.747146999999998</v>
      </c>
      <c r="AS51" s="840"/>
      <c r="AT51" s="840"/>
      <c r="AU51" s="840"/>
      <c r="AV51" s="840"/>
      <c r="AW51" s="840"/>
      <c r="AX51" s="840"/>
      <c r="AY51" s="840"/>
      <c r="AZ51" s="840"/>
      <c r="BA51" s="840"/>
      <c r="BB51" s="840"/>
      <c r="BC51" s="840"/>
      <c r="BD51" s="840"/>
      <c r="BE51" s="840"/>
      <c r="BF51" s="840"/>
      <c r="BG51" s="840"/>
      <c r="BH51" s="840"/>
      <c r="BI51" s="840"/>
      <c r="BJ51" s="840"/>
      <c r="BK51" s="840"/>
      <c r="BL51" s="840"/>
      <c r="BM51" s="840"/>
      <c r="BN51" s="840"/>
      <c r="BO51" s="840"/>
      <c r="BP51" s="840"/>
      <c r="BQ51" s="840"/>
      <c r="BR51" s="840"/>
      <c r="BS51" s="840"/>
      <c r="BT51" s="840"/>
      <c r="BU51" s="840"/>
      <c r="BV51" s="842"/>
    </row>
    <row r="52" spans="1:104" s="838" customFormat="1" x14ac:dyDescent="0.25">
      <c r="A52" s="843" t="s">
        <v>683</v>
      </c>
      <c r="B52" s="840"/>
      <c r="C52" s="841"/>
      <c r="D52" s="1025"/>
      <c r="E52" s="841"/>
      <c r="F52" s="840"/>
      <c r="G52" s="840"/>
      <c r="H52" s="840"/>
      <c r="I52" s="840"/>
      <c r="J52" s="840"/>
      <c r="K52" s="840"/>
      <c r="L52" s="840"/>
      <c r="M52" s="840"/>
      <c r="N52" s="844">
        <v>20.260442999999999</v>
      </c>
      <c r="O52" s="844">
        <v>19.975739999999998</v>
      </c>
      <c r="P52" s="844">
        <v>18.436015999999999</v>
      </c>
      <c r="Q52" s="844">
        <v>18.142965</v>
      </c>
      <c r="R52" s="844">
        <v>18.046112000000001</v>
      </c>
      <c r="S52" s="844">
        <v>17.884491000000001</v>
      </c>
      <c r="T52" s="844">
        <v>18.368113000000001</v>
      </c>
      <c r="U52" s="844">
        <v>18.636278000000001</v>
      </c>
      <c r="V52" s="844">
        <v>18.783104000000002</v>
      </c>
      <c r="W52" s="844">
        <v>18.727132999999998</v>
      </c>
      <c r="X52" s="844">
        <v>18.720291</v>
      </c>
      <c r="Y52" s="844">
        <v>18.854441000000001</v>
      </c>
      <c r="Z52" s="844">
        <v>18.961594000000002</v>
      </c>
      <c r="AA52" s="844">
        <v>19.089853000000002</v>
      </c>
      <c r="AB52" s="844">
        <v>19.158766</v>
      </c>
      <c r="AC52" s="844">
        <v>19.181961000000001</v>
      </c>
      <c r="AD52" s="844">
        <v>19.274345</v>
      </c>
      <c r="AE52" s="844">
        <v>19.362473000000001</v>
      </c>
      <c r="AF52" s="844">
        <v>19.467001</v>
      </c>
      <c r="AG52" s="844">
        <v>19.610374</v>
      </c>
      <c r="AH52" s="844">
        <v>19.726358000000001</v>
      </c>
      <c r="AI52" s="844">
        <v>19.866886000000001</v>
      </c>
      <c r="AJ52" s="844">
        <v>20.029399999999999</v>
      </c>
      <c r="AK52" s="844">
        <v>20.204810999999999</v>
      </c>
      <c r="AL52" s="844">
        <v>20.42868</v>
      </c>
      <c r="AM52" s="844">
        <v>20.795019</v>
      </c>
      <c r="AN52" s="844">
        <v>21.263971000000002</v>
      </c>
      <c r="AO52" s="844">
        <v>21.670811</v>
      </c>
      <c r="AP52" s="844">
        <v>22.067454999999999</v>
      </c>
      <c r="AQ52" s="844">
        <v>22.488647</v>
      </c>
      <c r="AR52" s="844">
        <v>22.744430999999999</v>
      </c>
      <c r="AS52" s="840"/>
      <c r="AT52" s="840"/>
      <c r="AU52" s="840"/>
      <c r="AV52" s="840"/>
      <c r="AW52" s="840"/>
      <c r="AX52" s="840"/>
      <c r="AY52" s="840"/>
      <c r="AZ52" s="840"/>
      <c r="BA52" s="840"/>
      <c r="BB52" s="840"/>
      <c r="BC52" s="840"/>
      <c r="BD52" s="840"/>
      <c r="BE52" s="840"/>
      <c r="BF52" s="840"/>
      <c r="BG52" s="840"/>
      <c r="BH52" s="840"/>
      <c r="BI52" s="840"/>
      <c r="BJ52" s="840"/>
      <c r="BK52" s="840"/>
      <c r="BL52" s="840"/>
      <c r="BM52" s="840"/>
      <c r="BN52" s="840"/>
      <c r="BO52" s="840"/>
      <c r="BP52" s="840"/>
      <c r="BQ52" s="840"/>
      <c r="BR52" s="840"/>
      <c r="BS52" s="840"/>
      <c r="BT52" s="840"/>
      <c r="BU52" s="840"/>
      <c r="BV52" s="842"/>
    </row>
    <row r="53" spans="1:104" s="838" customFormat="1" ht="13.8" thickBot="1" x14ac:dyDescent="0.3">
      <c r="A53" s="847" t="s">
        <v>669</v>
      </c>
      <c r="B53" s="848"/>
      <c r="C53" s="849"/>
      <c r="D53" s="1026"/>
      <c r="E53" s="849"/>
      <c r="F53" s="848"/>
      <c r="G53" s="848"/>
      <c r="H53" s="848"/>
      <c r="I53" s="848"/>
      <c r="J53" s="848"/>
      <c r="K53" s="848"/>
      <c r="L53" s="848"/>
      <c r="M53" s="848"/>
      <c r="N53" s="850">
        <v>34.522823000000002</v>
      </c>
      <c r="O53" s="850">
        <v>34.335875999999999</v>
      </c>
      <c r="P53" s="850">
        <v>33.266716000000002</v>
      </c>
      <c r="Q53" s="850">
        <v>32.549408</v>
      </c>
      <c r="R53" s="850">
        <v>33.007488000000002</v>
      </c>
      <c r="S53" s="850">
        <v>33.062362999999998</v>
      </c>
      <c r="T53" s="850">
        <v>33.578304000000003</v>
      </c>
      <c r="U53" s="850">
        <v>33.826259999999998</v>
      </c>
      <c r="V53" s="850">
        <v>33.834632999999997</v>
      </c>
      <c r="W53" s="850">
        <v>33.642589999999998</v>
      </c>
      <c r="X53" s="850">
        <v>33.615443999999997</v>
      </c>
      <c r="Y53" s="850">
        <v>33.658813000000002</v>
      </c>
      <c r="Z53" s="850">
        <v>33.691249999999997</v>
      </c>
      <c r="AA53" s="850">
        <v>33.703487000000003</v>
      </c>
      <c r="AB53" s="850">
        <v>33.839970000000001</v>
      </c>
      <c r="AC53" s="850">
        <v>33.959377000000003</v>
      </c>
      <c r="AD53" s="850">
        <v>34.126075999999998</v>
      </c>
      <c r="AE53" s="850">
        <v>34.265704999999997</v>
      </c>
      <c r="AF53" s="850">
        <v>34.413651000000002</v>
      </c>
      <c r="AG53" s="850">
        <v>34.510967000000001</v>
      </c>
      <c r="AH53" s="850">
        <v>34.561591999999997</v>
      </c>
      <c r="AI53" s="850">
        <v>34.686400999999996</v>
      </c>
      <c r="AJ53" s="850">
        <v>34.807406999999998</v>
      </c>
      <c r="AK53" s="850">
        <v>34.923721</v>
      </c>
      <c r="AL53" s="850">
        <v>35.082526999999999</v>
      </c>
      <c r="AM53" s="850">
        <v>35.421287999999997</v>
      </c>
      <c r="AN53" s="850">
        <v>35.835976000000002</v>
      </c>
      <c r="AO53" s="850">
        <v>36.175975999999999</v>
      </c>
      <c r="AP53" s="850">
        <v>36.502800000000001</v>
      </c>
      <c r="AQ53" s="850">
        <v>36.906086000000002</v>
      </c>
      <c r="AR53" s="850">
        <v>37.098595000000003</v>
      </c>
      <c r="AS53" s="848"/>
      <c r="AT53" s="848"/>
      <c r="AU53" s="848"/>
      <c r="AV53" s="848"/>
      <c r="AW53" s="848"/>
      <c r="AX53" s="848"/>
      <c r="AY53" s="848"/>
      <c r="AZ53" s="848"/>
      <c r="BA53" s="848"/>
      <c r="BB53" s="848"/>
      <c r="BC53" s="848"/>
      <c r="BD53" s="848"/>
      <c r="BE53" s="848"/>
      <c r="BF53" s="848"/>
      <c r="BG53" s="848"/>
      <c r="BH53" s="848"/>
      <c r="BI53" s="848"/>
      <c r="BJ53" s="848"/>
      <c r="BK53" s="848"/>
      <c r="BL53" s="848"/>
      <c r="BM53" s="848"/>
      <c r="BN53" s="848"/>
      <c r="BO53" s="848"/>
      <c r="BP53" s="848"/>
      <c r="BQ53" s="848"/>
      <c r="BR53" s="848"/>
      <c r="BS53" s="848"/>
      <c r="BT53" s="848"/>
      <c r="BU53" s="848"/>
      <c r="BV53" s="851"/>
    </row>
    <row r="54" spans="1:104" x14ac:dyDescent="0.25">
      <c r="A54" s="730"/>
      <c r="B54" s="254"/>
      <c r="C54" s="727"/>
      <c r="D54" s="1023"/>
      <c r="E54" s="727"/>
      <c r="F54" s="254"/>
      <c r="G54" s="254"/>
      <c r="H54" s="254"/>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O54" s="254"/>
      <c r="AP54" s="254"/>
      <c r="AQ54" s="254"/>
      <c r="AR54" s="254"/>
      <c r="AS54" s="254"/>
      <c r="AT54" s="254"/>
      <c r="AU54" s="254"/>
      <c r="AV54" s="254"/>
      <c r="AW54" s="254"/>
      <c r="AX54" s="254"/>
      <c r="AY54" s="254"/>
      <c r="AZ54" s="254"/>
      <c r="BA54" s="254"/>
      <c r="BB54" s="254"/>
      <c r="BC54" s="254"/>
      <c r="BD54" s="254"/>
      <c r="BE54" s="254"/>
      <c r="BF54" s="254"/>
      <c r="BG54" s="254"/>
      <c r="BH54" s="254"/>
      <c r="BI54" s="254"/>
      <c r="BJ54" s="254"/>
      <c r="BK54" s="254"/>
      <c r="BL54" s="254"/>
      <c r="BM54" s="254"/>
      <c r="BN54" s="254"/>
      <c r="BO54" s="254"/>
      <c r="BP54" s="254"/>
      <c r="BQ54" s="254"/>
      <c r="BR54" s="254"/>
      <c r="BS54" s="254"/>
      <c r="BT54" s="254"/>
      <c r="BU54" s="254"/>
      <c r="BV54" s="729"/>
    </row>
    <row r="55" spans="1:104" ht="13.8" thickBot="1" x14ac:dyDescent="0.3">
      <c r="A55" s="730"/>
      <c r="B55" s="254"/>
      <c r="C55" s="727"/>
      <c r="D55" s="1023"/>
      <c r="E55" s="734"/>
      <c r="F55" s="733"/>
      <c r="G55" s="254"/>
      <c r="H55" s="254"/>
      <c r="I55" s="254"/>
      <c r="J55" s="254"/>
      <c r="K55" s="254"/>
      <c r="L55" s="254"/>
      <c r="M55" s="254"/>
      <c r="N55" s="254"/>
      <c r="O55" s="254"/>
      <c r="P55" s="254"/>
      <c r="Q55" s="254"/>
      <c r="R55" s="254"/>
      <c r="S55" s="254"/>
      <c r="T55" s="254"/>
      <c r="U55" s="254"/>
      <c r="V55" s="254"/>
      <c r="W55" s="254"/>
      <c r="X55" s="254"/>
      <c r="Y55" s="254"/>
      <c r="Z55" s="254"/>
      <c r="AA55" s="254"/>
      <c r="AB55" s="254"/>
      <c r="AC55" s="254"/>
      <c r="AD55" s="254"/>
      <c r="AE55" s="254"/>
      <c r="AF55" s="254"/>
      <c r="AG55" s="254"/>
      <c r="AH55" s="254"/>
      <c r="AI55" s="254"/>
      <c r="AJ55" s="254"/>
      <c r="AK55" s="254"/>
      <c r="AL55" s="254"/>
      <c r="AM55" s="254"/>
      <c r="AN55" s="254"/>
      <c r="AO55" s="254"/>
      <c r="AP55" s="254"/>
      <c r="AQ55" s="254"/>
      <c r="AR55" s="254"/>
      <c r="AS55" s="254"/>
      <c r="AT55" s="254"/>
      <c r="AU55" s="254"/>
      <c r="AV55" s="254"/>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c r="BT55" s="254"/>
      <c r="BU55" s="254"/>
      <c r="BV55" s="729"/>
    </row>
    <row r="56" spans="1:104" ht="13.8" thickTop="1" x14ac:dyDescent="0.25">
      <c r="A56" s="720" t="s">
        <v>1077</v>
      </c>
      <c r="B56" s="721" t="str">
        <f>"Prices are in $(" &amp; ref_year&amp;")/GJ LHV"</f>
        <v>Prices are in $(2016)/GJ LHV</v>
      </c>
      <c r="C56" s="721"/>
      <c r="D56" s="1027"/>
      <c r="E56" s="721"/>
      <c r="F56" s="722"/>
      <c r="G56" s="722"/>
      <c r="H56" s="722"/>
      <c r="I56" s="722"/>
      <c r="J56" s="722"/>
      <c r="K56" s="722"/>
      <c r="L56" s="722"/>
      <c r="M56" s="722"/>
      <c r="N56" s="722"/>
      <c r="O56" s="722"/>
      <c r="P56" s="722"/>
      <c r="Q56" s="722"/>
      <c r="R56" s="722"/>
      <c r="S56" s="722"/>
      <c r="T56" s="722"/>
      <c r="U56" s="722"/>
      <c r="V56" s="722"/>
      <c r="W56" s="722"/>
      <c r="X56" s="722"/>
      <c r="Y56" s="722"/>
      <c r="Z56" s="722"/>
      <c r="AA56" s="722"/>
      <c r="AB56" s="722"/>
      <c r="AC56" s="722"/>
      <c r="AD56" s="722"/>
      <c r="AE56" s="722"/>
      <c r="AF56" s="722"/>
      <c r="AG56" s="722"/>
      <c r="AH56" s="722"/>
      <c r="AI56" s="722"/>
      <c r="AJ56" s="722"/>
      <c r="AK56" s="722"/>
      <c r="AL56" s="722"/>
      <c r="AM56" s="722"/>
      <c r="AN56" s="722"/>
      <c r="AO56" s="722"/>
      <c r="AP56" s="722"/>
      <c r="AQ56" s="722"/>
      <c r="AR56" s="722"/>
      <c r="AS56" s="735" t="s">
        <v>757</v>
      </c>
      <c r="AT56" s="736"/>
      <c r="AU56" s="736"/>
      <c r="AV56" s="736"/>
      <c r="AW56" s="736"/>
      <c r="AX56" s="736"/>
      <c r="AY56" s="736"/>
      <c r="AZ56" s="736"/>
      <c r="BA56" s="736"/>
      <c r="BB56" s="736"/>
      <c r="BC56" s="736"/>
      <c r="BD56" s="736"/>
      <c r="BE56" s="736"/>
      <c r="BF56" s="736"/>
      <c r="BG56" s="736"/>
      <c r="BH56" s="736"/>
      <c r="BI56" s="736"/>
      <c r="BJ56" s="736"/>
      <c r="BK56" s="736"/>
      <c r="BL56" s="736"/>
      <c r="BM56" s="736"/>
      <c r="BN56" s="736"/>
      <c r="BO56" s="736"/>
      <c r="BP56" s="736"/>
      <c r="BQ56" s="736"/>
      <c r="BR56" s="736"/>
      <c r="BS56" s="736"/>
      <c r="BT56" s="736"/>
      <c r="BU56" s="736"/>
      <c r="BV56" s="737"/>
    </row>
    <row r="57" spans="1:104" ht="40.200000000000003" thickBot="1" x14ac:dyDescent="0.3">
      <c r="A57" s="907" t="s">
        <v>1057</v>
      </c>
      <c r="B57" s="908" t="s">
        <v>663</v>
      </c>
      <c r="C57" s="908" t="s">
        <v>664</v>
      </c>
      <c r="D57" s="1028" t="s">
        <v>675</v>
      </c>
      <c r="E57" s="908" t="s">
        <v>676</v>
      </c>
      <c r="F57" s="909" t="s">
        <v>665</v>
      </c>
      <c r="G57" s="909" t="s">
        <v>677</v>
      </c>
      <c r="H57" s="852">
        <v>2004</v>
      </c>
      <c r="I57" s="852">
        <v>2005</v>
      </c>
      <c r="J57" s="852">
        <v>2006</v>
      </c>
      <c r="K57" s="852">
        <v>2007</v>
      </c>
      <c r="L57" s="852">
        <v>2008</v>
      </c>
      <c r="M57" s="852">
        <v>2009</v>
      </c>
      <c r="N57" s="909">
        <v>2010</v>
      </c>
      <c r="O57" s="909">
        <v>2011</v>
      </c>
      <c r="P57" s="909">
        <v>2012</v>
      </c>
      <c r="Q57" s="909">
        <v>2013</v>
      </c>
      <c r="R57" s="909">
        <v>2014</v>
      </c>
      <c r="S57" s="909">
        <v>2015</v>
      </c>
      <c r="T57" s="909">
        <v>2016</v>
      </c>
      <c r="U57" s="909">
        <v>2017</v>
      </c>
      <c r="V57" s="909">
        <v>2018</v>
      </c>
      <c r="W57" s="909">
        <v>2019</v>
      </c>
      <c r="X57" s="909">
        <v>2020</v>
      </c>
      <c r="Y57" s="909">
        <v>2021</v>
      </c>
      <c r="Z57" s="909">
        <v>2022</v>
      </c>
      <c r="AA57" s="909">
        <v>2023</v>
      </c>
      <c r="AB57" s="909">
        <v>2024</v>
      </c>
      <c r="AC57" s="909">
        <v>2025</v>
      </c>
      <c r="AD57" s="909">
        <v>2026</v>
      </c>
      <c r="AE57" s="909">
        <v>2027</v>
      </c>
      <c r="AF57" s="909">
        <v>2028</v>
      </c>
      <c r="AG57" s="909">
        <v>2029</v>
      </c>
      <c r="AH57" s="909">
        <v>2030</v>
      </c>
      <c r="AI57" s="909">
        <v>2031</v>
      </c>
      <c r="AJ57" s="909">
        <v>2032</v>
      </c>
      <c r="AK57" s="909">
        <v>2033</v>
      </c>
      <c r="AL57" s="909">
        <v>2034</v>
      </c>
      <c r="AM57" s="909">
        <v>2035</v>
      </c>
      <c r="AN57" s="909">
        <v>2036</v>
      </c>
      <c r="AO57" s="909">
        <v>2037</v>
      </c>
      <c r="AP57" s="909">
        <v>2038</v>
      </c>
      <c r="AQ57" s="909">
        <v>2039</v>
      </c>
      <c r="AR57" s="909">
        <v>2040</v>
      </c>
      <c r="AS57" s="909">
        <v>2041</v>
      </c>
      <c r="AT57" s="909">
        <v>2042</v>
      </c>
      <c r="AU57" s="909">
        <v>2043</v>
      </c>
      <c r="AV57" s="909">
        <v>2044</v>
      </c>
      <c r="AW57" s="909">
        <v>2045</v>
      </c>
      <c r="AX57" s="909">
        <v>2046</v>
      </c>
      <c r="AY57" s="909">
        <v>2047</v>
      </c>
      <c r="AZ57" s="909">
        <v>2048</v>
      </c>
      <c r="BA57" s="909">
        <v>2049</v>
      </c>
      <c r="BB57" s="909">
        <v>2050</v>
      </c>
      <c r="BC57" s="909">
        <v>2051</v>
      </c>
      <c r="BD57" s="909">
        <v>2052</v>
      </c>
      <c r="BE57" s="909">
        <v>2053</v>
      </c>
      <c r="BF57" s="909">
        <v>2054</v>
      </c>
      <c r="BG57" s="909">
        <v>2055</v>
      </c>
      <c r="BH57" s="909">
        <v>2056</v>
      </c>
      <c r="BI57" s="909">
        <v>2057</v>
      </c>
      <c r="BJ57" s="909">
        <v>2058</v>
      </c>
      <c r="BK57" s="909">
        <v>2059</v>
      </c>
      <c r="BL57" s="909">
        <v>2060</v>
      </c>
      <c r="BM57" s="909">
        <v>2061</v>
      </c>
      <c r="BN57" s="909">
        <v>2062</v>
      </c>
      <c r="BO57" s="909">
        <v>2063</v>
      </c>
      <c r="BP57" s="909">
        <v>2064</v>
      </c>
      <c r="BQ57" s="909">
        <v>2065</v>
      </c>
      <c r="BR57" s="909">
        <v>2066</v>
      </c>
      <c r="BS57" s="909">
        <v>2067</v>
      </c>
      <c r="BT57" s="909">
        <v>2068</v>
      </c>
      <c r="BU57" s="909">
        <v>2069</v>
      </c>
      <c r="BV57" s="910">
        <v>2070</v>
      </c>
      <c r="BW57" s="1075">
        <f t="shared" ref="BW57" si="130">+BV57+1</f>
        <v>2071</v>
      </c>
      <c r="BX57" s="1075">
        <f t="shared" ref="BX57" si="131">+BW57+1</f>
        <v>2072</v>
      </c>
      <c r="BY57" s="1075">
        <f t="shared" ref="BY57" si="132">+BX57+1</f>
        <v>2073</v>
      </c>
      <c r="BZ57" s="1075">
        <f t="shared" ref="BZ57" si="133">+BY57+1</f>
        <v>2074</v>
      </c>
      <c r="CA57" s="1075">
        <f t="shared" ref="CA57" si="134">+BZ57+1</f>
        <v>2075</v>
      </c>
      <c r="CB57" s="1075">
        <f t="shared" ref="CB57" si="135">+CA57+1</f>
        <v>2076</v>
      </c>
      <c r="CC57" s="1075">
        <f t="shared" ref="CC57" si="136">+CB57+1</f>
        <v>2077</v>
      </c>
      <c r="CD57" s="1075">
        <f t="shared" ref="CD57" si="137">+CC57+1</f>
        <v>2078</v>
      </c>
      <c r="CE57" s="1075">
        <f t="shared" ref="CE57" si="138">+CD57+1</f>
        <v>2079</v>
      </c>
      <c r="CF57" s="1075">
        <f t="shared" ref="CF57" si="139">+CE57+1</f>
        <v>2080</v>
      </c>
      <c r="CG57" s="1075">
        <f t="shared" ref="CG57" si="140">+CF57+1</f>
        <v>2081</v>
      </c>
      <c r="CH57" s="1075">
        <f t="shared" ref="CH57" si="141">+CG57+1</f>
        <v>2082</v>
      </c>
      <c r="CI57" s="1075">
        <f t="shared" ref="CI57" si="142">+CH57+1</f>
        <v>2083</v>
      </c>
      <c r="CJ57" s="1075">
        <f t="shared" ref="CJ57" si="143">+CI57+1</f>
        <v>2084</v>
      </c>
      <c r="CK57" s="1075">
        <f t="shared" ref="CK57" si="144">+CJ57+1</f>
        <v>2085</v>
      </c>
      <c r="CL57" s="1075">
        <f t="shared" ref="CL57" si="145">+CK57+1</f>
        <v>2086</v>
      </c>
      <c r="CM57" s="1075">
        <f t="shared" ref="CM57" si="146">+CL57+1</f>
        <v>2087</v>
      </c>
      <c r="CN57" s="1075">
        <f t="shared" ref="CN57" si="147">+CM57+1</f>
        <v>2088</v>
      </c>
      <c r="CO57" s="1075">
        <f t="shared" ref="CO57" si="148">+CN57+1</f>
        <v>2089</v>
      </c>
      <c r="CP57" s="1075">
        <f t="shared" ref="CP57" si="149">+CO57+1</f>
        <v>2090</v>
      </c>
      <c r="CQ57" s="1075">
        <f t="shared" ref="CQ57" si="150">+CP57+1</f>
        <v>2091</v>
      </c>
      <c r="CR57" s="1075">
        <f t="shared" ref="CR57" si="151">+CQ57+1</f>
        <v>2092</v>
      </c>
      <c r="CS57" s="1075">
        <f t="shared" ref="CS57" si="152">+CR57+1</f>
        <v>2093</v>
      </c>
      <c r="CT57" s="1075">
        <f t="shared" ref="CT57" si="153">+CS57+1</f>
        <v>2094</v>
      </c>
      <c r="CU57" s="1075">
        <f t="shared" ref="CU57" si="154">+CT57+1</f>
        <v>2095</v>
      </c>
      <c r="CV57" s="1075">
        <f t="shared" ref="CV57" si="155">+CU57+1</f>
        <v>2096</v>
      </c>
      <c r="CW57" s="1075">
        <f t="shared" ref="CW57" si="156">+CV57+1</f>
        <v>2097</v>
      </c>
      <c r="CX57" s="1075">
        <f t="shared" ref="CX57" si="157">+CW57+1</f>
        <v>2098</v>
      </c>
      <c r="CY57" s="1075">
        <f t="shared" ref="CY57" si="158">+CX57+1</f>
        <v>2099</v>
      </c>
      <c r="CZ57" s="1075">
        <f t="shared" ref="CZ57" si="159">+CY57+1</f>
        <v>2100</v>
      </c>
    </row>
    <row r="58" spans="1:104" ht="13.8" thickBot="1" x14ac:dyDescent="0.3">
      <c r="A58" s="723" t="s">
        <v>1063</v>
      </c>
      <c r="B58" s="724"/>
      <c r="C58" s="724"/>
      <c r="D58" s="1029"/>
      <c r="E58" s="724"/>
      <c r="F58" s="724"/>
      <c r="G58" s="724"/>
      <c r="H58" s="724"/>
      <c r="I58" s="724"/>
      <c r="J58" s="724"/>
      <c r="K58" s="724"/>
      <c r="L58" s="724"/>
      <c r="M58" s="724"/>
      <c r="N58" s="724"/>
      <c r="O58" s="724"/>
      <c r="P58" s="724"/>
      <c r="Q58" s="724"/>
      <c r="R58" s="724"/>
      <c r="S58" s="724"/>
      <c r="T58" s="724"/>
      <c r="U58" s="724"/>
      <c r="V58" s="724"/>
      <c r="W58" s="724"/>
      <c r="X58" s="724"/>
      <c r="Y58" s="724"/>
      <c r="Z58" s="724"/>
      <c r="AA58" s="724"/>
      <c r="AB58" s="724"/>
      <c r="AC58" s="724"/>
      <c r="AD58" s="724"/>
      <c r="AE58" s="724"/>
      <c r="AF58" s="724"/>
      <c r="AG58" s="724"/>
      <c r="AH58" s="724"/>
      <c r="AI58" s="724"/>
      <c r="AJ58" s="724"/>
      <c r="AK58" s="724"/>
      <c r="AL58" s="724"/>
      <c r="AM58" s="724"/>
      <c r="AN58" s="724"/>
      <c r="AO58" s="724"/>
      <c r="AP58" s="724"/>
      <c r="AQ58" s="724"/>
      <c r="AR58" s="724"/>
      <c r="AS58" s="724"/>
      <c r="AT58" s="724"/>
      <c r="AU58" s="724"/>
      <c r="AV58" s="724"/>
      <c r="AW58" s="724"/>
      <c r="AX58" s="724"/>
      <c r="AY58" s="724"/>
      <c r="AZ58" s="724"/>
      <c r="BA58" s="724"/>
      <c r="BB58" s="724"/>
      <c r="BC58" s="724"/>
      <c r="BD58" s="724"/>
      <c r="BE58" s="724"/>
      <c r="BF58" s="724"/>
      <c r="BG58" s="724"/>
      <c r="BH58" s="724"/>
      <c r="BI58" s="724"/>
      <c r="BJ58" s="724"/>
      <c r="BK58" s="724"/>
      <c r="BL58" s="724"/>
      <c r="BM58" s="724"/>
      <c r="BN58" s="724"/>
      <c r="BO58" s="724"/>
      <c r="BP58" s="724"/>
      <c r="BQ58" s="724"/>
      <c r="BR58" s="724"/>
      <c r="BS58" s="724"/>
      <c r="BT58" s="724"/>
      <c r="BU58" s="724"/>
      <c r="BV58" s="725"/>
    </row>
    <row r="59" spans="1:104" x14ac:dyDescent="0.25">
      <c r="A59" s="726" t="str">
        <f>'HyARC Physical Property Data'!A73</f>
        <v>Residential Natural Gas</v>
      </c>
      <c r="B59" s="254">
        <v>2011</v>
      </c>
      <c r="C59" s="727">
        <f>VLOOKUP(ref_year,DeflatorTable,2,FALSE)/VLOOKUP(B59,DeflatorTable,2,FALSE)</f>
        <v>1.0771767810026385</v>
      </c>
      <c r="D59" s="1030" t="str">
        <f>'HyARC Physical Property Data'!H73</f>
        <v>mmBtu</v>
      </c>
      <c r="E59" s="727" t="s">
        <v>1031</v>
      </c>
      <c r="F59" s="254">
        <f>'HyARC Physical Property Data'!$E$6</f>
        <v>47.141269049911173</v>
      </c>
      <c r="G59" s="254">
        <f>'HyARC Physical Property Data'!$I$6</f>
        <v>52.224661236371581</v>
      </c>
      <c r="H59" s="854">
        <v>13.568796522291001</v>
      </c>
      <c r="I59" s="854">
        <v>13.568796522291001</v>
      </c>
      <c r="J59" s="854">
        <v>13.568796522291001</v>
      </c>
      <c r="K59" s="854">
        <v>12.569562315288914</v>
      </c>
      <c r="L59" s="854">
        <v>12.891154499364562</v>
      </c>
      <c r="M59" s="854">
        <v>11.574514296329017</v>
      </c>
      <c r="N59" s="254">
        <f t="shared" ref="N59:AR59" si="160">N74*(1/mmBTU_to_GJ*$C59*$G59/$F59)</f>
        <v>12.848820030872973</v>
      </c>
      <c r="O59" s="254">
        <f t="shared" si="160"/>
        <v>12.218751960936617</v>
      </c>
      <c r="P59" s="254">
        <f t="shared" si="160"/>
        <v>11.847089507654712</v>
      </c>
      <c r="Q59" s="254">
        <f t="shared" si="160"/>
        <v>11.878954304161503</v>
      </c>
      <c r="R59" s="254">
        <f t="shared" si="160"/>
        <v>11.689024462272872</v>
      </c>
      <c r="S59" s="254">
        <f t="shared" si="160"/>
        <v>11.571127769223187</v>
      </c>
      <c r="T59" s="254">
        <f t="shared" si="160"/>
        <v>12.158272077211455</v>
      </c>
      <c r="U59" s="254">
        <f t="shared" si="160"/>
        <v>12.546766735129951</v>
      </c>
      <c r="V59" s="254">
        <f t="shared" si="160"/>
        <v>13.025386814796633</v>
      </c>
      <c r="W59" s="254">
        <f t="shared" si="160"/>
        <v>13.318825496567992</v>
      </c>
      <c r="X59" s="254">
        <f t="shared" si="160"/>
        <v>13.569389054574135</v>
      </c>
      <c r="Y59" s="254">
        <f t="shared" si="160"/>
        <v>13.810438757785679</v>
      </c>
      <c r="Z59" s="254">
        <f t="shared" si="160"/>
        <v>14.116363879109715</v>
      </c>
      <c r="AA59" s="254">
        <f t="shared" si="160"/>
        <v>14.398431406172943</v>
      </c>
      <c r="AB59" s="254">
        <f t="shared" si="160"/>
        <v>14.538561404399491</v>
      </c>
      <c r="AC59" s="254">
        <f t="shared" si="160"/>
        <v>14.725122769343848</v>
      </c>
      <c r="AD59" s="254">
        <f t="shared" si="160"/>
        <v>14.945168695396804</v>
      </c>
      <c r="AE59" s="254">
        <f t="shared" si="160"/>
        <v>15.119136164337942</v>
      </c>
      <c r="AF59" s="254">
        <f t="shared" si="160"/>
        <v>15.386893885550919</v>
      </c>
      <c r="AG59" s="254">
        <f t="shared" si="160"/>
        <v>15.591935497746983</v>
      </c>
      <c r="AH59" s="254">
        <f t="shared" si="160"/>
        <v>15.825560525786523</v>
      </c>
      <c r="AI59" s="802">
        <f t="shared" si="160"/>
        <v>16.097797484306195</v>
      </c>
      <c r="AJ59" s="802">
        <f t="shared" si="160"/>
        <v>16.489221744402556</v>
      </c>
      <c r="AK59" s="802">
        <f t="shared" si="160"/>
        <v>16.917726397778729</v>
      </c>
      <c r="AL59" s="802">
        <f t="shared" si="160"/>
        <v>17.360396073577061</v>
      </c>
      <c r="AM59" s="802">
        <f t="shared" si="160"/>
        <v>17.767820033598468</v>
      </c>
      <c r="AN59" s="802">
        <f t="shared" si="160"/>
        <v>18.289975811421051</v>
      </c>
      <c r="AO59" s="802">
        <f t="shared" si="160"/>
        <v>18.631226958079775</v>
      </c>
      <c r="AP59" s="802">
        <f t="shared" si="160"/>
        <v>19.172403658768356</v>
      </c>
      <c r="AQ59" s="802">
        <f t="shared" si="160"/>
        <v>19.659398554853915</v>
      </c>
      <c r="AR59" s="802">
        <f t="shared" si="160"/>
        <v>19.991300990315715</v>
      </c>
      <c r="AS59" s="802">
        <f>($BB59-$AR59)/10+AR59</f>
        <v>19.99145536068955</v>
      </c>
      <c r="AT59" s="802">
        <f t="shared" ref="AT59:BA59" si="161">($BB59-$AR59)/10+AS59</f>
        <v>19.991609731063384</v>
      </c>
      <c r="AU59" s="802">
        <f t="shared" si="161"/>
        <v>19.991764101437219</v>
      </c>
      <c r="AV59" s="802">
        <f t="shared" si="161"/>
        <v>19.991918471811054</v>
      </c>
      <c r="AW59" s="802">
        <f t="shared" si="161"/>
        <v>19.992072842184889</v>
      </c>
      <c r="AX59" s="802">
        <f t="shared" si="161"/>
        <v>19.992227212558724</v>
      </c>
      <c r="AY59" s="802">
        <f t="shared" si="161"/>
        <v>19.992381582932559</v>
      </c>
      <c r="AZ59" s="802">
        <f t="shared" si="161"/>
        <v>19.992535953306394</v>
      </c>
      <c r="BA59" s="802">
        <f t="shared" si="161"/>
        <v>19.992690323680229</v>
      </c>
      <c r="BB59" s="804">
        <f>'AEO Data'!$B$30*AM59</f>
        <v>19.992844694054046</v>
      </c>
      <c r="BC59" s="802">
        <f>($BQ59-$BB59)/15+BB59</f>
        <v>20.155753007586423</v>
      </c>
      <c r="BD59" s="802">
        <f t="shared" ref="BD59:BP62" si="162">($BQ59-$BB59)/15+BC59</f>
        <v>20.3186613211188</v>
      </c>
      <c r="BE59" s="802">
        <f t="shared" si="162"/>
        <v>20.481569634651176</v>
      </c>
      <c r="BF59" s="802">
        <f t="shared" si="162"/>
        <v>20.644477948183553</v>
      </c>
      <c r="BG59" s="802">
        <f t="shared" si="162"/>
        <v>20.80738626171593</v>
      </c>
      <c r="BH59" s="802">
        <f t="shared" si="162"/>
        <v>20.970294575248307</v>
      </c>
      <c r="BI59" s="802">
        <f t="shared" si="162"/>
        <v>21.133202888780684</v>
      </c>
      <c r="BJ59" s="802">
        <f t="shared" si="162"/>
        <v>21.29611120231306</v>
      </c>
      <c r="BK59" s="802">
        <f t="shared" si="162"/>
        <v>21.459019515845437</v>
      </c>
      <c r="BL59" s="802">
        <f t="shared" si="162"/>
        <v>21.621927829377814</v>
      </c>
      <c r="BM59" s="802">
        <f t="shared" si="162"/>
        <v>21.784836142910191</v>
      </c>
      <c r="BN59" s="802">
        <f t="shared" si="162"/>
        <v>21.947744456442567</v>
      </c>
      <c r="BO59" s="802">
        <f t="shared" si="162"/>
        <v>22.110652769974944</v>
      </c>
      <c r="BP59" s="802">
        <f t="shared" si="162"/>
        <v>22.273561083507321</v>
      </c>
      <c r="BQ59" s="804">
        <f>'AEO Data'!$C$30*BB59</f>
        <v>22.43646939703968</v>
      </c>
      <c r="BR59" s="801">
        <f>($BV59-$BQ59)/5+BQ59</f>
        <v>22.564713325864819</v>
      </c>
      <c r="BS59" s="802">
        <f t="shared" ref="BS59:BU62" si="163">($BV59-$BQ59)/5+BR59</f>
        <v>22.692957254689958</v>
      </c>
      <c r="BT59" s="802">
        <f t="shared" si="163"/>
        <v>22.821201183515097</v>
      </c>
      <c r="BU59" s="802">
        <f t="shared" si="163"/>
        <v>22.949445112340236</v>
      </c>
      <c r="BV59" s="805">
        <f>'AEO Data'!$D$30*BQ59</f>
        <v>23.077689041165382</v>
      </c>
      <c r="BW59" s="1074">
        <f>+BV59*BW$133/BV$133</f>
        <v>23.154313754554682</v>
      </c>
      <c r="BX59" s="1074">
        <f t="shared" ref="BX59:CZ59" si="164">+BW59*BX$133/BW$133</f>
        <v>23.231192884523196</v>
      </c>
      <c r="BY59" s="1074">
        <f t="shared" si="164"/>
        <v>23.308327275808772</v>
      </c>
      <c r="BZ59" s="1074">
        <f t="shared" si="164"/>
        <v>23.385717775954042</v>
      </c>
      <c r="CA59" s="1074">
        <f t="shared" si="164"/>
        <v>23.463365235315731</v>
      </c>
      <c r="CB59" s="1074">
        <f t="shared" si="164"/>
        <v>23.513434373015976</v>
      </c>
      <c r="CC59" s="1074">
        <f t="shared" si="164"/>
        <v>23.563610354663151</v>
      </c>
      <c r="CD59" s="1074">
        <f t="shared" si="164"/>
        <v>23.613893408254576</v>
      </c>
      <c r="CE59" s="1074">
        <f t="shared" si="164"/>
        <v>23.664283762274096</v>
      </c>
      <c r="CF59" s="1074">
        <f t="shared" si="164"/>
        <v>23.714781645693119</v>
      </c>
      <c r="CG59" s="1074">
        <f t="shared" si="164"/>
        <v>23.731177988110947</v>
      </c>
      <c r="CH59" s="1074">
        <f t="shared" si="164"/>
        <v>23.747585666920095</v>
      </c>
      <c r="CI59" s="1074">
        <f t="shared" si="164"/>
        <v>23.764004689958508</v>
      </c>
      <c r="CJ59" s="1074">
        <f t="shared" si="164"/>
        <v>23.780435065069565</v>
      </c>
      <c r="CK59" s="1074">
        <f t="shared" si="164"/>
        <v>23.796876800102055</v>
      </c>
      <c r="CL59" s="1074">
        <f t="shared" si="164"/>
        <v>23.802449818424297</v>
      </c>
      <c r="CM59" s="1074">
        <f t="shared" si="164"/>
        <v>23.808024141898198</v>
      </c>
      <c r="CN59" s="1074">
        <f t="shared" si="164"/>
        <v>23.813599770829413</v>
      </c>
      <c r="CO59" s="1074">
        <f t="shared" si="164"/>
        <v>23.819176705523667</v>
      </c>
      <c r="CP59" s="1074">
        <f t="shared" si="164"/>
        <v>23.82475494628676</v>
      </c>
      <c r="CQ59" s="1074">
        <f t="shared" si="164"/>
        <v>23.833209305741288</v>
      </c>
      <c r="CR59" s="1074">
        <f t="shared" si="164"/>
        <v>23.841666665276783</v>
      </c>
      <c r="CS59" s="1074">
        <f t="shared" si="164"/>
        <v>23.850127025957839</v>
      </c>
      <c r="CT59" s="1074">
        <f t="shared" si="164"/>
        <v>23.858590388849432</v>
      </c>
      <c r="CU59" s="1074">
        <f t="shared" si="164"/>
        <v>23.867056755016911</v>
      </c>
      <c r="CV59" s="1074">
        <f t="shared" si="164"/>
        <v>23.880086528392884</v>
      </c>
      <c r="CW59" s="1074">
        <f t="shared" si="164"/>
        <v>23.893123415130006</v>
      </c>
      <c r="CX59" s="1074">
        <f t="shared" si="164"/>
        <v>23.906167419111679</v>
      </c>
      <c r="CY59" s="1074">
        <f t="shared" si="164"/>
        <v>23.919218544223433</v>
      </c>
      <c r="CZ59" s="1074">
        <f t="shared" si="164"/>
        <v>23.932276794352919</v>
      </c>
    </row>
    <row r="60" spans="1:104" x14ac:dyDescent="0.25">
      <c r="A60" s="726" t="str">
        <f>'HyARC Physical Property Data'!A71</f>
        <v>Commercial Natural Gas</v>
      </c>
      <c r="B60" s="254">
        <v>2011</v>
      </c>
      <c r="C60" s="727">
        <f t="shared" ref="C60:C68" si="165">VLOOKUP(ref_year,DeflatorTable,2,FALSE)/VLOOKUP(B60,DeflatorTable,2,FALSE)</f>
        <v>1.0771767810026385</v>
      </c>
      <c r="D60" s="1030" t="str">
        <f>'HyARC Physical Property Data'!H71</f>
        <v>mmBtu</v>
      </c>
      <c r="E60" s="727" t="s">
        <v>1031</v>
      </c>
      <c r="F60" s="254">
        <f>'HyARC Physical Property Data'!$E$6</f>
        <v>47.141269049911173</v>
      </c>
      <c r="G60" s="254">
        <f>'HyARC Physical Property Data'!$I$6</f>
        <v>52.224661236371581</v>
      </c>
      <c r="H60" s="854">
        <v>11.78211597551449</v>
      </c>
      <c r="I60" s="854">
        <v>11.78211597551449</v>
      </c>
      <c r="J60" s="854">
        <v>11.78211597551449</v>
      </c>
      <c r="K60" s="854">
        <v>10.884547954455588</v>
      </c>
      <c r="L60" s="854">
        <v>11.412186165255939</v>
      </c>
      <c r="M60" s="854">
        <v>10.075756967258858</v>
      </c>
      <c r="N60" s="254">
        <f t="shared" ref="N60:AR60" si="166">N75*(1/mmBTU_to_GJ*$C60*$G60/$F60)</f>
        <v>10.629111361129928</v>
      </c>
      <c r="O60" s="254">
        <f t="shared" si="166"/>
        <v>9.9955492598702431</v>
      </c>
      <c r="P60" s="254">
        <f t="shared" si="166"/>
        <v>9.1410917610380729</v>
      </c>
      <c r="Q60" s="254">
        <f t="shared" si="166"/>
        <v>9.5969684001679578</v>
      </c>
      <c r="R60" s="254">
        <f t="shared" si="166"/>
        <v>9.4058916020598868</v>
      </c>
      <c r="S60" s="254">
        <f t="shared" si="166"/>
        <v>9.2495164507528447</v>
      </c>
      <c r="T60" s="254">
        <f t="shared" si="166"/>
        <v>9.7764218036892636</v>
      </c>
      <c r="U60" s="254">
        <f t="shared" si="166"/>
        <v>10.090174279094695</v>
      </c>
      <c r="V60" s="254">
        <f t="shared" si="166"/>
        <v>10.498071047498478</v>
      </c>
      <c r="W60" s="254">
        <f t="shared" si="166"/>
        <v>10.736649252347618</v>
      </c>
      <c r="X60" s="254">
        <f t="shared" si="166"/>
        <v>10.944404422699936</v>
      </c>
      <c r="Y60" s="254">
        <f t="shared" si="166"/>
        <v>11.141369834297564</v>
      </c>
      <c r="Z60" s="254">
        <f t="shared" si="166"/>
        <v>11.405591672727528</v>
      </c>
      <c r="AA60" s="254">
        <f t="shared" si="166"/>
        <v>11.642166663114509</v>
      </c>
      <c r="AB60" s="254">
        <f t="shared" si="166"/>
        <v>11.748018053618996</v>
      </c>
      <c r="AC60" s="254">
        <f t="shared" si="166"/>
        <v>11.902757604636774</v>
      </c>
      <c r="AD60" s="254">
        <f t="shared" si="166"/>
        <v>12.090527006309296</v>
      </c>
      <c r="AE60" s="254">
        <f t="shared" si="166"/>
        <v>12.220015422570853</v>
      </c>
      <c r="AF60" s="254">
        <f t="shared" si="166"/>
        <v>12.435619438294673</v>
      </c>
      <c r="AG60" s="254">
        <f t="shared" si="166"/>
        <v>12.592485495912598</v>
      </c>
      <c r="AH60" s="254">
        <f t="shared" si="166"/>
        <v>12.770738780549461</v>
      </c>
      <c r="AI60" s="254">
        <f t="shared" si="166"/>
        <v>12.989189826652307</v>
      </c>
      <c r="AJ60" s="254">
        <f t="shared" si="166"/>
        <v>13.318649041764999</v>
      </c>
      <c r="AK60" s="254">
        <f t="shared" si="166"/>
        <v>13.691788738461685</v>
      </c>
      <c r="AL60" s="254">
        <f t="shared" si="166"/>
        <v>14.075018030303756</v>
      </c>
      <c r="AM60" s="254">
        <f t="shared" si="166"/>
        <v>14.417815418729715</v>
      </c>
      <c r="AN60" s="254">
        <f t="shared" si="166"/>
        <v>14.885419515535311</v>
      </c>
      <c r="AO60" s="254">
        <f t="shared" si="166"/>
        <v>15.176266800167872</v>
      </c>
      <c r="AP60" s="254">
        <f t="shared" si="166"/>
        <v>15.67029726596243</v>
      </c>
      <c r="AQ60" s="254">
        <f t="shared" si="166"/>
        <v>16.106982183025981</v>
      </c>
      <c r="AR60" s="254">
        <f t="shared" si="166"/>
        <v>16.379635393901427</v>
      </c>
      <c r="AS60" s="254">
        <f t="shared" ref="AS60:BA60" si="167">($BB60-$AR60)/10+AR60</f>
        <v>16.364004498297199</v>
      </c>
      <c r="AT60" s="254">
        <f t="shared" si="167"/>
        <v>16.348373602692966</v>
      </c>
      <c r="AU60" s="254">
        <f t="shared" si="167"/>
        <v>16.332742707088734</v>
      </c>
      <c r="AV60" s="254">
        <f t="shared" si="167"/>
        <v>16.317111811484502</v>
      </c>
      <c r="AW60" s="254">
        <f t="shared" si="167"/>
        <v>16.301480915880269</v>
      </c>
      <c r="AX60" s="254">
        <f t="shared" si="167"/>
        <v>16.285850020276037</v>
      </c>
      <c r="AY60" s="254">
        <f t="shared" si="167"/>
        <v>16.270219124671804</v>
      </c>
      <c r="AZ60" s="254">
        <f t="shared" si="167"/>
        <v>16.254588229067572</v>
      </c>
      <c r="BA60" s="254">
        <f t="shared" si="167"/>
        <v>16.23895733346334</v>
      </c>
      <c r="BB60" s="782">
        <f>'AEO Data'!$B$30*AM60</f>
        <v>16.223326437859122</v>
      </c>
      <c r="BC60" s="254">
        <f>($BQ60-$BB60)/15+BB60</f>
        <v>16.355519469432206</v>
      </c>
      <c r="BD60" s="254">
        <f t="shared" si="162"/>
        <v>16.487712501005291</v>
      </c>
      <c r="BE60" s="254">
        <f t="shared" si="162"/>
        <v>16.619905532578375</v>
      </c>
      <c r="BF60" s="254">
        <f t="shared" si="162"/>
        <v>16.75209856415146</v>
      </c>
      <c r="BG60" s="254">
        <f t="shared" si="162"/>
        <v>16.884291595724545</v>
      </c>
      <c r="BH60" s="254">
        <f t="shared" si="162"/>
        <v>17.016484627297629</v>
      </c>
      <c r="BI60" s="254">
        <f t="shared" si="162"/>
        <v>17.148677658870714</v>
      </c>
      <c r="BJ60" s="254">
        <f t="shared" si="162"/>
        <v>17.280870690443798</v>
      </c>
      <c r="BK60" s="254">
        <f t="shared" si="162"/>
        <v>17.413063722016883</v>
      </c>
      <c r="BL60" s="254">
        <f t="shared" si="162"/>
        <v>17.545256753589968</v>
      </c>
      <c r="BM60" s="254">
        <f t="shared" si="162"/>
        <v>17.677449785163052</v>
      </c>
      <c r="BN60" s="254">
        <f t="shared" si="162"/>
        <v>17.809642816736137</v>
      </c>
      <c r="BO60" s="254">
        <f t="shared" si="162"/>
        <v>17.941835848309221</v>
      </c>
      <c r="BP60" s="254">
        <f t="shared" si="162"/>
        <v>18.074028879882306</v>
      </c>
      <c r="BQ60" s="782">
        <f>'AEO Data'!$C$30*BB60</f>
        <v>18.206221911455369</v>
      </c>
      <c r="BR60" s="726">
        <f>($BV60-$BQ60)/5+BQ60</f>
        <v>18.310286298131796</v>
      </c>
      <c r="BS60" s="254">
        <f t="shared" si="163"/>
        <v>18.414350684808223</v>
      </c>
      <c r="BT60" s="254">
        <f t="shared" si="163"/>
        <v>18.51841507148465</v>
      </c>
      <c r="BU60" s="254">
        <f t="shared" si="163"/>
        <v>18.622479458161077</v>
      </c>
      <c r="BV60" s="806">
        <f>'AEO Data'!$D$30*BQ60</f>
        <v>18.726543844837511</v>
      </c>
      <c r="BW60" s="1074">
        <f>+BV60*BW$134/BV$134</f>
        <v>18.788721476762582</v>
      </c>
      <c r="BX60" s="1074">
        <f t="shared" ref="BX60:CZ60" si="168">+BW60*BX$134/BW$134</f>
        <v>18.851105556708379</v>
      </c>
      <c r="BY60" s="1074">
        <f t="shared" si="168"/>
        <v>18.913696770143034</v>
      </c>
      <c r="BZ60" s="1074">
        <f t="shared" si="168"/>
        <v>18.976495804810636</v>
      </c>
      <c r="CA60" s="1074">
        <f t="shared" si="168"/>
        <v>19.039503350738787</v>
      </c>
      <c r="CB60" s="1074">
        <f t="shared" si="168"/>
        <v>19.080132284630061</v>
      </c>
      <c r="CC60" s="1074">
        <f t="shared" si="168"/>
        <v>19.120847917750758</v>
      </c>
      <c r="CD60" s="1074">
        <f t="shared" si="168"/>
        <v>19.161650435110815</v>
      </c>
      <c r="CE60" s="1074">
        <f t="shared" si="168"/>
        <v>19.20254002211496</v>
      </c>
      <c r="CF60" s="1074">
        <f t="shared" si="168"/>
        <v>19.243516864563571</v>
      </c>
      <c r="CG60" s="1074">
        <f t="shared" si="168"/>
        <v>19.25682178537409</v>
      </c>
      <c r="CH60" s="1074">
        <f t="shared" si="168"/>
        <v>19.270135905174534</v>
      </c>
      <c r="CI60" s="1074">
        <f t="shared" si="168"/>
        <v>19.283459230325061</v>
      </c>
      <c r="CJ60" s="1074">
        <f t="shared" si="168"/>
        <v>19.296791767190232</v>
      </c>
      <c r="CK60" s="1074">
        <f t="shared" si="168"/>
        <v>19.310133522139004</v>
      </c>
      <c r="CL60" s="1074">
        <f t="shared" si="168"/>
        <v>19.314655784821952</v>
      </c>
      <c r="CM60" s="1074">
        <f t="shared" si="168"/>
        <v>19.319179106578872</v>
      </c>
      <c r="CN60" s="1074">
        <f t="shared" si="168"/>
        <v>19.323703487657788</v>
      </c>
      <c r="CO60" s="1074">
        <f t="shared" si="168"/>
        <v>19.328228928306782</v>
      </c>
      <c r="CP60" s="1074">
        <f t="shared" si="168"/>
        <v>19.332755428773996</v>
      </c>
      <c r="CQ60" s="1074">
        <f t="shared" si="168"/>
        <v>19.339615774830435</v>
      </c>
      <c r="CR60" s="1074">
        <f t="shared" si="168"/>
        <v>19.34647855532247</v>
      </c>
      <c r="CS60" s="1074">
        <f t="shared" si="168"/>
        <v>19.353343771113977</v>
      </c>
      <c r="CT60" s="1074">
        <f t="shared" si="168"/>
        <v>19.360211423069138</v>
      </c>
      <c r="CU60" s="1074">
        <f t="shared" si="168"/>
        <v>19.36708151205244</v>
      </c>
      <c r="CV60" s="1074">
        <f t="shared" si="168"/>
        <v>19.37765460808377</v>
      </c>
      <c r="CW60" s="1074">
        <f t="shared" si="168"/>
        <v>19.388233476299188</v>
      </c>
      <c r="CX60" s="1074">
        <f t="shared" si="168"/>
        <v>19.398818119849906</v>
      </c>
      <c r="CY60" s="1074">
        <f t="shared" si="168"/>
        <v>19.409408541888862</v>
      </c>
      <c r="CZ60" s="1074">
        <f t="shared" si="168"/>
        <v>19.420004745570715</v>
      </c>
    </row>
    <row r="61" spans="1:104" x14ac:dyDescent="0.25">
      <c r="A61" s="726" t="str">
        <f>'HyARC Physical Property Data'!A72</f>
        <v>Industrial Natural Gas</v>
      </c>
      <c r="B61" s="254">
        <v>2011</v>
      </c>
      <c r="C61" s="727">
        <f t="shared" si="165"/>
        <v>1.0771767810026385</v>
      </c>
      <c r="D61" s="1030" t="str">
        <f>'HyARC Physical Property Data'!H72</f>
        <v>mmBtu</v>
      </c>
      <c r="E61" s="727" t="s">
        <v>1031</v>
      </c>
      <c r="F61" s="254">
        <f>'HyARC Physical Property Data'!$E$6</f>
        <v>47.141269049911173</v>
      </c>
      <c r="G61" s="254">
        <f>'HyARC Physical Property Data'!$I$6</f>
        <v>52.224661236371581</v>
      </c>
      <c r="H61" s="854">
        <v>7.8800725307970341</v>
      </c>
      <c r="I61" s="854">
        <v>7.8800725307970341</v>
      </c>
      <c r="J61" s="854">
        <v>7.8800725307970341</v>
      </c>
      <c r="K61" s="854">
        <v>7.4431315976064605</v>
      </c>
      <c r="L61" s="854">
        <v>8.8750360136942668</v>
      </c>
      <c r="M61" s="854">
        <v>6.5580125743803235</v>
      </c>
      <c r="N61" s="254">
        <f t="shared" ref="N61:AR61" si="169">N76*(1/mmBTU_to_GJ*$C61*$G61/$F61)</f>
        <v>6.2030163592696592</v>
      </c>
      <c r="O61" s="254">
        <f t="shared" si="169"/>
        <v>5.5300347074699987</v>
      </c>
      <c r="P61" s="254">
        <f t="shared" si="169"/>
        <v>4.260790785073671</v>
      </c>
      <c r="Q61" s="254">
        <f t="shared" si="169"/>
        <v>4.9204025921851677</v>
      </c>
      <c r="R61" s="254">
        <f t="shared" si="169"/>
        <v>4.9951990684837728</v>
      </c>
      <c r="S61" s="254">
        <f t="shared" si="169"/>
        <v>5.0372880634792523</v>
      </c>
      <c r="T61" s="254">
        <f t="shared" si="169"/>
        <v>5.5611676689925886</v>
      </c>
      <c r="U61" s="254">
        <f t="shared" si="169"/>
        <v>5.805087024993802</v>
      </c>
      <c r="V61" s="254">
        <f t="shared" si="169"/>
        <v>6.0936211681384362</v>
      </c>
      <c r="W61" s="254">
        <f t="shared" si="169"/>
        <v>6.2815263042747977</v>
      </c>
      <c r="X61" s="254">
        <f t="shared" si="169"/>
        <v>6.446729851334049</v>
      </c>
      <c r="Y61" s="254">
        <f t="shared" si="169"/>
        <v>6.6107547707989633</v>
      </c>
      <c r="Z61" s="254">
        <f t="shared" si="169"/>
        <v>6.8493465490944869</v>
      </c>
      <c r="AA61" s="254">
        <f t="shared" si="169"/>
        <v>7.0700971632388772</v>
      </c>
      <c r="AB61" s="254">
        <f t="shared" si="169"/>
        <v>7.1542932511583484</v>
      </c>
      <c r="AC61" s="254">
        <f t="shared" si="169"/>
        <v>7.2893513049194398</v>
      </c>
      <c r="AD61" s="254">
        <f t="shared" si="169"/>
        <v>7.4302708252773213</v>
      </c>
      <c r="AE61" s="254">
        <f t="shared" si="169"/>
        <v>7.5360419062240371</v>
      </c>
      <c r="AF61" s="254">
        <f t="shared" si="169"/>
        <v>7.7520157983618185</v>
      </c>
      <c r="AG61" s="254">
        <f t="shared" si="169"/>
        <v>7.8975966664320465</v>
      </c>
      <c r="AH61" s="254">
        <f t="shared" si="169"/>
        <v>8.0540057513550476</v>
      </c>
      <c r="AI61" s="254">
        <f t="shared" si="169"/>
        <v>8.2613853896907425</v>
      </c>
      <c r="AJ61" s="254">
        <f t="shared" si="169"/>
        <v>8.5847569141002449</v>
      </c>
      <c r="AK61" s="254">
        <f t="shared" si="169"/>
        <v>8.9483974605692502</v>
      </c>
      <c r="AL61" s="254">
        <f t="shared" si="169"/>
        <v>9.3215688286408334</v>
      </c>
      <c r="AM61" s="254">
        <f t="shared" si="169"/>
        <v>9.648490940400265</v>
      </c>
      <c r="AN61" s="254">
        <f t="shared" si="169"/>
        <v>10.068364012996796</v>
      </c>
      <c r="AO61" s="254">
        <f t="shared" si="169"/>
        <v>10.306145908991411</v>
      </c>
      <c r="AP61" s="254">
        <f t="shared" si="169"/>
        <v>10.735979628992679</v>
      </c>
      <c r="AQ61" s="254">
        <f t="shared" si="169"/>
        <v>11.099317035159109</v>
      </c>
      <c r="AR61" s="254">
        <f t="shared" si="169"/>
        <v>11.325040055162141</v>
      </c>
      <c r="AS61" s="254">
        <f t="shared" ref="AS61:BA61" si="170">($BB61-$AR61)/10+AR61</f>
        <v>11.278211053887526</v>
      </c>
      <c r="AT61" s="254">
        <f t="shared" si="170"/>
        <v>11.231382052612911</v>
      </c>
      <c r="AU61" s="254">
        <f t="shared" si="170"/>
        <v>11.184553051338296</v>
      </c>
      <c r="AV61" s="254">
        <f t="shared" si="170"/>
        <v>11.137724050063682</v>
      </c>
      <c r="AW61" s="254">
        <f t="shared" si="170"/>
        <v>11.090895048789067</v>
      </c>
      <c r="AX61" s="254">
        <f t="shared" si="170"/>
        <v>11.044066047514452</v>
      </c>
      <c r="AY61" s="254">
        <f t="shared" si="170"/>
        <v>10.997237046239837</v>
      </c>
      <c r="AZ61" s="254">
        <f t="shared" si="170"/>
        <v>10.950408044965222</v>
      </c>
      <c r="BA61" s="254">
        <f t="shared" si="170"/>
        <v>10.903579043690607</v>
      </c>
      <c r="BB61" s="782">
        <f>'AEO Data'!$B$30*AM61</f>
        <v>10.856750042415998</v>
      </c>
      <c r="BC61" s="254">
        <f>($BQ61-$BB61)/15+BB61</f>
        <v>10.945214433897943</v>
      </c>
      <c r="BD61" s="254">
        <f t="shared" si="162"/>
        <v>11.033678825379889</v>
      </c>
      <c r="BE61" s="254">
        <f t="shared" si="162"/>
        <v>11.122143216861835</v>
      </c>
      <c r="BF61" s="254">
        <f t="shared" si="162"/>
        <v>11.21060760834378</v>
      </c>
      <c r="BG61" s="254">
        <f t="shared" si="162"/>
        <v>11.299071999825726</v>
      </c>
      <c r="BH61" s="254">
        <f t="shared" si="162"/>
        <v>11.387536391307671</v>
      </c>
      <c r="BI61" s="254">
        <f t="shared" si="162"/>
        <v>11.476000782789617</v>
      </c>
      <c r="BJ61" s="254">
        <f t="shared" si="162"/>
        <v>11.564465174271563</v>
      </c>
      <c r="BK61" s="254">
        <f t="shared" si="162"/>
        <v>11.652929565753508</v>
      </c>
      <c r="BL61" s="254">
        <f t="shared" si="162"/>
        <v>11.741393957235454</v>
      </c>
      <c r="BM61" s="254">
        <f t="shared" si="162"/>
        <v>11.8298583487174</v>
      </c>
      <c r="BN61" s="254">
        <f t="shared" si="162"/>
        <v>11.918322740199345</v>
      </c>
      <c r="BO61" s="254">
        <f t="shared" si="162"/>
        <v>12.006787131681291</v>
      </c>
      <c r="BP61" s="254">
        <f t="shared" si="162"/>
        <v>12.095251523163236</v>
      </c>
      <c r="BQ61" s="782">
        <f>'AEO Data'!$C$30*BB61</f>
        <v>12.183715914645184</v>
      </c>
      <c r="BR61" s="726">
        <f>($BV61-$BQ61)/5+BQ61</f>
        <v>12.253356443595324</v>
      </c>
      <c r="BS61" s="254">
        <f t="shared" si="163"/>
        <v>12.322996972545464</v>
      </c>
      <c r="BT61" s="254">
        <f t="shared" si="163"/>
        <v>12.392637501495605</v>
      </c>
      <c r="BU61" s="254">
        <f t="shared" si="163"/>
        <v>12.462278030445745</v>
      </c>
      <c r="BV61" s="806">
        <f>'AEO Data'!$D$30*BQ61</f>
        <v>12.531918559395887</v>
      </c>
      <c r="BW61" s="1074">
        <f>+BV61*BW$135/BV$135</f>
        <v>12.573528213903272</v>
      </c>
      <c r="BX61" s="1074">
        <f t="shared" ref="BX61:CZ61" si="171">+BW61*BX$135/BW$135</f>
        <v>12.61527602469854</v>
      </c>
      <c r="BY61" s="1074">
        <f t="shared" si="171"/>
        <v>12.657162450501191</v>
      </c>
      <c r="BZ61" s="1074">
        <f t="shared" si="171"/>
        <v>12.699187951553807</v>
      </c>
      <c r="CA61" s="1074">
        <f t="shared" si="171"/>
        <v>12.741352989627112</v>
      </c>
      <c r="CB61" s="1074">
        <f t="shared" si="171"/>
        <v>12.768542122597896</v>
      </c>
      <c r="CC61" s="1074">
        <f t="shared" si="171"/>
        <v>12.795789275227369</v>
      </c>
      <c r="CD61" s="1074">
        <f t="shared" si="171"/>
        <v>12.823094571325321</v>
      </c>
      <c r="CE61" s="1074">
        <f t="shared" si="171"/>
        <v>12.85045813496574</v>
      </c>
      <c r="CF61" s="1074">
        <f t="shared" si="171"/>
        <v>12.87788009048738</v>
      </c>
      <c r="CG61" s="1074">
        <f t="shared" si="171"/>
        <v>12.886783825496796</v>
      </c>
      <c r="CH61" s="1074">
        <f t="shared" si="171"/>
        <v>12.895693716526967</v>
      </c>
      <c r="CI61" s="1074">
        <f t="shared" si="171"/>
        <v>12.904609767834151</v>
      </c>
      <c r="CJ61" s="1074">
        <f t="shared" si="171"/>
        <v>12.913531983677547</v>
      </c>
      <c r="CK61" s="1074">
        <f t="shared" si="171"/>
        <v>12.922460368319303</v>
      </c>
      <c r="CL61" s="1074">
        <f t="shared" si="171"/>
        <v>12.925486694379064</v>
      </c>
      <c r="CM61" s="1074">
        <f t="shared" si="171"/>
        <v>12.928513729177656</v>
      </c>
      <c r="CN61" s="1074">
        <f t="shared" si="171"/>
        <v>12.931541472881056</v>
      </c>
      <c r="CO61" s="1074">
        <f t="shared" si="171"/>
        <v>12.934569925655282</v>
      </c>
      <c r="CP61" s="1074">
        <f t="shared" si="171"/>
        <v>12.937599087666396</v>
      </c>
      <c r="CQ61" s="1074">
        <f t="shared" si="171"/>
        <v>12.942190073530147</v>
      </c>
      <c r="CR61" s="1074">
        <f t="shared" si="171"/>
        <v>12.946782688533204</v>
      </c>
      <c r="CS61" s="1074">
        <f t="shared" si="171"/>
        <v>12.951376933253679</v>
      </c>
      <c r="CT61" s="1074">
        <f t="shared" si="171"/>
        <v>12.955972808269884</v>
      </c>
      <c r="CU61" s="1074">
        <f t="shared" si="171"/>
        <v>12.960570314160341</v>
      </c>
      <c r="CV61" s="1074">
        <f t="shared" si="171"/>
        <v>12.967645895190305</v>
      </c>
      <c r="CW61" s="1074">
        <f t="shared" si="171"/>
        <v>12.974725339001436</v>
      </c>
      <c r="CX61" s="1074">
        <f t="shared" si="171"/>
        <v>12.981808647702545</v>
      </c>
      <c r="CY61" s="1074">
        <f t="shared" si="171"/>
        <v>12.988895823403597</v>
      </c>
      <c r="CZ61" s="1074">
        <f t="shared" si="171"/>
        <v>12.995986868215709</v>
      </c>
    </row>
    <row r="62" spans="1:104" x14ac:dyDescent="0.25">
      <c r="A62" s="726" t="str">
        <f>'HyARC Physical Property Data'!A74</f>
        <v>Electric Utility Natural Gas</v>
      </c>
      <c r="B62" s="254">
        <v>2011</v>
      </c>
      <c r="C62" s="727">
        <f t="shared" si="165"/>
        <v>1.0771767810026385</v>
      </c>
      <c r="D62" s="1030" t="str">
        <f>'HyARC Physical Property Data'!H74</f>
        <v>mmBtu</v>
      </c>
      <c r="E62" s="727" t="s">
        <v>1031</v>
      </c>
      <c r="F62" s="254">
        <f>'HyARC Physical Property Data'!$E$6</f>
        <v>47.141269049911173</v>
      </c>
      <c r="G62" s="254">
        <f>'HyARC Physical Property Data'!$I$6</f>
        <v>52.224661236371581</v>
      </c>
      <c r="H62" s="854">
        <v>6.9870463159656619</v>
      </c>
      <c r="I62" s="854">
        <v>6.9870463159656619</v>
      </c>
      <c r="J62" s="854">
        <v>6.9870463159656619</v>
      </c>
      <c r="K62" s="854">
        <v>6.9519071777354364</v>
      </c>
      <c r="L62" s="854">
        <v>9.0904707383294223</v>
      </c>
      <c r="M62" s="854">
        <v>6.2626950486669273</v>
      </c>
      <c r="N62" s="254">
        <f t="shared" ref="N62:AR62" si="172">N77*(1/mmBTU_to_GJ*$C62*$G62/$F62)</f>
        <v>5.9476195232303075</v>
      </c>
      <c r="O62" s="254">
        <f t="shared" si="172"/>
        <v>5.4007770397969699</v>
      </c>
      <c r="P62" s="254">
        <f t="shared" si="172"/>
        <v>3.7643838350413934</v>
      </c>
      <c r="Q62" s="254">
        <f t="shared" si="172"/>
        <v>4.2147881130374945</v>
      </c>
      <c r="R62" s="254">
        <f t="shared" si="172"/>
        <v>4.337012473242587</v>
      </c>
      <c r="S62" s="254">
        <f t="shared" si="172"/>
        <v>4.4297507834196734</v>
      </c>
      <c r="T62" s="254">
        <f t="shared" si="172"/>
        <v>4.9169062986207761</v>
      </c>
      <c r="U62" s="254">
        <f t="shared" si="172"/>
        <v>5.1166395621601932</v>
      </c>
      <c r="V62" s="254">
        <f t="shared" si="172"/>
        <v>5.3977920127130385</v>
      </c>
      <c r="W62" s="254">
        <f t="shared" si="172"/>
        <v>5.5768800643025109</v>
      </c>
      <c r="X62" s="254">
        <f t="shared" si="172"/>
        <v>5.731085726429189</v>
      </c>
      <c r="Y62" s="254">
        <f t="shared" si="172"/>
        <v>5.8852472748551197</v>
      </c>
      <c r="Z62" s="254">
        <f t="shared" si="172"/>
        <v>6.1240381303642737</v>
      </c>
      <c r="AA62" s="254">
        <f t="shared" si="172"/>
        <v>6.3478846214047309</v>
      </c>
      <c r="AB62" s="254">
        <f t="shared" si="172"/>
        <v>6.46780941356828</v>
      </c>
      <c r="AC62" s="254">
        <f t="shared" si="172"/>
        <v>6.6168153146093855</v>
      </c>
      <c r="AD62" s="254">
        <f t="shared" si="172"/>
        <v>6.7826918783851724</v>
      </c>
      <c r="AE62" s="254">
        <f t="shared" si="172"/>
        <v>6.9152648603374747</v>
      </c>
      <c r="AF62" s="254">
        <f t="shared" si="172"/>
        <v>7.1044436381928611</v>
      </c>
      <c r="AG62" s="254">
        <f t="shared" si="172"/>
        <v>7.2503909893154548</v>
      </c>
      <c r="AH62" s="254">
        <f t="shared" si="172"/>
        <v>7.4075070245709522</v>
      </c>
      <c r="AI62" s="254">
        <f t="shared" si="172"/>
        <v>7.6133030941618562</v>
      </c>
      <c r="AJ62" s="254">
        <f t="shared" si="172"/>
        <v>7.9366802741740186</v>
      </c>
      <c r="AK62" s="254">
        <f t="shared" si="172"/>
        <v>8.2829207934993665</v>
      </c>
      <c r="AL62" s="254">
        <f t="shared" si="172"/>
        <v>8.6352320367199251</v>
      </c>
      <c r="AM62" s="254">
        <f t="shared" si="172"/>
        <v>8.9389684398145519</v>
      </c>
      <c r="AN62" s="254">
        <f t="shared" si="172"/>
        <v>9.3489317654302884</v>
      </c>
      <c r="AO62" s="254">
        <f t="shared" si="172"/>
        <v>9.5889623290425074</v>
      </c>
      <c r="AP62" s="254">
        <f t="shared" si="172"/>
        <v>10.016230667677213</v>
      </c>
      <c r="AQ62" s="254">
        <f t="shared" si="172"/>
        <v>10.374123990723158</v>
      </c>
      <c r="AR62" s="254">
        <f t="shared" si="172"/>
        <v>10.560031568000021</v>
      </c>
      <c r="AS62" s="254">
        <f t="shared" ref="AS62:BA62" si="173">($BB62-$AR62)/10+AR62</f>
        <v>10.509865972613389</v>
      </c>
      <c r="AT62" s="254">
        <f t="shared" si="173"/>
        <v>10.459700377226756</v>
      </c>
      <c r="AU62" s="254">
        <f t="shared" si="173"/>
        <v>10.409534781840124</v>
      </c>
      <c r="AV62" s="254">
        <f t="shared" si="173"/>
        <v>10.359369186453492</v>
      </c>
      <c r="AW62" s="254">
        <f t="shared" si="173"/>
        <v>10.30920359106686</v>
      </c>
      <c r="AX62" s="254">
        <f t="shared" si="173"/>
        <v>10.259037995680227</v>
      </c>
      <c r="AY62" s="254">
        <f t="shared" si="173"/>
        <v>10.208872400293595</v>
      </c>
      <c r="AZ62" s="254">
        <f t="shared" si="173"/>
        <v>10.158706804906963</v>
      </c>
      <c r="BA62" s="254">
        <f t="shared" si="173"/>
        <v>10.108541209520331</v>
      </c>
      <c r="BB62" s="782">
        <f>'AEO Data'!$B$30*AM62</f>
        <v>10.058375614133693</v>
      </c>
      <c r="BC62" s="254">
        <f>($BQ62-$BB62)/15+BB62</f>
        <v>10.140334586618534</v>
      </c>
      <c r="BD62" s="254">
        <f t="shared" si="162"/>
        <v>10.222293559103376</v>
      </c>
      <c r="BE62" s="254">
        <f t="shared" si="162"/>
        <v>10.304252531588217</v>
      </c>
      <c r="BF62" s="254">
        <f t="shared" si="162"/>
        <v>10.386211504073058</v>
      </c>
      <c r="BG62" s="254">
        <f t="shared" si="162"/>
        <v>10.4681704765579</v>
      </c>
      <c r="BH62" s="254">
        <f t="shared" si="162"/>
        <v>10.550129449042741</v>
      </c>
      <c r="BI62" s="254">
        <f t="shared" si="162"/>
        <v>10.632088421527582</v>
      </c>
      <c r="BJ62" s="254">
        <f t="shared" si="162"/>
        <v>10.714047394012423</v>
      </c>
      <c r="BK62" s="254">
        <f t="shared" si="162"/>
        <v>10.796006366497265</v>
      </c>
      <c r="BL62" s="254">
        <f t="shared" si="162"/>
        <v>10.877965338982106</v>
      </c>
      <c r="BM62" s="254">
        <f t="shared" si="162"/>
        <v>10.959924311466947</v>
      </c>
      <c r="BN62" s="254">
        <f t="shared" si="162"/>
        <v>11.041883283951789</v>
      </c>
      <c r="BO62" s="254">
        <f t="shared" si="162"/>
        <v>11.12384225643663</v>
      </c>
      <c r="BP62" s="254">
        <f t="shared" si="162"/>
        <v>11.205801228921471</v>
      </c>
      <c r="BQ62" s="782">
        <f>'AEO Data'!$C$30*BB62</f>
        <v>11.287760201406321</v>
      </c>
      <c r="BR62" s="726">
        <f>($BV62-$BQ62)/5+BQ62</f>
        <v>11.35227956451322</v>
      </c>
      <c r="BS62" s="254">
        <f t="shared" si="163"/>
        <v>11.416798927620118</v>
      </c>
      <c r="BT62" s="254">
        <f t="shared" si="163"/>
        <v>11.481318290727016</v>
      </c>
      <c r="BU62" s="254">
        <f t="shared" si="163"/>
        <v>11.545837653833914</v>
      </c>
      <c r="BV62" s="806">
        <f>'AEO Data'!$D$30*BQ62</f>
        <v>11.610357016940812</v>
      </c>
      <c r="BW62" s="1074">
        <f>+BV62*BW$136/BV$136</f>
        <v>11.648906816150932</v>
      </c>
      <c r="BX62" s="1074">
        <f t="shared" ref="BX62:CZ63" si="174">+BW62*BX$136/BW$136</f>
        <v>11.687584612029626</v>
      </c>
      <c r="BY62" s="1074">
        <f t="shared" si="174"/>
        <v>11.726390829563474</v>
      </c>
      <c r="BZ62" s="1074">
        <f t="shared" si="174"/>
        <v>11.765325895150129</v>
      </c>
      <c r="CA62" s="1074">
        <f t="shared" si="174"/>
        <v>11.804390236603014</v>
      </c>
      <c r="CB62" s="1074">
        <f t="shared" si="174"/>
        <v>11.829579958294525</v>
      </c>
      <c r="CC62" s="1074">
        <f t="shared" si="174"/>
        <v>11.854823433044533</v>
      </c>
      <c r="CD62" s="1074">
        <f t="shared" si="174"/>
        <v>11.880120775558206</v>
      </c>
      <c r="CE62" s="1074">
        <f t="shared" si="174"/>
        <v>11.905472100785488</v>
      </c>
      <c r="CF62" s="1074">
        <f t="shared" si="174"/>
        <v>11.930877523921614</v>
      </c>
      <c r="CG62" s="1074">
        <f t="shared" si="174"/>
        <v>11.939126503657128</v>
      </c>
      <c r="CH62" s="1074">
        <f t="shared" si="174"/>
        <v>11.947381186717189</v>
      </c>
      <c r="CI62" s="1074">
        <f t="shared" si="174"/>
        <v>11.955641577045064</v>
      </c>
      <c r="CJ62" s="1074">
        <f t="shared" si="174"/>
        <v>11.963907678586745</v>
      </c>
      <c r="CK62" s="1074">
        <f t="shared" si="174"/>
        <v>11.97217949529095</v>
      </c>
      <c r="CL62" s="1074">
        <f t="shared" si="174"/>
        <v>11.974983273965139</v>
      </c>
      <c r="CM62" s="1074">
        <f t="shared" si="174"/>
        <v>11.977787709259525</v>
      </c>
      <c r="CN62" s="1074">
        <f t="shared" si="174"/>
        <v>11.980592801327882</v>
      </c>
      <c r="CO62" s="1074">
        <f t="shared" si="174"/>
        <v>11.98339855032402</v>
      </c>
      <c r="CP62" s="1074">
        <f t="shared" si="174"/>
        <v>11.986204956401787</v>
      </c>
      <c r="CQ62" s="1074">
        <f t="shared" si="174"/>
        <v>11.990458334261309</v>
      </c>
      <c r="CR62" s="1074">
        <f t="shared" si="174"/>
        <v>11.99471322145788</v>
      </c>
      <c r="CS62" s="1074">
        <f t="shared" si="174"/>
        <v>11.9989696185271</v>
      </c>
      <c r="CT62" s="1074">
        <f t="shared" si="174"/>
        <v>12.003227526004752</v>
      </c>
      <c r="CU62" s="1074">
        <f t="shared" si="174"/>
        <v>12.007486944426816</v>
      </c>
      <c r="CV62" s="1074">
        <f t="shared" si="174"/>
        <v>12.014042207411556</v>
      </c>
      <c r="CW62" s="1074">
        <f t="shared" si="174"/>
        <v>12.020601049119556</v>
      </c>
      <c r="CX62" s="1074">
        <f t="shared" si="174"/>
        <v>12.027163471504549</v>
      </c>
      <c r="CY62" s="1074">
        <f t="shared" si="174"/>
        <v>12.033729476521339</v>
      </c>
      <c r="CZ62" s="1074">
        <f t="shared" si="174"/>
        <v>12.040299066125799</v>
      </c>
    </row>
    <row r="63" spans="1:104" x14ac:dyDescent="0.25">
      <c r="A63" s="726" t="str">
        <f>'HyARC Physical Property Data'!A75</f>
        <v>Bio Methane</v>
      </c>
      <c r="B63" s="254">
        <v>2007</v>
      </c>
      <c r="C63" s="727">
        <f t="shared" si="165"/>
        <v>1.1413971588333081</v>
      </c>
      <c r="D63" s="1033" t="str">
        <f>'HyARC Physical Property Data'!H75</f>
        <v>mmBtu</v>
      </c>
      <c r="E63" s="727" t="s">
        <v>1031</v>
      </c>
      <c r="F63" s="254">
        <f>'HyARC Physical Property Data'!$E$6</f>
        <v>47.141269049911173</v>
      </c>
      <c r="G63" s="254">
        <f>'HyARC Physical Property Data'!$I$6</f>
        <v>52.224661236371581</v>
      </c>
      <c r="H63" s="854">
        <v>12.42654028436019</v>
      </c>
      <c r="I63" s="854">
        <v>12.42654028436019</v>
      </c>
      <c r="J63" s="854">
        <v>12.42654028436019</v>
      </c>
      <c r="K63" s="854">
        <v>12.42654028436019</v>
      </c>
      <c r="L63" s="854">
        <v>12.42654028436019</v>
      </c>
      <c r="M63" s="854">
        <v>12.42654028436019</v>
      </c>
      <c r="N63" s="254">
        <f t="shared" ref="N63:AM63" si="175">13.11*($C$63/mmBTU_to_GJ)</f>
        <v>14.183617774696369</v>
      </c>
      <c r="O63" s="254">
        <f t="shared" si="175"/>
        <v>14.183617774696369</v>
      </c>
      <c r="P63" s="254">
        <f t="shared" si="175"/>
        <v>14.183617774696369</v>
      </c>
      <c r="Q63" s="254">
        <f t="shared" si="175"/>
        <v>14.183617774696369</v>
      </c>
      <c r="R63" s="254">
        <f t="shared" si="175"/>
        <v>14.183617774696369</v>
      </c>
      <c r="S63" s="254">
        <f t="shared" si="175"/>
        <v>14.183617774696369</v>
      </c>
      <c r="T63" s="254">
        <f t="shared" si="175"/>
        <v>14.183617774696369</v>
      </c>
      <c r="U63" s="254">
        <f t="shared" si="175"/>
        <v>14.183617774696369</v>
      </c>
      <c r="V63" s="254">
        <f t="shared" si="175"/>
        <v>14.183617774696369</v>
      </c>
      <c r="W63" s="254">
        <f t="shared" si="175"/>
        <v>14.183617774696369</v>
      </c>
      <c r="X63" s="254">
        <f t="shared" si="175"/>
        <v>14.183617774696369</v>
      </c>
      <c r="Y63" s="254">
        <f t="shared" si="175"/>
        <v>14.183617774696369</v>
      </c>
      <c r="Z63" s="254">
        <f t="shared" si="175"/>
        <v>14.183617774696369</v>
      </c>
      <c r="AA63" s="254">
        <f t="shared" si="175"/>
        <v>14.183617774696369</v>
      </c>
      <c r="AB63" s="254">
        <f t="shared" si="175"/>
        <v>14.183617774696369</v>
      </c>
      <c r="AC63" s="254">
        <f t="shared" si="175"/>
        <v>14.183617774696369</v>
      </c>
      <c r="AD63" s="254">
        <f t="shared" si="175"/>
        <v>14.183617774696369</v>
      </c>
      <c r="AE63" s="254">
        <f t="shared" si="175"/>
        <v>14.183617774696369</v>
      </c>
      <c r="AF63" s="254">
        <f t="shared" si="175"/>
        <v>14.183617774696369</v>
      </c>
      <c r="AG63" s="254">
        <f t="shared" si="175"/>
        <v>14.183617774696369</v>
      </c>
      <c r="AH63" s="254">
        <f t="shared" si="175"/>
        <v>14.183617774696369</v>
      </c>
      <c r="AI63" s="254">
        <f t="shared" si="175"/>
        <v>14.183617774696369</v>
      </c>
      <c r="AJ63" s="254">
        <f t="shared" si="175"/>
        <v>14.183617774696369</v>
      </c>
      <c r="AK63" s="254">
        <f t="shared" si="175"/>
        <v>14.183617774696369</v>
      </c>
      <c r="AL63" s="254">
        <f t="shared" si="175"/>
        <v>14.183617774696369</v>
      </c>
      <c r="AM63" s="254">
        <f t="shared" si="175"/>
        <v>14.183617774696369</v>
      </c>
      <c r="AN63" s="254">
        <f t="shared" ref="AN63:BV63" si="176">13.11*($C$63/mmBTU_to_GJ)</f>
        <v>14.183617774696369</v>
      </c>
      <c r="AO63" s="254">
        <f t="shared" si="176"/>
        <v>14.183617774696369</v>
      </c>
      <c r="AP63" s="254">
        <f t="shared" si="176"/>
        <v>14.183617774696369</v>
      </c>
      <c r="AQ63" s="254">
        <f t="shared" si="176"/>
        <v>14.183617774696369</v>
      </c>
      <c r="AR63" s="254">
        <f t="shared" si="176"/>
        <v>14.183617774696369</v>
      </c>
      <c r="AS63" s="254">
        <f t="shared" si="176"/>
        <v>14.183617774696369</v>
      </c>
      <c r="AT63" s="254">
        <f t="shared" si="176"/>
        <v>14.183617774696369</v>
      </c>
      <c r="AU63" s="254">
        <f t="shared" si="176"/>
        <v>14.183617774696369</v>
      </c>
      <c r="AV63" s="254">
        <f t="shared" si="176"/>
        <v>14.183617774696369</v>
      </c>
      <c r="AW63" s="254">
        <f t="shared" si="176"/>
        <v>14.183617774696369</v>
      </c>
      <c r="AX63" s="254">
        <f t="shared" si="176"/>
        <v>14.183617774696369</v>
      </c>
      <c r="AY63" s="254">
        <f t="shared" si="176"/>
        <v>14.183617774696369</v>
      </c>
      <c r="AZ63" s="254">
        <f t="shared" si="176"/>
        <v>14.183617774696369</v>
      </c>
      <c r="BA63" s="254">
        <f t="shared" si="176"/>
        <v>14.183617774696369</v>
      </c>
      <c r="BB63" s="254">
        <f t="shared" si="176"/>
        <v>14.183617774696369</v>
      </c>
      <c r="BC63" s="254">
        <f t="shared" si="176"/>
        <v>14.183617774696369</v>
      </c>
      <c r="BD63" s="254">
        <f t="shared" si="176"/>
        <v>14.183617774696369</v>
      </c>
      <c r="BE63" s="254">
        <f t="shared" si="176"/>
        <v>14.183617774696369</v>
      </c>
      <c r="BF63" s="254">
        <f t="shared" si="176"/>
        <v>14.183617774696369</v>
      </c>
      <c r="BG63" s="254">
        <f t="shared" si="176"/>
        <v>14.183617774696369</v>
      </c>
      <c r="BH63" s="254">
        <f t="shared" si="176"/>
        <v>14.183617774696369</v>
      </c>
      <c r="BI63" s="254">
        <f t="shared" si="176"/>
        <v>14.183617774696369</v>
      </c>
      <c r="BJ63" s="254">
        <f t="shared" si="176"/>
        <v>14.183617774696369</v>
      </c>
      <c r="BK63" s="254">
        <f t="shared" si="176"/>
        <v>14.183617774696369</v>
      </c>
      <c r="BL63" s="254">
        <f t="shared" si="176"/>
        <v>14.183617774696369</v>
      </c>
      <c r="BM63" s="254">
        <f t="shared" si="176"/>
        <v>14.183617774696369</v>
      </c>
      <c r="BN63" s="254">
        <f t="shared" si="176"/>
        <v>14.183617774696369</v>
      </c>
      <c r="BO63" s="254">
        <f t="shared" si="176"/>
        <v>14.183617774696369</v>
      </c>
      <c r="BP63" s="254">
        <f t="shared" si="176"/>
        <v>14.183617774696369</v>
      </c>
      <c r="BQ63" s="254">
        <f t="shared" si="176"/>
        <v>14.183617774696369</v>
      </c>
      <c r="BR63" s="726">
        <f t="shared" si="176"/>
        <v>14.183617774696369</v>
      </c>
      <c r="BS63" s="254">
        <f t="shared" si="176"/>
        <v>14.183617774696369</v>
      </c>
      <c r="BT63" s="254">
        <f t="shared" si="176"/>
        <v>14.183617774696369</v>
      </c>
      <c r="BU63" s="254">
        <f t="shared" si="176"/>
        <v>14.183617774696369</v>
      </c>
      <c r="BV63" s="729">
        <f t="shared" si="176"/>
        <v>14.183617774696369</v>
      </c>
      <c r="BW63" s="1074">
        <f>+BV63*BW$136/BV$136</f>
        <v>14.230711556264829</v>
      </c>
      <c r="BX63" s="1074">
        <f t="shared" si="174"/>
        <v>14.277961703035571</v>
      </c>
      <c r="BY63" s="1074">
        <f t="shared" si="174"/>
        <v>14.325368734187041</v>
      </c>
      <c r="BZ63" s="1074">
        <f t="shared" si="174"/>
        <v>14.372933170621517</v>
      </c>
      <c r="CA63" s="1074">
        <f t="shared" si="174"/>
        <v>14.420655534970821</v>
      </c>
      <c r="CB63" s="1074">
        <f t="shared" si="174"/>
        <v>14.451428179067991</v>
      </c>
      <c r="CC63" s="1074">
        <f t="shared" si="174"/>
        <v>14.482266489779443</v>
      </c>
      <c r="CD63" s="1074">
        <f t="shared" si="174"/>
        <v>14.51317060723302</v>
      </c>
      <c r="CE63" s="1074">
        <f t="shared" si="174"/>
        <v>14.54414067185559</v>
      </c>
      <c r="CF63" s="1074">
        <f t="shared" si="174"/>
        <v>14.575176824373679</v>
      </c>
      <c r="CG63" s="1074">
        <f t="shared" si="174"/>
        <v>14.585254066221541</v>
      </c>
      <c r="CH63" s="1074">
        <f t="shared" si="174"/>
        <v>14.595338275449933</v>
      </c>
      <c r="CI63" s="1074">
        <f t="shared" si="174"/>
        <v>14.605429456876088</v>
      </c>
      <c r="CJ63" s="1074">
        <f t="shared" si="174"/>
        <v>14.615527615320566</v>
      </c>
      <c r="CK63" s="1074">
        <f t="shared" si="174"/>
        <v>14.625632755607262</v>
      </c>
      <c r="CL63" s="1074">
        <f t="shared" si="174"/>
        <v>14.629057949594106</v>
      </c>
      <c r="CM63" s="1074">
        <f t="shared" si="174"/>
        <v>14.632483945731124</v>
      </c>
      <c r="CN63" s="1074">
        <f t="shared" si="174"/>
        <v>14.635910744206171</v>
      </c>
      <c r="CO63" s="1074">
        <f t="shared" si="174"/>
        <v>14.639338345207147</v>
      </c>
      <c r="CP63" s="1074">
        <f t="shared" si="174"/>
        <v>14.642766748922</v>
      </c>
      <c r="CQ63" s="1074">
        <f t="shared" si="174"/>
        <v>14.647962823919764</v>
      </c>
      <c r="CR63" s="1074">
        <f t="shared" si="174"/>
        <v>14.6531607427764</v>
      </c>
      <c r="CS63" s="1074">
        <f t="shared" si="174"/>
        <v>14.658360506146211</v>
      </c>
      <c r="CT63" s="1074">
        <f t="shared" si="174"/>
        <v>14.663562114683737</v>
      </c>
      <c r="CU63" s="1074">
        <f t="shared" si="174"/>
        <v>14.668765569043746</v>
      </c>
      <c r="CV63" s="1074">
        <f t="shared" si="174"/>
        <v>14.676773707333766</v>
      </c>
      <c r="CW63" s="1074">
        <f t="shared" si="174"/>
        <v>14.68478621751715</v>
      </c>
      <c r="CX63" s="1074">
        <f t="shared" si="174"/>
        <v>14.692803101980653</v>
      </c>
      <c r="CY63" s="1074">
        <f t="shared" si="174"/>
        <v>14.700824363112332</v>
      </c>
      <c r="CZ63" s="1074">
        <f t="shared" si="174"/>
        <v>14.708850003301547</v>
      </c>
    </row>
    <row r="64" spans="1:104" x14ac:dyDescent="0.25">
      <c r="A64" s="807" t="str">
        <f>'HyARC Physical Property Data'!A85</f>
        <v>Woody Biomass</v>
      </c>
      <c r="B64" s="254">
        <v>2005</v>
      </c>
      <c r="C64" s="727">
        <f>VLOOKUP(ref_year,DeflatorTable,2,FALSE)/VLOOKUP(B64,DeflatorTable,2,FALSE)</f>
        <v>1.208440716126562</v>
      </c>
      <c r="D64" s="1032" t="str">
        <f>+'HyARC Physical Property Data'!$H$85</f>
        <v>kg</v>
      </c>
      <c r="E64" s="748" t="s">
        <v>1025</v>
      </c>
      <c r="F64" s="254">
        <f>'HyARC Physical Property Data'!$E$45</f>
        <v>19.551069237418005</v>
      </c>
      <c r="G64" s="254">
        <f>'HyARC Physical Property Data'!$I$45</f>
        <v>20.588656379262464</v>
      </c>
      <c r="H64" s="854">
        <v>1.3438238843289665</v>
      </c>
      <c r="I64" s="854">
        <v>1.3438238843289665</v>
      </c>
      <c r="J64" s="854">
        <v>1.3438238843289665</v>
      </c>
      <c r="K64" s="854">
        <v>1.3438238843289665</v>
      </c>
      <c r="L64" s="854">
        <v>1.3438238843289665</v>
      </c>
      <c r="M64" s="854">
        <v>1.3438238843289665</v>
      </c>
      <c r="N64" s="254">
        <f>1.27*($C$64)</f>
        <v>1.5347197094807337</v>
      </c>
      <c r="O64" s="254">
        <f>1.27*($C$64)</f>
        <v>1.5347197094807337</v>
      </c>
      <c r="P64" s="254">
        <f>1.28*($C$64)</f>
        <v>1.5468041166419995</v>
      </c>
      <c r="Q64" s="254">
        <f>1.32*($C$64)</f>
        <v>1.595141745287062</v>
      </c>
      <c r="R64" s="254">
        <f>1.32*($C$64)</f>
        <v>1.595141745287062</v>
      </c>
      <c r="S64" s="254">
        <f>1.34*($C$64)</f>
        <v>1.6193105596095931</v>
      </c>
      <c r="T64" s="254">
        <f>1.34*($C$64)</f>
        <v>1.6193105596095931</v>
      </c>
      <c r="U64" s="254">
        <f>1.36*($C$64)</f>
        <v>1.6434793739321245</v>
      </c>
      <c r="V64" s="254">
        <f>1.36*($C$64)</f>
        <v>1.6434793739321245</v>
      </c>
      <c r="W64" s="254">
        <f>1.38*($C$64)</f>
        <v>1.6676481882546554</v>
      </c>
      <c r="X64" s="254">
        <f>1.4*($C$64)</f>
        <v>1.6918170025771868</v>
      </c>
      <c r="Y64" s="254">
        <f>1.46*($C$64)</f>
        <v>1.7643234455447805</v>
      </c>
      <c r="Z64" s="254">
        <f>1.48*($C$64)</f>
        <v>1.7884922598673119</v>
      </c>
      <c r="AA64" s="254">
        <f>1.48*($C$64)</f>
        <v>1.7884922598673119</v>
      </c>
      <c r="AB64" s="254">
        <f>1.51*($C$64)</f>
        <v>1.8247454813511086</v>
      </c>
      <c r="AC64" s="254">
        <f>1.52*($C$64)</f>
        <v>1.8368298885123742</v>
      </c>
      <c r="AD64" s="254">
        <f>1.62*($C$64)</f>
        <v>1.9576739601250306</v>
      </c>
      <c r="AE64" s="254">
        <f>1.72*($C$64)</f>
        <v>2.0785180317376866</v>
      </c>
      <c r="AF64" s="254">
        <f>1.82*($C$64)</f>
        <v>2.1993621033503428</v>
      </c>
      <c r="AG64" s="254">
        <f>1.91*($C$64)</f>
        <v>2.3081217678017332</v>
      </c>
      <c r="AH64" s="254">
        <f>2.01*($C$64)</f>
        <v>2.4289658394143894</v>
      </c>
      <c r="AI64" s="254">
        <f>2.11*($C$64)</f>
        <v>2.5498099110270456</v>
      </c>
      <c r="AJ64" s="254">
        <f>2.2*($C$64)</f>
        <v>2.6585695754784364</v>
      </c>
      <c r="AK64" s="254">
        <f>2.3*($C$64)</f>
        <v>2.7794136470910926</v>
      </c>
      <c r="AL64" s="254">
        <f>2.4*($C$64)</f>
        <v>2.9002577187037488</v>
      </c>
      <c r="AM64" s="254">
        <f>2.5*($C$64)</f>
        <v>3.021101790316405</v>
      </c>
      <c r="AN64" s="254">
        <f>2.57*($C$64)</f>
        <v>3.1056926404452643</v>
      </c>
      <c r="AO64" s="254">
        <f>2.64*($C$64)</f>
        <v>3.190283490574124</v>
      </c>
      <c r="AP64" s="254">
        <f>2.71*($C$64)</f>
        <v>3.2748743407029832</v>
      </c>
      <c r="AQ64" s="254">
        <f>2.78*($C$64)</f>
        <v>3.359465190831842</v>
      </c>
      <c r="AR64" s="254">
        <f>2.85*($C$64)</f>
        <v>3.4440560409607017</v>
      </c>
      <c r="AS64" s="254">
        <f>2.92*($C$64)</f>
        <v>3.528646891089561</v>
      </c>
      <c r="AT64" s="254">
        <f>2.99*($C$64)</f>
        <v>3.6132377412184207</v>
      </c>
      <c r="AU64" s="254">
        <f>3.07*($C$64)</f>
        <v>3.7099129985085453</v>
      </c>
      <c r="AV64" s="254">
        <f>3.14*($C$64)</f>
        <v>3.794503848637405</v>
      </c>
      <c r="AW64" s="254">
        <f>3.21*($C$64)</f>
        <v>3.8790946987662642</v>
      </c>
      <c r="AX64" s="254">
        <f>3.28*($C$64)</f>
        <v>3.963685548895123</v>
      </c>
      <c r="AY64" s="254">
        <f>3.35*($C$64)</f>
        <v>4.0482763990239832</v>
      </c>
      <c r="AZ64" s="254">
        <f>3.42*($C$64)</f>
        <v>4.1328672491528424</v>
      </c>
      <c r="BA64" s="254">
        <f>3.49*($C$64)</f>
        <v>4.2174580992817017</v>
      </c>
      <c r="BB64" s="254">
        <f>3.56*($C$64)</f>
        <v>4.3020489494105609</v>
      </c>
      <c r="BC64" s="254">
        <f>3.64*($C$64)</f>
        <v>4.3987242067006855</v>
      </c>
      <c r="BD64" s="254">
        <f>3.71*($C$64)</f>
        <v>4.4833150568295448</v>
      </c>
      <c r="BE64" s="254">
        <f>3.78*($C$64)</f>
        <v>4.567905906958404</v>
      </c>
      <c r="BF64" s="254">
        <f>3.85*($C$64)</f>
        <v>4.6524967570872642</v>
      </c>
      <c r="BG64" s="254">
        <f>3.92*($C$64)</f>
        <v>4.7370876072161234</v>
      </c>
      <c r="BH64" s="254">
        <f>3.99*($C$64)</f>
        <v>4.8216784573449827</v>
      </c>
      <c r="BI64" s="254">
        <f>4.06*($C$64)</f>
        <v>4.906269307473841</v>
      </c>
      <c r="BJ64" s="254">
        <f>4.14*($C$64)</f>
        <v>5.0029445647639665</v>
      </c>
      <c r="BK64" s="254">
        <f>4.21*($C$64)</f>
        <v>5.0875354148928258</v>
      </c>
      <c r="BL64" s="254">
        <f>4.28*($C$64)</f>
        <v>5.1721262650216859</v>
      </c>
      <c r="BM64" s="254">
        <f>4.35*($C$64)</f>
        <v>5.2567171151505443</v>
      </c>
      <c r="BN64" s="254">
        <f>4.42*($C$64)</f>
        <v>5.3413079652794044</v>
      </c>
      <c r="BO64" s="254">
        <f>4.49*($C$64)</f>
        <v>5.4258988154082637</v>
      </c>
      <c r="BP64" s="254">
        <f>4.56*($C$64)</f>
        <v>5.5104896655371221</v>
      </c>
      <c r="BQ64" s="254">
        <f>4.63*($C$64)</f>
        <v>5.5950805156659822</v>
      </c>
      <c r="BR64" s="726">
        <f>4.71*($C$64)</f>
        <v>5.6917557729561068</v>
      </c>
      <c r="BS64" s="254">
        <f>4.78*($C$64)</f>
        <v>5.7763466230849669</v>
      </c>
      <c r="BT64" s="254">
        <f>4.85*($C$64)</f>
        <v>5.8609374732138253</v>
      </c>
      <c r="BU64" s="254">
        <f>4.92*($C$64)</f>
        <v>5.9455283233426854</v>
      </c>
      <c r="BV64" s="729">
        <f>4.99*($C$64)</f>
        <v>6.0301191734715447</v>
      </c>
      <c r="BW64" s="1074">
        <f>+BV64*BW$137/BV$137</f>
        <v>6.0446132076616896</v>
      </c>
      <c r="BX64" s="1074">
        <f t="shared" ref="BX64:CZ64" si="177">+BW64*BX$137/BW$137</f>
        <v>6.0591420798079438</v>
      </c>
      <c r="BY64" s="1074">
        <f t="shared" si="177"/>
        <v>6.0737058736470511</v>
      </c>
      <c r="BZ64" s="1074">
        <f t="shared" si="177"/>
        <v>6.0883046731170198</v>
      </c>
      <c r="CA64" s="1074">
        <f t="shared" si="177"/>
        <v>6.1029385623576156</v>
      </c>
      <c r="CB64" s="1074">
        <f t="shared" si="177"/>
        <v>6.1157485681116217</v>
      </c>
      <c r="CC64" s="1074">
        <f t="shared" si="177"/>
        <v>6.1285854619369617</v>
      </c>
      <c r="CD64" s="1074">
        <f t="shared" si="177"/>
        <v>6.1414493002714252</v>
      </c>
      <c r="CE64" s="1074">
        <f t="shared" si="177"/>
        <v>6.1543401396712598</v>
      </c>
      <c r="CF64" s="1074">
        <f t="shared" si="177"/>
        <v>6.167258036811428</v>
      </c>
      <c r="CG64" s="1074">
        <f t="shared" si="177"/>
        <v>6.183149548139812</v>
      </c>
      <c r="CH64" s="1074">
        <f t="shared" si="177"/>
        <v>6.1990820079952069</v>
      </c>
      <c r="CI64" s="1074">
        <f t="shared" si="177"/>
        <v>6.215055521891923</v>
      </c>
      <c r="CJ64" s="1074">
        <f t="shared" si="177"/>
        <v>6.2310701956161552</v>
      </c>
      <c r="CK64" s="1074">
        <f t="shared" si="177"/>
        <v>6.2471261352266838</v>
      </c>
      <c r="CL64" s="1074">
        <f t="shared" si="177"/>
        <v>6.2604975997429575</v>
      </c>
      <c r="CM64" s="1074">
        <f t="shared" si="177"/>
        <v>6.2738976847896071</v>
      </c>
      <c r="CN64" s="1074">
        <f t="shared" si="177"/>
        <v>6.2873264516265444</v>
      </c>
      <c r="CO64" s="1074">
        <f t="shared" si="177"/>
        <v>6.3007839616448056</v>
      </c>
      <c r="CP64" s="1074">
        <f t="shared" si="177"/>
        <v>6.3142702763668277</v>
      </c>
      <c r="CQ64" s="1074">
        <f t="shared" si="177"/>
        <v>6.326614172551615</v>
      </c>
      <c r="CR64" s="1074">
        <f t="shared" si="177"/>
        <v>6.3389822000716718</v>
      </c>
      <c r="CS64" s="1074">
        <f t="shared" si="177"/>
        <v>6.3513744061018391</v>
      </c>
      <c r="CT64" s="1074">
        <f t="shared" si="177"/>
        <v>6.3637908379091801</v>
      </c>
      <c r="CU64" s="1074">
        <f t="shared" si="177"/>
        <v>6.376231542853164</v>
      </c>
      <c r="CV64" s="1074">
        <f t="shared" si="177"/>
        <v>6.3909193633613004</v>
      </c>
      <c r="CW64" s="1074">
        <f t="shared" si="177"/>
        <v>6.4056410176582252</v>
      </c>
      <c r="CX64" s="1074">
        <f t="shared" si="177"/>
        <v>6.4203965836809767</v>
      </c>
      <c r="CY64" s="1074">
        <f t="shared" si="177"/>
        <v>6.4351861395461265</v>
      </c>
      <c r="CZ64" s="1074">
        <f t="shared" si="177"/>
        <v>6.450009763550189</v>
      </c>
    </row>
    <row r="65" spans="1:104" x14ac:dyDescent="0.25">
      <c r="A65" s="754" t="str">
        <f>'HyARC Physical Property Data'!A79</f>
        <v>Electric Utility Steam Coal</v>
      </c>
      <c r="B65" s="254">
        <v>2011</v>
      </c>
      <c r="C65" s="727">
        <f>VLOOKUP(ref_year,DeflatorTable,2,FALSE)/VLOOKUP(B65,DeflatorTable,2,FALSE)</f>
        <v>1.0771767810026385</v>
      </c>
      <c r="D65" s="1032" t="str">
        <f>+'HyARC Physical Property Data'!$H$79</f>
        <v>kg</v>
      </c>
      <c r="E65" s="748" t="s">
        <v>1025</v>
      </c>
      <c r="F65" s="254">
        <f>'HyARC Physical Property Data'!$E$42</f>
        <v>22.7322030001394</v>
      </c>
      <c r="G65" s="254">
        <f>'HyARC Physical Property Data'!$I$42</f>
        <v>23.967615189707661</v>
      </c>
      <c r="H65" s="854">
        <v>1.6359074751967535</v>
      </c>
      <c r="I65" s="854">
        <v>1.6359074751967535</v>
      </c>
      <c r="J65" s="854">
        <v>1.6359074751967535</v>
      </c>
      <c r="K65" s="854">
        <v>1.6778298347292193</v>
      </c>
      <c r="L65" s="854">
        <v>1.8315470257945772</v>
      </c>
      <c r="M65" s="854">
        <v>1.8060149340317679</v>
      </c>
      <c r="N65" s="254">
        <f t="shared" ref="N65:AR65" si="178">N79*($C65/mmBTU_to_GJ*$G65/$F65)</f>
        <v>2.4738067312648084</v>
      </c>
      <c r="O65" s="254">
        <f t="shared" si="178"/>
        <v>2.562092342657099</v>
      </c>
      <c r="P65" s="254">
        <f t="shared" si="178"/>
        <v>2.5992975836043981</v>
      </c>
      <c r="Q65" s="254">
        <f t="shared" si="178"/>
        <v>2.5097040133060879</v>
      </c>
      <c r="R65" s="254">
        <f t="shared" si="178"/>
        <v>2.6554020233616504</v>
      </c>
      <c r="S65" s="254">
        <f t="shared" si="178"/>
        <v>2.6808248690608902</v>
      </c>
      <c r="T65" s="254">
        <f t="shared" si="178"/>
        <v>2.7666904873496958</v>
      </c>
      <c r="U65" s="254">
        <f t="shared" si="178"/>
        <v>2.7733379328185648</v>
      </c>
      <c r="V65" s="254">
        <f t="shared" si="178"/>
        <v>2.7935332489312734</v>
      </c>
      <c r="W65" s="254">
        <f t="shared" si="178"/>
        <v>2.8081877712256396</v>
      </c>
      <c r="X65" s="254">
        <f t="shared" si="178"/>
        <v>2.8455997019753716</v>
      </c>
      <c r="Y65" s="254">
        <f t="shared" si="178"/>
        <v>2.875157420232656</v>
      </c>
      <c r="Z65" s="254">
        <f t="shared" si="178"/>
        <v>2.9218811571857422</v>
      </c>
      <c r="AA65" s="254">
        <f t="shared" si="178"/>
        <v>2.9595180783974975</v>
      </c>
      <c r="AB65" s="254">
        <f t="shared" si="178"/>
        <v>3.001801214126441</v>
      </c>
      <c r="AC65" s="254">
        <f t="shared" si="178"/>
        <v>3.0485410987203423</v>
      </c>
      <c r="AD65" s="254">
        <f t="shared" si="178"/>
        <v>3.0887358062372043</v>
      </c>
      <c r="AE65" s="254">
        <f t="shared" si="178"/>
        <v>3.1212689964420113</v>
      </c>
      <c r="AF65" s="254">
        <f t="shared" si="178"/>
        <v>3.1614959992405027</v>
      </c>
      <c r="AG65" s="254">
        <f t="shared" si="178"/>
        <v>3.2059762906296831</v>
      </c>
      <c r="AH65" s="254">
        <f t="shared" si="178"/>
        <v>3.2488525830312334</v>
      </c>
      <c r="AI65" s="254">
        <f t="shared" si="178"/>
        <v>3.2862978855719831</v>
      </c>
      <c r="AJ65" s="254">
        <f t="shared" si="178"/>
        <v>3.3267574143982119</v>
      </c>
      <c r="AK65" s="254">
        <f t="shared" si="178"/>
        <v>3.3693139835116237</v>
      </c>
      <c r="AL65" s="254">
        <f t="shared" si="178"/>
        <v>3.4131279155898357</v>
      </c>
      <c r="AM65" s="254">
        <f t="shared" si="178"/>
        <v>3.462467570354963</v>
      </c>
      <c r="AN65" s="254">
        <f t="shared" si="178"/>
        <v>3.500480193343015</v>
      </c>
      <c r="AO65" s="254">
        <f t="shared" si="178"/>
        <v>3.5291401027709814</v>
      </c>
      <c r="AP65" s="254">
        <f t="shared" si="178"/>
        <v>3.5647628749184039</v>
      </c>
      <c r="AQ65" s="254">
        <f t="shared" si="178"/>
        <v>3.6129969545423934</v>
      </c>
      <c r="AR65" s="254">
        <f t="shared" si="178"/>
        <v>3.658942375208194</v>
      </c>
      <c r="AS65" s="254">
        <f>($BB65-$AR65)/10+AR65</f>
        <v>3.6559939686764786</v>
      </c>
      <c r="AT65" s="254">
        <f t="shared" ref="AT65:BA65" si="179">($BB65-$AR65)/10+AS65</f>
        <v>3.6530455621447633</v>
      </c>
      <c r="AU65" s="254">
        <f t="shared" si="179"/>
        <v>3.6500971556130479</v>
      </c>
      <c r="AV65" s="254">
        <f t="shared" si="179"/>
        <v>3.6471487490813326</v>
      </c>
      <c r="AW65" s="254">
        <f t="shared" si="179"/>
        <v>3.6442003425496172</v>
      </c>
      <c r="AX65" s="254">
        <f t="shared" si="179"/>
        <v>3.6412519360179019</v>
      </c>
      <c r="AY65" s="254">
        <f t="shared" si="179"/>
        <v>3.6383035294861865</v>
      </c>
      <c r="AZ65" s="254">
        <f t="shared" si="179"/>
        <v>3.6353551229544712</v>
      </c>
      <c r="BA65" s="254">
        <f t="shared" si="179"/>
        <v>3.6324067164227558</v>
      </c>
      <c r="BB65" s="782">
        <f>('AEO Data'!$B$28*AM65)</f>
        <v>3.6294583098910396</v>
      </c>
      <c r="BC65" s="254">
        <f>($BQ65-$BB65)/15+BB65</f>
        <v>3.6421956634171884</v>
      </c>
      <c r="BD65" s="254">
        <f t="shared" ref="BD65:BP68" si="180">($BQ65-$BB65)/15+BC65</f>
        <v>3.6549330169433372</v>
      </c>
      <c r="BE65" s="254">
        <f t="shared" si="180"/>
        <v>3.667670370469486</v>
      </c>
      <c r="BF65" s="254">
        <f t="shared" si="180"/>
        <v>3.6804077239956348</v>
      </c>
      <c r="BG65" s="254">
        <f t="shared" si="180"/>
        <v>3.6931450775217836</v>
      </c>
      <c r="BH65" s="254">
        <f t="shared" si="180"/>
        <v>3.7058824310479324</v>
      </c>
      <c r="BI65" s="254">
        <f t="shared" si="180"/>
        <v>3.7186197845740812</v>
      </c>
      <c r="BJ65" s="254">
        <f t="shared" si="180"/>
        <v>3.73135713810023</v>
      </c>
      <c r="BK65" s="254">
        <f t="shared" si="180"/>
        <v>3.7440944916263788</v>
      </c>
      <c r="BL65" s="254">
        <f t="shared" si="180"/>
        <v>3.7568318451525275</v>
      </c>
      <c r="BM65" s="254">
        <f t="shared" si="180"/>
        <v>3.7695691986786763</v>
      </c>
      <c r="BN65" s="254">
        <f t="shared" si="180"/>
        <v>3.7823065522048251</v>
      </c>
      <c r="BO65" s="254">
        <f t="shared" si="180"/>
        <v>3.7950439057309739</v>
      </c>
      <c r="BP65" s="254">
        <f t="shared" si="180"/>
        <v>3.8077812592571227</v>
      </c>
      <c r="BQ65" s="782">
        <f>('AEO Data'!$C$28*BB65)</f>
        <v>3.8205186127832693</v>
      </c>
      <c r="BR65" s="726">
        <f t="shared" ref="BR65:BU68" si="181">($BV65-$BQ65)/5+BQ65</f>
        <v>3.8327668169477032</v>
      </c>
      <c r="BS65" s="254">
        <f t="shared" si="181"/>
        <v>3.845015021112137</v>
      </c>
      <c r="BT65" s="254">
        <f t="shared" si="181"/>
        <v>3.8572632252765708</v>
      </c>
      <c r="BU65" s="254">
        <f t="shared" si="181"/>
        <v>3.8695114294410047</v>
      </c>
      <c r="BV65" s="806">
        <f>('AEO Data'!$D$28*BQ65)</f>
        <v>3.8817596336054376</v>
      </c>
      <c r="BW65" s="1074">
        <f>+BV65*BW$138/BV$138</f>
        <v>3.8948836892010701</v>
      </c>
      <c r="BX65" s="1074">
        <f t="shared" ref="BX65:CZ65" si="182">+BW65*BX$138/BW$138</f>
        <v>3.9080521166413131</v>
      </c>
      <c r="BY65" s="1074">
        <f t="shared" si="182"/>
        <v>3.9212650659453869</v>
      </c>
      <c r="BZ65" s="1074">
        <f t="shared" si="182"/>
        <v>3.934522687639721</v>
      </c>
      <c r="CA65" s="1074">
        <f t="shared" si="182"/>
        <v>3.9478251327596676</v>
      </c>
      <c r="CB65" s="1074">
        <f t="shared" si="182"/>
        <v>3.9591283759223899</v>
      </c>
      <c r="CC65" s="1074">
        <f t="shared" si="182"/>
        <v>3.9704639820448935</v>
      </c>
      <c r="CD65" s="1074">
        <f t="shared" si="182"/>
        <v>3.9818320437874131</v>
      </c>
      <c r="CE65" s="1074">
        <f t="shared" si="182"/>
        <v>3.9932326540754852</v>
      </c>
      <c r="CF65" s="1074">
        <f t="shared" si="182"/>
        <v>4.0046659061007048</v>
      </c>
      <c r="CG65" s="1074">
        <f t="shared" si="182"/>
        <v>4.0133952059294913</v>
      </c>
      <c r="CH65" s="1074">
        <f t="shared" si="182"/>
        <v>4.0221435337314686</v>
      </c>
      <c r="CI65" s="1074">
        <f t="shared" si="182"/>
        <v>4.0309109309834765</v>
      </c>
      <c r="CJ65" s="1074">
        <f t="shared" si="182"/>
        <v>4.0396974392527643</v>
      </c>
      <c r="CK65" s="1074">
        <f t="shared" si="182"/>
        <v>4.0485031001971885</v>
      </c>
      <c r="CL65" s="1074">
        <f t="shared" si="182"/>
        <v>4.0544726040914778</v>
      </c>
      <c r="CM65" s="1074">
        <f t="shared" si="182"/>
        <v>4.0604509099987238</v>
      </c>
      <c r="CN65" s="1074">
        <f t="shared" si="182"/>
        <v>4.0664380308974657</v>
      </c>
      <c r="CO65" s="1074">
        <f t="shared" si="182"/>
        <v>4.0724339797853757</v>
      </c>
      <c r="CP65" s="1074">
        <f t="shared" si="182"/>
        <v>4.0784387696792948</v>
      </c>
      <c r="CQ65" s="1074">
        <f t="shared" si="182"/>
        <v>4.0804496799112764</v>
      </c>
      <c r="CR65" s="1074">
        <f t="shared" si="182"/>
        <v>4.0824615816402954</v>
      </c>
      <c r="CS65" s="1074">
        <f t="shared" si="182"/>
        <v>4.0844744753552202</v>
      </c>
      <c r="CT65" s="1074">
        <f t="shared" si="182"/>
        <v>4.0864883615451566</v>
      </c>
      <c r="CU65" s="1074">
        <f t="shared" si="182"/>
        <v>4.0885032406994535</v>
      </c>
      <c r="CV65" s="1074">
        <f t="shared" si="182"/>
        <v>4.0856074248284502</v>
      </c>
      <c r="CW65" s="1074">
        <f t="shared" si="182"/>
        <v>4.0827136600135576</v>
      </c>
      <c r="CX65" s="1074">
        <f t="shared" si="182"/>
        <v>4.0798219448020498</v>
      </c>
      <c r="CY65" s="1074">
        <f t="shared" si="182"/>
        <v>4.0769322777422268</v>
      </c>
      <c r="CZ65" s="1074">
        <f t="shared" si="182"/>
        <v>4.0740446573834195</v>
      </c>
    </row>
    <row r="66" spans="1:104" x14ac:dyDescent="0.25">
      <c r="A66" s="730" t="str">
        <f>'HyARC Physical Property Data'!A76</f>
        <v>Commercial Electricity</v>
      </c>
      <c r="B66" s="254">
        <v>2011</v>
      </c>
      <c r="C66" s="727">
        <f t="shared" si="165"/>
        <v>1.0771767810026385</v>
      </c>
      <c r="D66" s="1032" t="str">
        <f>'HyARC Physical Property Data'!$H$76</f>
        <v>kWh</v>
      </c>
      <c r="E66" s="727" t="s">
        <v>1044</v>
      </c>
      <c r="F66" s="731"/>
      <c r="G66" s="727"/>
      <c r="H66" s="854">
        <v>26.764062885406638</v>
      </c>
      <c r="I66" s="854">
        <v>26.764062885406638</v>
      </c>
      <c r="J66" s="854">
        <v>26.764062885406638</v>
      </c>
      <c r="K66" s="854">
        <v>26.478521097803213</v>
      </c>
      <c r="L66" s="854">
        <v>27.879470162766175</v>
      </c>
      <c r="M66" s="854">
        <v>27.895326399478549</v>
      </c>
      <c r="N66" s="254">
        <f>N80*($C66)</f>
        <v>32.845898091688653</v>
      </c>
      <c r="O66" s="254">
        <f t="shared" ref="O66:AR68" si="183">O80*($C66)</f>
        <v>32.294462213720315</v>
      </c>
      <c r="P66" s="254">
        <f t="shared" si="183"/>
        <v>30.700817944591027</v>
      </c>
      <c r="Q66" s="254">
        <f t="shared" si="183"/>
        <v>29.936886325857518</v>
      </c>
      <c r="R66" s="254">
        <f t="shared" si="183"/>
        <v>30.351947314643798</v>
      </c>
      <c r="S66" s="254">
        <f t="shared" si="183"/>
        <v>30.31116863324538</v>
      </c>
      <c r="T66" s="254">
        <f t="shared" si="183"/>
        <v>30.903469366754614</v>
      </c>
      <c r="U66" s="254">
        <f t="shared" si="183"/>
        <v>31.264578879287598</v>
      </c>
      <c r="V66" s="254">
        <f t="shared" si="183"/>
        <v>31.3554312005277</v>
      </c>
      <c r="W66" s="254">
        <f t="shared" si="183"/>
        <v>31.211201538258571</v>
      </c>
      <c r="X66" s="254">
        <f t="shared" si="183"/>
        <v>31.282410463720318</v>
      </c>
      <c r="Y66" s="254">
        <f t="shared" si="183"/>
        <v>31.412854417546175</v>
      </c>
      <c r="Z66" s="254">
        <f t="shared" si="183"/>
        <v>31.504922871372031</v>
      </c>
      <c r="AA66" s="254">
        <f t="shared" si="183"/>
        <v>31.44926299274406</v>
      </c>
      <c r="AB66" s="254">
        <f t="shared" si="183"/>
        <v>31.362652593667544</v>
      </c>
      <c r="AC66" s="254">
        <f t="shared" si="183"/>
        <v>31.455675426121374</v>
      </c>
      <c r="AD66" s="254">
        <f t="shared" si="183"/>
        <v>31.429995531662264</v>
      </c>
      <c r="AE66" s="254">
        <f t="shared" si="183"/>
        <v>31.467324015831135</v>
      </c>
      <c r="AF66" s="254">
        <f t="shared" si="183"/>
        <v>31.469078736807386</v>
      </c>
      <c r="AG66" s="254">
        <f t="shared" si="183"/>
        <v>31.609617991424798</v>
      </c>
      <c r="AH66" s="254">
        <f t="shared" si="183"/>
        <v>31.830758075857517</v>
      </c>
      <c r="AI66" s="254">
        <f t="shared" si="183"/>
        <v>32.094287220976256</v>
      </c>
      <c r="AJ66" s="254">
        <f t="shared" si="183"/>
        <v>32.269189492084429</v>
      </c>
      <c r="AK66" s="254">
        <f t="shared" si="183"/>
        <v>32.612192740105542</v>
      </c>
      <c r="AL66" s="254">
        <f t="shared" si="183"/>
        <v>33.178551825197886</v>
      </c>
      <c r="AM66" s="254">
        <f t="shared" si="183"/>
        <v>33.706074378627967</v>
      </c>
      <c r="AN66" s="254">
        <f t="shared" si="183"/>
        <v>34.261722017810023</v>
      </c>
      <c r="AO66" s="254">
        <f t="shared" si="183"/>
        <v>34.758917736147751</v>
      </c>
      <c r="AP66" s="254">
        <f t="shared" si="183"/>
        <v>35.188647718337727</v>
      </c>
      <c r="AQ66" s="254">
        <f t="shared" si="183"/>
        <v>35.787504149736144</v>
      </c>
      <c r="AR66" s="254">
        <f t="shared" si="183"/>
        <v>36.169038011213715</v>
      </c>
      <c r="AS66" s="254">
        <f t="shared" ref="AS66:BA66" si="184">($BB66-$AR66)/10+AR66</f>
        <v>35.838717572225882</v>
      </c>
      <c r="AT66" s="254">
        <f t="shared" si="184"/>
        <v>35.508397133238049</v>
      </c>
      <c r="AU66" s="254">
        <f t="shared" si="184"/>
        <v>35.178076694250215</v>
      </c>
      <c r="AV66" s="254">
        <f t="shared" si="184"/>
        <v>34.847756255262382</v>
      </c>
      <c r="AW66" s="254">
        <f t="shared" si="184"/>
        <v>34.517435816274549</v>
      </c>
      <c r="AX66" s="254">
        <f t="shared" si="184"/>
        <v>34.187115377286716</v>
      </c>
      <c r="AY66" s="254">
        <f t="shared" si="184"/>
        <v>33.856794938298883</v>
      </c>
      <c r="AZ66" s="254">
        <f t="shared" si="184"/>
        <v>33.52647449931105</v>
      </c>
      <c r="BA66" s="254">
        <f t="shared" si="184"/>
        <v>33.196154060323217</v>
      </c>
      <c r="BB66" s="782">
        <f>'AEO Data'!$B$33*AM66</f>
        <v>32.865833621335355</v>
      </c>
      <c r="BC66" s="254">
        <f>($BQ66-$BB66)/15+BB66</f>
        <v>32.884982038593449</v>
      </c>
      <c r="BD66" s="254">
        <f t="shared" si="180"/>
        <v>32.904130455851544</v>
      </c>
      <c r="BE66" s="254">
        <f t="shared" si="180"/>
        <v>32.923278873109638</v>
      </c>
      <c r="BF66" s="254">
        <f t="shared" si="180"/>
        <v>32.942427290367732</v>
      </c>
      <c r="BG66" s="254">
        <f t="shared" si="180"/>
        <v>32.961575707625826</v>
      </c>
      <c r="BH66" s="254">
        <f t="shared" si="180"/>
        <v>32.98072412488392</v>
      </c>
      <c r="BI66" s="254">
        <f t="shared" si="180"/>
        <v>32.999872542142015</v>
      </c>
      <c r="BJ66" s="254">
        <f t="shared" si="180"/>
        <v>33.019020959400109</v>
      </c>
      <c r="BK66" s="254">
        <f t="shared" si="180"/>
        <v>33.038169376658203</v>
      </c>
      <c r="BL66" s="254">
        <f t="shared" si="180"/>
        <v>33.057317793916297</v>
      </c>
      <c r="BM66" s="254">
        <f t="shared" si="180"/>
        <v>33.076466211174392</v>
      </c>
      <c r="BN66" s="254">
        <f t="shared" si="180"/>
        <v>33.095614628432486</v>
      </c>
      <c r="BO66" s="254">
        <f t="shared" si="180"/>
        <v>33.11476304569058</v>
      </c>
      <c r="BP66" s="254">
        <f t="shared" si="180"/>
        <v>33.133911462948674</v>
      </c>
      <c r="BQ66" s="782">
        <f>'AEO Data'!$C$33*BB66</f>
        <v>33.153059880206783</v>
      </c>
      <c r="BR66" s="726">
        <f t="shared" si="181"/>
        <v>33.130736260086941</v>
      </c>
      <c r="BS66" s="254">
        <f t="shared" si="181"/>
        <v>33.108412639967099</v>
      </c>
      <c r="BT66" s="254">
        <f t="shared" si="181"/>
        <v>33.086089019847257</v>
      </c>
      <c r="BU66" s="254">
        <f t="shared" si="181"/>
        <v>33.063765399727416</v>
      </c>
      <c r="BV66" s="806">
        <f>'AEO Data'!$D$33*BQ66</f>
        <v>33.04144177960756</v>
      </c>
      <c r="BW66" s="1074">
        <f>+BV66*BW$139/BV$139</f>
        <v>33.026893508206783</v>
      </c>
      <c r="BX66" s="1074">
        <f t="shared" ref="BX66:CZ66" si="185">+BW66*BX$139/BW$139</f>
        <v>33.012351642464765</v>
      </c>
      <c r="BY66" s="1074">
        <f t="shared" si="185"/>
        <v>32.997816179561063</v>
      </c>
      <c r="BZ66" s="1074">
        <f t="shared" si="185"/>
        <v>32.983287116676486</v>
      </c>
      <c r="CA66" s="1074">
        <f t="shared" si="185"/>
        <v>32.968764450993078</v>
      </c>
      <c r="CB66" s="1074">
        <f t="shared" si="185"/>
        <v>32.94235698552729</v>
      </c>
      <c r="CC66" s="1074">
        <f t="shared" si="185"/>
        <v>32.915970672028941</v>
      </c>
      <c r="CD66" s="1074">
        <f t="shared" si="185"/>
        <v>32.889605493555642</v>
      </c>
      <c r="CE66" s="1074">
        <f t="shared" si="185"/>
        <v>32.863261433178565</v>
      </c>
      <c r="CF66" s="1074">
        <f t="shared" si="185"/>
        <v>32.83693847398245</v>
      </c>
      <c r="CG66" s="1074">
        <f t="shared" si="185"/>
        <v>32.800677122537721</v>
      </c>
      <c r="CH66" s="1074">
        <f t="shared" si="185"/>
        <v>32.764455813973655</v>
      </c>
      <c r="CI66" s="1074">
        <f t="shared" si="185"/>
        <v>32.728274504071479</v>
      </c>
      <c r="CJ66" s="1074">
        <f t="shared" si="185"/>
        <v>32.692133148661256</v>
      </c>
      <c r="CK66" s="1074">
        <f t="shared" si="185"/>
        <v>32.656031703621828</v>
      </c>
      <c r="CL66" s="1074">
        <f t="shared" si="185"/>
        <v>32.61667230567209</v>
      </c>
      <c r="CM66" s="1074">
        <f t="shared" si="185"/>
        <v>32.57736034649939</v>
      </c>
      <c r="CN66" s="1074">
        <f t="shared" si="185"/>
        <v>32.538095768927107</v>
      </c>
      <c r="CO66" s="1074">
        <f t="shared" si="185"/>
        <v>32.498878515847522</v>
      </c>
      <c r="CP66" s="1074">
        <f t="shared" si="185"/>
        <v>32.459708530221761</v>
      </c>
      <c r="CQ66" s="1074">
        <f t="shared" si="185"/>
        <v>32.414339458662745</v>
      </c>
      <c r="CR66" s="1074">
        <f t="shared" si="185"/>
        <v>32.369033799646459</v>
      </c>
      <c r="CS66" s="1074">
        <f t="shared" si="185"/>
        <v>32.323791464540925</v>
      </c>
      <c r="CT66" s="1074">
        <f t="shared" si="185"/>
        <v>32.27861236483804</v>
      </c>
      <c r="CU66" s="1074">
        <f t="shared" si="185"/>
        <v>32.233496412153421</v>
      </c>
      <c r="CV66" s="1074">
        <f t="shared" si="185"/>
        <v>32.189455210275135</v>
      </c>
      <c r="CW66" s="1074">
        <f t="shared" si="185"/>
        <v>32.145474182677603</v>
      </c>
      <c r="CX66" s="1074">
        <f t="shared" si="185"/>
        <v>32.101553247143634</v>
      </c>
      <c r="CY66" s="1074">
        <f t="shared" si="185"/>
        <v>32.057692321568368</v>
      </c>
      <c r="CZ66" s="1074">
        <f t="shared" si="185"/>
        <v>32.013891323959122</v>
      </c>
    </row>
    <row r="67" spans="1:104" x14ac:dyDescent="0.25">
      <c r="A67" s="730" t="str">
        <f>'HyARC Physical Property Data'!A77</f>
        <v>Industrial Electricity</v>
      </c>
      <c r="B67" s="254">
        <v>2011</v>
      </c>
      <c r="C67" s="727">
        <f t="shared" si="165"/>
        <v>1.0771767810026385</v>
      </c>
      <c r="D67" s="1020" t="str">
        <f>'HyARC Physical Property Data'!$H$77</f>
        <v>kWh</v>
      </c>
      <c r="E67" s="727" t="s">
        <v>1044</v>
      </c>
      <c r="F67" s="738"/>
      <c r="G67" s="220"/>
      <c r="H67" s="857">
        <v>17.365230901091444</v>
      </c>
      <c r="I67" s="857">
        <v>17.365230901091444</v>
      </c>
      <c r="J67" s="857">
        <v>17.365230901091444</v>
      </c>
      <c r="K67" s="857">
        <v>17.575551809904887</v>
      </c>
      <c r="L67" s="857">
        <v>19.530121721487372</v>
      </c>
      <c r="M67" s="857">
        <v>19.467200489895287</v>
      </c>
      <c r="N67" s="220">
        <f t="shared" ref="N67:AC68" si="186">N81*($C67)</f>
        <v>21.824080926781001</v>
      </c>
      <c r="O67" s="220">
        <f t="shared" si="186"/>
        <v>21.517382844986805</v>
      </c>
      <c r="P67" s="220">
        <f t="shared" si="186"/>
        <v>19.878853696569919</v>
      </c>
      <c r="Q67" s="220">
        <f t="shared" si="186"/>
        <v>19.559017289577834</v>
      </c>
      <c r="R67" s="220">
        <f t="shared" si="186"/>
        <v>19.681393189313983</v>
      </c>
      <c r="S67" s="220">
        <f t="shared" si="186"/>
        <v>19.595758712401054</v>
      </c>
      <c r="T67" s="220">
        <f t="shared" si="186"/>
        <v>20.147114879287596</v>
      </c>
      <c r="U67" s="220">
        <f t="shared" si="186"/>
        <v>20.469555899736147</v>
      </c>
      <c r="V67" s="220">
        <f t="shared" si="186"/>
        <v>20.570052184696571</v>
      </c>
      <c r="W67" s="220">
        <f t="shared" si="186"/>
        <v>20.520463274406332</v>
      </c>
      <c r="X67" s="220">
        <f t="shared" si="186"/>
        <v>20.569618082453825</v>
      </c>
      <c r="Y67" s="220">
        <f t="shared" si="186"/>
        <v>20.73793341754617</v>
      </c>
      <c r="Z67" s="220">
        <f t="shared" si="186"/>
        <v>20.92149511279683</v>
      </c>
      <c r="AA67" s="220">
        <f t="shared" si="186"/>
        <v>21.047268428100264</v>
      </c>
      <c r="AB67" s="220">
        <f t="shared" si="186"/>
        <v>21.075329960422163</v>
      </c>
      <c r="AC67" s="220">
        <f t="shared" si="186"/>
        <v>21.244222662269127</v>
      </c>
      <c r="AD67" s="220">
        <f t="shared" si="183"/>
        <v>21.339939513852244</v>
      </c>
      <c r="AE67" s="220">
        <f t="shared" si="183"/>
        <v>21.483012288258571</v>
      </c>
      <c r="AF67" s="220">
        <f t="shared" si="183"/>
        <v>21.593541397757257</v>
      </c>
      <c r="AG67" s="220">
        <f t="shared" si="183"/>
        <v>21.800339950527704</v>
      </c>
      <c r="AH67" s="220">
        <f t="shared" si="183"/>
        <v>21.997833850263849</v>
      </c>
      <c r="AI67" s="220">
        <f t="shared" si="183"/>
        <v>22.197943135224271</v>
      </c>
      <c r="AJ67" s="220">
        <f t="shared" si="183"/>
        <v>22.447729658970974</v>
      </c>
      <c r="AK67" s="220">
        <f t="shared" si="183"/>
        <v>22.811336067282323</v>
      </c>
      <c r="AL67" s="220">
        <f t="shared" si="183"/>
        <v>23.297994842348285</v>
      </c>
      <c r="AM67" s="220">
        <f t="shared" si="183"/>
        <v>23.815261595646437</v>
      </c>
      <c r="AN67" s="220">
        <f t="shared" si="183"/>
        <v>24.308689349604222</v>
      </c>
      <c r="AO67" s="220">
        <f t="shared" si="183"/>
        <v>24.764817703166226</v>
      </c>
      <c r="AP67" s="220">
        <f t="shared" si="183"/>
        <v>25.184108765171505</v>
      </c>
      <c r="AQ67" s="220">
        <f t="shared" si="183"/>
        <v>25.713819064643797</v>
      </c>
      <c r="AR67" s="220">
        <f t="shared" si="183"/>
        <v>26.032369322559369</v>
      </c>
      <c r="AS67" s="254">
        <f t="shared" ref="AS67:BA67" si="187">($BB67-$AR67)/10+AR67</f>
        <v>25.751290753982193</v>
      </c>
      <c r="AT67" s="254">
        <f t="shared" si="187"/>
        <v>25.470212185405018</v>
      </c>
      <c r="AU67" s="254">
        <f t="shared" si="187"/>
        <v>25.189133616827842</v>
      </c>
      <c r="AV67" s="254">
        <f t="shared" si="187"/>
        <v>24.908055048250667</v>
      </c>
      <c r="AW67" s="254">
        <f t="shared" si="187"/>
        <v>24.626976479673491</v>
      </c>
      <c r="AX67" s="254">
        <f t="shared" si="187"/>
        <v>24.345897911096316</v>
      </c>
      <c r="AY67" s="254">
        <f t="shared" si="187"/>
        <v>24.06481934251914</v>
      </c>
      <c r="AZ67" s="254">
        <f t="shared" si="187"/>
        <v>23.783740773941965</v>
      </c>
      <c r="BA67" s="254">
        <f t="shared" si="187"/>
        <v>23.502662205364789</v>
      </c>
      <c r="BB67" s="782">
        <f>'AEO Data'!$B$33*AM67</f>
        <v>23.22158363678761</v>
      </c>
      <c r="BC67" s="254">
        <f>($BQ67-$BB67)/15+BB67</f>
        <v>23.235113084359032</v>
      </c>
      <c r="BD67" s="254">
        <f t="shared" si="180"/>
        <v>23.248642531930454</v>
      </c>
      <c r="BE67" s="254">
        <f t="shared" si="180"/>
        <v>23.262171979501876</v>
      </c>
      <c r="BF67" s="254">
        <f t="shared" si="180"/>
        <v>23.275701427073297</v>
      </c>
      <c r="BG67" s="254">
        <f t="shared" si="180"/>
        <v>23.289230874644719</v>
      </c>
      <c r="BH67" s="254">
        <f t="shared" si="180"/>
        <v>23.302760322216141</v>
      </c>
      <c r="BI67" s="254">
        <f t="shared" si="180"/>
        <v>23.316289769787563</v>
      </c>
      <c r="BJ67" s="254">
        <f t="shared" si="180"/>
        <v>23.329819217358985</v>
      </c>
      <c r="BK67" s="254">
        <f t="shared" si="180"/>
        <v>23.343348664930406</v>
      </c>
      <c r="BL67" s="254">
        <f t="shared" si="180"/>
        <v>23.356878112501828</v>
      </c>
      <c r="BM67" s="254">
        <f t="shared" si="180"/>
        <v>23.37040756007325</v>
      </c>
      <c r="BN67" s="254">
        <f t="shared" si="180"/>
        <v>23.383937007644672</v>
      </c>
      <c r="BO67" s="254">
        <f t="shared" si="180"/>
        <v>23.397466455216094</v>
      </c>
      <c r="BP67" s="254">
        <f t="shared" si="180"/>
        <v>23.410995902787516</v>
      </c>
      <c r="BQ67" s="782">
        <f>'AEO Data'!$C$33*BB67</f>
        <v>23.424525350358955</v>
      </c>
      <c r="BR67" s="726">
        <f t="shared" si="181"/>
        <v>23.408752441092101</v>
      </c>
      <c r="BS67" s="254">
        <f t="shared" si="181"/>
        <v>23.392979531825247</v>
      </c>
      <c r="BT67" s="254">
        <f t="shared" si="181"/>
        <v>23.377206622558393</v>
      </c>
      <c r="BU67" s="254">
        <f t="shared" si="181"/>
        <v>23.36143371329154</v>
      </c>
      <c r="BV67" s="806">
        <f>'AEO Data'!$D$33*BQ67</f>
        <v>23.345660804024686</v>
      </c>
      <c r="BW67" s="1074">
        <f>+BV67*BW$140/BV$140</f>
        <v>23.3527149207825</v>
      </c>
      <c r="BX67" s="1074">
        <f t="shared" ref="BX67:CZ67" si="188">+BW67*BX$140/BW$140</f>
        <v>23.359771169009782</v>
      </c>
      <c r="BY67" s="1074">
        <f t="shared" si="188"/>
        <v>23.366829549350573</v>
      </c>
      <c r="BZ67" s="1074">
        <f t="shared" si="188"/>
        <v>23.373890062449121</v>
      </c>
      <c r="CA67" s="1074">
        <f t="shared" si="188"/>
        <v>23.380952708949849</v>
      </c>
      <c r="CB67" s="1074">
        <f t="shared" si="188"/>
        <v>23.378308502870599</v>
      </c>
      <c r="CC67" s="1074">
        <f t="shared" si="188"/>
        <v>23.375664595830738</v>
      </c>
      <c r="CD67" s="1074">
        <f t="shared" si="188"/>
        <v>23.373020987796441</v>
      </c>
      <c r="CE67" s="1074">
        <f t="shared" si="188"/>
        <v>23.370377678733899</v>
      </c>
      <c r="CF67" s="1074">
        <f t="shared" si="188"/>
        <v>23.367734668609302</v>
      </c>
      <c r="CG67" s="1074">
        <f t="shared" si="188"/>
        <v>23.357134857315337</v>
      </c>
      <c r="CH67" s="1074">
        <f t="shared" si="188"/>
        <v>23.346539854189601</v>
      </c>
      <c r="CI67" s="1074">
        <f t="shared" si="188"/>
        <v>23.335949657051067</v>
      </c>
      <c r="CJ67" s="1074">
        <f t="shared" si="188"/>
        <v>23.325364263719699</v>
      </c>
      <c r="CK67" s="1074">
        <f t="shared" si="188"/>
        <v>23.314783672016446</v>
      </c>
      <c r="CL67" s="1074">
        <f t="shared" si="188"/>
        <v>23.301803459317899</v>
      </c>
      <c r="CM67" s="1074">
        <f t="shared" si="188"/>
        <v>23.288830473189584</v>
      </c>
      <c r="CN67" s="1074">
        <f t="shared" si="188"/>
        <v>23.275864709608204</v>
      </c>
      <c r="CO67" s="1074">
        <f t="shared" si="188"/>
        <v>23.262906164552696</v>
      </c>
      <c r="CP67" s="1074">
        <f t="shared" si="188"/>
        <v>23.249954834004228</v>
      </c>
      <c r="CQ67" s="1074">
        <f t="shared" si="188"/>
        <v>23.232210866712229</v>
      </c>
      <c r="CR67" s="1074">
        <f t="shared" si="188"/>
        <v>23.214480441312137</v>
      </c>
      <c r="CS67" s="1074">
        <f t="shared" si="188"/>
        <v>23.196763547469015</v>
      </c>
      <c r="CT67" s="1074">
        <f t="shared" si="188"/>
        <v>23.179060174855813</v>
      </c>
      <c r="CU67" s="1074">
        <f t="shared" si="188"/>
        <v>23.161370313153348</v>
      </c>
      <c r="CV67" s="1074">
        <f t="shared" si="188"/>
        <v>23.144738488925565</v>
      </c>
      <c r="CW67" s="1074">
        <f t="shared" si="188"/>
        <v>23.128118607755269</v>
      </c>
      <c r="CX67" s="1074">
        <f t="shared" si="188"/>
        <v>23.111510661066333</v>
      </c>
      <c r="CY67" s="1074">
        <f t="shared" si="188"/>
        <v>23.094914640288788</v>
      </c>
      <c r="CZ67" s="1074">
        <f t="shared" si="188"/>
        <v>23.078330536858825</v>
      </c>
    </row>
    <row r="68" spans="1:104" ht="13.8" thickBot="1" x14ac:dyDescent="0.3">
      <c r="A68" s="732" t="str">
        <f>'HyARC Physical Property Data'!A78</f>
        <v>Residential Electricity</v>
      </c>
      <c r="B68" s="733">
        <v>2011</v>
      </c>
      <c r="C68" s="734">
        <f t="shared" si="165"/>
        <v>1.0771767810026385</v>
      </c>
      <c r="D68" s="1021" t="str">
        <f>'HyARC Physical Property Data'!$H$78</f>
        <v>kWh</v>
      </c>
      <c r="E68" s="734" t="s">
        <v>1044</v>
      </c>
      <c r="F68" s="739"/>
      <c r="G68" s="484"/>
      <c r="H68" s="858">
        <v>29.433773538887177</v>
      </c>
      <c r="I68" s="858">
        <v>29.433773538887177</v>
      </c>
      <c r="J68" s="858">
        <v>29.433773538887177</v>
      </c>
      <c r="K68" s="858">
        <v>29.415861064534436</v>
      </c>
      <c r="L68" s="858">
        <v>30.500905105766051</v>
      </c>
      <c r="M68" s="858">
        <v>30.574559070308627</v>
      </c>
      <c r="N68" s="484">
        <f t="shared" si="186"/>
        <v>37.187183350263851</v>
      </c>
      <c r="O68" s="484">
        <f t="shared" si="183"/>
        <v>36.985808382585752</v>
      </c>
      <c r="P68" s="484">
        <f t="shared" si="183"/>
        <v>35.861648381926123</v>
      </c>
      <c r="Q68" s="484">
        <f t="shared" si="183"/>
        <v>35.074328023746702</v>
      </c>
      <c r="R68" s="484">
        <f t="shared" si="183"/>
        <v>35.926786339050132</v>
      </c>
      <c r="S68" s="484">
        <f t="shared" si="183"/>
        <v>36.073591531002634</v>
      </c>
      <c r="T68" s="484">
        <f t="shared" si="183"/>
        <v>36.674317941292877</v>
      </c>
      <c r="U68" s="484">
        <f t="shared" si="183"/>
        <v>36.975630139182059</v>
      </c>
      <c r="V68" s="484">
        <f t="shared" si="183"/>
        <v>36.950708577176783</v>
      </c>
      <c r="W68" s="484">
        <f t="shared" si="183"/>
        <v>36.706312246042216</v>
      </c>
      <c r="X68" s="484">
        <f t="shared" si="183"/>
        <v>36.737241222955141</v>
      </c>
      <c r="Y68" s="484">
        <f t="shared" si="183"/>
        <v>36.822931713060683</v>
      </c>
      <c r="Z68" s="484">
        <f t="shared" si="183"/>
        <v>36.936536162269128</v>
      </c>
      <c r="AA68" s="484">
        <f t="shared" si="183"/>
        <v>36.968069435356199</v>
      </c>
      <c r="AB68" s="484">
        <f t="shared" si="183"/>
        <v>37.072613750659634</v>
      </c>
      <c r="AC68" s="484">
        <f t="shared" si="183"/>
        <v>37.406478230870711</v>
      </c>
      <c r="AD68" s="484">
        <f t="shared" si="183"/>
        <v>37.597953943931394</v>
      </c>
      <c r="AE68" s="484">
        <f t="shared" si="183"/>
        <v>37.769102253957783</v>
      </c>
      <c r="AF68" s="484">
        <f t="shared" si="183"/>
        <v>37.892630732849597</v>
      </c>
      <c r="AG68" s="484">
        <f t="shared" si="183"/>
        <v>38.064576153693928</v>
      </c>
      <c r="AH68" s="484">
        <f t="shared" si="183"/>
        <v>38.24699927308707</v>
      </c>
      <c r="AI68" s="484">
        <f t="shared" si="183"/>
        <v>38.482771726912929</v>
      </c>
      <c r="AJ68" s="484">
        <f t="shared" si="183"/>
        <v>38.653685212401051</v>
      </c>
      <c r="AK68" s="484">
        <f t="shared" si="183"/>
        <v>38.945181098284962</v>
      </c>
      <c r="AL68" s="484">
        <f t="shared" si="183"/>
        <v>39.434103021767804</v>
      </c>
      <c r="AM68" s="484">
        <f t="shared" si="183"/>
        <v>39.943878010554087</v>
      </c>
      <c r="AN68" s="484">
        <f t="shared" si="183"/>
        <v>40.396384895778361</v>
      </c>
      <c r="AO68" s="484">
        <f t="shared" si="183"/>
        <v>40.762839359498678</v>
      </c>
      <c r="AP68" s="484">
        <f t="shared" si="183"/>
        <v>41.106692500000001</v>
      </c>
      <c r="AQ68" s="484">
        <f t="shared" si="183"/>
        <v>41.598897658311344</v>
      </c>
      <c r="AR68" s="484">
        <f t="shared" si="183"/>
        <v>41.849125824538255</v>
      </c>
      <c r="AS68" s="733">
        <f t="shared" ref="AS68:BA68" si="189">($BB68-$AR68)/10+AR68</f>
        <v>41.559027079314276</v>
      </c>
      <c r="AT68" s="733">
        <f t="shared" si="189"/>
        <v>41.268928334090297</v>
      </c>
      <c r="AU68" s="733">
        <f t="shared" si="189"/>
        <v>40.978829588866319</v>
      </c>
      <c r="AV68" s="733">
        <f t="shared" si="189"/>
        <v>40.68873084364234</v>
      </c>
      <c r="AW68" s="733">
        <f t="shared" si="189"/>
        <v>40.398632098418361</v>
      </c>
      <c r="AX68" s="733">
        <f t="shared" si="189"/>
        <v>40.108533353194382</v>
      </c>
      <c r="AY68" s="733">
        <f t="shared" si="189"/>
        <v>39.818434607970403</v>
      </c>
      <c r="AZ68" s="733">
        <f t="shared" si="189"/>
        <v>39.528335862746424</v>
      </c>
      <c r="BA68" s="733">
        <f t="shared" si="189"/>
        <v>39.238237117522445</v>
      </c>
      <c r="BB68" s="811">
        <f>'AEO Data'!$B$33*AM68</f>
        <v>38.948138372298473</v>
      </c>
      <c r="BC68" s="733">
        <f>($BQ68-$BB68)/15+BB68</f>
        <v>38.9708304851343</v>
      </c>
      <c r="BD68" s="733">
        <f t="shared" si="180"/>
        <v>38.993522597970127</v>
      </c>
      <c r="BE68" s="733">
        <f t="shared" si="180"/>
        <v>39.016214710805954</v>
      </c>
      <c r="BF68" s="733">
        <f t="shared" si="180"/>
        <v>39.038906823641781</v>
      </c>
      <c r="BG68" s="733">
        <f t="shared" si="180"/>
        <v>39.061598936477608</v>
      </c>
      <c r="BH68" s="733">
        <f t="shared" si="180"/>
        <v>39.084291049313435</v>
      </c>
      <c r="BI68" s="733">
        <f t="shared" si="180"/>
        <v>39.106983162149263</v>
      </c>
      <c r="BJ68" s="733">
        <f t="shared" si="180"/>
        <v>39.12967527498509</v>
      </c>
      <c r="BK68" s="733">
        <f t="shared" si="180"/>
        <v>39.152367387820917</v>
      </c>
      <c r="BL68" s="733">
        <f t="shared" si="180"/>
        <v>39.175059500656744</v>
      </c>
      <c r="BM68" s="733">
        <f t="shared" si="180"/>
        <v>39.197751613492571</v>
      </c>
      <c r="BN68" s="733">
        <f t="shared" si="180"/>
        <v>39.220443726328398</v>
      </c>
      <c r="BO68" s="733">
        <f t="shared" si="180"/>
        <v>39.243135839164225</v>
      </c>
      <c r="BP68" s="733">
        <f t="shared" si="180"/>
        <v>39.265827952000052</v>
      </c>
      <c r="BQ68" s="811">
        <f>'AEO Data'!$C$33*BB68</f>
        <v>39.288520064835851</v>
      </c>
      <c r="BR68" s="816">
        <f t="shared" si="181"/>
        <v>39.262065131259057</v>
      </c>
      <c r="BS68" s="733">
        <f t="shared" si="181"/>
        <v>39.235610197682263</v>
      </c>
      <c r="BT68" s="733">
        <f t="shared" si="181"/>
        <v>39.209155264105469</v>
      </c>
      <c r="BU68" s="733">
        <f t="shared" si="181"/>
        <v>39.182700330528675</v>
      </c>
      <c r="BV68" s="812">
        <f>'AEO Data'!$D$33*BQ68</f>
        <v>39.156245396951888</v>
      </c>
      <c r="BW68" s="1074">
        <f>+BV68*BW$141/BV$141</f>
        <v>39.139004754462078</v>
      </c>
      <c r="BX68" s="1074">
        <f t="shared" ref="BX68:CZ68" si="190">+BW68*BX$141/BW$141</f>
        <v>39.121771703092165</v>
      </c>
      <c r="BY68" s="1074">
        <f t="shared" si="190"/>
        <v>39.104546239499747</v>
      </c>
      <c r="BZ68" s="1074">
        <f t="shared" si="190"/>
        <v>39.087328360343896</v>
      </c>
      <c r="CA68" s="1074">
        <f t="shared" si="190"/>
        <v>39.070118062285161</v>
      </c>
      <c r="CB68" s="1074">
        <f t="shared" si="190"/>
        <v>39.038823507859021</v>
      </c>
      <c r="CC68" s="1074">
        <f t="shared" si="190"/>
        <v>39.007554019882264</v>
      </c>
      <c r="CD68" s="1074">
        <f t="shared" si="190"/>
        <v>38.976309578277061</v>
      </c>
      <c r="CE68" s="1074">
        <f t="shared" si="190"/>
        <v>38.94509016298165</v>
      </c>
      <c r="CF68" s="1074">
        <f t="shared" si="190"/>
        <v>38.913895753950342</v>
      </c>
      <c r="CG68" s="1074">
        <f t="shared" si="190"/>
        <v>38.870923707359104</v>
      </c>
      <c r="CH68" s="1074">
        <f t="shared" si="190"/>
        <v>38.827999114171142</v>
      </c>
      <c r="CI68" s="1074">
        <f t="shared" si="190"/>
        <v>38.785121921984356</v>
      </c>
      <c r="CJ68" s="1074">
        <f t="shared" si="190"/>
        <v>38.742292078454511</v>
      </c>
      <c r="CK68" s="1074">
        <f t="shared" si="190"/>
        <v>38.699509531295178</v>
      </c>
      <c r="CL68" s="1074">
        <f t="shared" si="190"/>
        <v>38.652866099235652</v>
      </c>
      <c r="CM68" s="1074">
        <f t="shared" si="190"/>
        <v>38.606278885194918</v>
      </c>
      <c r="CN68" s="1074">
        <f t="shared" si="190"/>
        <v>38.559747821414987</v>
      </c>
      <c r="CO68" s="1074">
        <f t="shared" si="190"/>
        <v>38.513272840219521</v>
      </c>
      <c r="CP68" s="1074">
        <f t="shared" si="190"/>
        <v>38.466853874013751</v>
      </c>
      <c r="CQ68" s="1074">
        <f t="shared" si="190"/>
        <v>38.413088590063794</v>
      </c>
      <c r="CR68" s="1074">
        <f t="shared" si="190"/>
        <v>38.359398454078047</v>
      </c>
      <c r="CS68" s="1074">
        <f t="shared" si="190"/>
        <v>38.305783361021881</v>
      </c>
      <c r="CT68" s="1074">
        <f t="shared" si="190"/>
        <v>38.252243206007478</v>
      </c>
      <c r="CU68" s="1074">
        <f t="shared" si="190"/>
        <v>38.198777884293627</v>
      </c>
      <c r="CV68" s="1074">
        <f t="shared" si="190"/>
        <v>38.146586211792602</v>
      </c>
      <c r="CW68" s="1074">
        <f t="shared" si="190"/>
        <v>38.094465849705919</v>
      </c>
      <c r="CX68" s="1074">
        <f t="shared" si="190"/>
        <v>38.042416700600896</v>
      </c>
      <c r="CY68" s="1074">
        <f t="shared" si="190"/>
        <v>37.990438667177955</v>
      </c>
      <c r="CZ68" s="1074">
        <f t="shared" si="190"/>
        <v>37.93853165227047</v>
      </c>
    </row>
    <row r="69" spans="1:104" ht="13.8" thickTop="1" x14ac:dyDescent="0.25">
      <c r="D69" s="881"/>
    </row>
    <row r="70" spans="1:104" ht="13.8" thickBot="1" x14ac:dyDescent="0.3">
      <c r="D70" s="881"/>
      <c r="E70" s="815"/>
    </row>
    <row r="71" spans="1:104" s="838" customFormat="1" x14ac:dyDescent="0.25">
      <c r="A71" s="834" t="s">
        <v>1083</v>
      </c>
      <c r="B71" s="835"/>
      <c r="C71" s="836"/>
      <c r="D71" s="1024"/>
      <c r="E71" s="836"/>
      <c r="F71" s="835"/>
      <c r="G71" s="835"/>
      <c r="H71" s="835"/>
      <c r="I71" s="835"/>
      <c r="J71" s="835"/>
      <c r="K71" s="835"/>
      <c r="L71" s="835"/>
      <c r="M71" s="835"/>
      <c r="N71" s="83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5"/>
      <c r="BO71" s="835"/>
      <c r="BP71" s="835"/>
      <c r="BQ71" s="835"/>
      <c r="BR71" s="835"/>
      <c r="BS71" s="835"/>
      <c r="BT71" s="835"/>
      <c r="BU71" s="835"/>
      <c r="BV71" s="837"/>
    </row>
    <row r="72" spans="1:104" s="838" customFormat="1" x14ac:dyDescent="0.25">
      <c r="A72" s="839" t="s">
        <v>1080</v>
      </c>
      <c r="B72" s="840"/>
      <c r="C72" s="841"/>
      <c r="D72" s="1025"/>
      <c r="E72" s="841"/>
      <c r="F72" s="840"/>
      <c r="G72" s="840"/>
      <c r="H72" s="840"/>
      <c r="I72" s="840"/>
      <c r="J72" s="840"/>
      <c r="K72" s="840"/>
      <c r="L72" s="840"/>
      <c r="M72" s="840"/>
      <c r="N72" s="840"/>
      <c r="O72" s="840"/>
      <c r="P72" s="840"/>
      <c r="Q72" s="840"/>
      <c r="R72" s="840"/>
      <c r="S72" s="840"/>
      <c r="T72" s="840"/>
      <c r="U72" s="840"/>
      <c r="V72" s="840"/>
      <c r="W72" s="840"/>
      <c r="X72" s="840"/>
      <c r="Y72" s="840"/>
      <c r="Z72" s="840"/>
      <c r="AA72" s="840"/>
      <c r="AB72" s="840"/>
      <c r="AC72" s="840"/>
      <c r="AD72" s="840"/>
      <c r="AE72" s="840"/>
      <c r="AF72" s="840"/>
      <c r="AG72" s="840"/>
      <c r="AH72" s="840"/>
      <c r="AI72" s="840"/>
      <c r="AJ72" s="840"/>
      <c r="AK72" s="840"/>
      <c r="AL72" s="840"/>
      <c r="AM72" s="840"/>
      <c r="AN72" s="840"/>
      <c r="AO72" s="840"/>
      <c r="AP72" s="840"/>
      <c r="AQ72" s="840"/>
      <c r="AR72" s="840"/>
      <c r="AS72" s="840"/>
      <c r="AT72" s="840"/>
      <c r="AU72" s="840"/>
      <c r="AV72" s="840"/>
      <c r="AW72" s="840"/>
      <c r="AX72" s="840"/>
      <c r="AY72" s="840"/>
      <c r="AZ72" s="840"/>
      <c r="BA72" s="840"/>
      <c r="BB72" s="840"/>
      <c r="BC72" s="840"/>
      <c r="BD72" s="840"/>
      <c r="BE72" s="840"/>
      <c r="BF72" s="840"/>
      <c r="BG72" s="840"/>
      <c r="BH72" s="840"/>
      <c r="BI72" s="840"/>
      <c r="BJ72" s="840"/>
      <c r="BK72" s="840"/>
      <c r="BL72" s="840"/>
      <c r="BM72" s="840"/>
      <c r="BN72" s="840"/>
      <c r="BO72" s="840"/>
      <c r="BP72" s="840"/>
      <c r="BQ72" s="840"/>
      <c r="BR72" s="840"/>
      <c r="BS72" s="840"/>
      <c r="BT72" s="840"/>
      <c r="BU72" s="840"/>
      <c r="BV72" s="842"/>
    </row>
    <row r="73" spans="1:104" s="838" customFormat="1" x14ac:dyDescent="0.25">
      <c r="A73" s="843"/>
      <c r="B73" s="840"/>
      <c r="C73" s="841"/>
      <c r="D73" s="1025"/>
      <c r="E73" s="859"/>
      <c r="F73" s="840"/>
      <c r="G73" s="840"/>
      <c r="H73" s="840"/>
      <c r="I73" s="840"/>
      <c r="J73" s="840"/>
      <c r="K73" s="840"/>
      <c r="L73" s="840"/>
      <c r="M73" s="840"/>
      <c r="N73" s="840"/>
      <c r="O73" s="840"/>
      <c r="P73" s="840"/>
      <c r="Q73" s="840"/>
      <c r="R73" s="840"/>
      <c r="S73" s="840"/>
      <c r="T73" s="840"/>
      <c r="U73" s="840"/>
      <c r="V73" s="840"/>
      <c r="W73" s="840"/>
      <c r="X73" s="840"/>
      <c r="Y73" s="840"/>
      <c r="Z73" s="840"/>
      <c r="AA73" s="840"/>
      <c r="AB73" s="840"/>
      <c r="AC73" s="840"/>
      <c r="AD73" s="840"/>
      <c r="AE73" s="840"/>
      <c r="AF73" s="840"/>
      <c r="AG73" s="840"/>
      <c r="AH73" s="840"/>
      <c r="AI73" s="840"/>
      <c r="AJ73" s="840"/>
      <c r="AK73" s="840"/>
      <c r="AL73" s="840"/>
      <c r="AM73" s="840"/>
      <c r="AN73" s="840"/>
      <c r="AO73" s="840"/>
      <c r="AP73" s="840"/>
      <c r="AQ73" s="840"/>
      <c r="AR73" s="840"/>
      <c r="AS73" s="840"/>
      <c r="AT73" s="840"/>
      <c r="AU73" s="840"/>
      <c r="AV73" s="840"/>
      <c r="AW73" s="840"/>
      <c r="AX73" s="840"/>
      <c r="AY73" s="840"/>
      <c r="AZ73" s="840"/>
      <c r="BA73" s="840"/>
      <c r="BB73" s="840"/>
      <c r="BC73" s="840"/>
      <c r="BD73" s="840"/>
      <c r="BE73" s="840"/>
      <c r="BF73" s="840"/>
      <c r="BG73" s="840"/>
      <c r="BH73" s="840"/>
      <c r="BI73" s="840"/>
      <c r="BJ73" s="840"/>
      <c r="BK73" s="840"/>
      <c r="BL73" s="840"/>
      <c r="BM73" s="840"/>
      <c r="BN73" s="840"/>
      <c r="BO73" s="840"/>
      <c r="BP73" s="840"/>
      <c r="BQ73" s="840"/>
      <c r="BR73" s="840"/>
      <c r="BS73" s="840"/>
      <c r="BT73" s="840"/>
      <c r="BU73" s="840"/>
      <c r="BV73" s="842"/>
    </row>
    <row r="74" spans="1:104" s="838" customFormat="1" x14ac:dyDescent="0.25">
      <c r="A74" s="843" t="s">
        <v>666</v>
      </c>
      <c r="B74" s="840"/>
      <c r="C74" s="841"/>
      <c r="D74" s="1025"/>
      <c r="E74" s="841"/>
      <c r="F74" s="840"/>
      <c r="G74" s="840"/>
      <c r="H74" s="840"/>
      <c r="I74" s="840"/>
      <c r="J74" s="840"/>
      <c r="K74" s="840"/>
      <c r="L74" s="840"/>
      <c r="M74" s="840"/>
      <c r="N74" s="844">
        <v>11.359373</v>
      </c>
      <c r="O74" s="844">
        <v>10.802343</v>
      </c>
      <c r="P74" s="844">
        <v>10.473763999999999</v>
      </c>
      <c r="Q74" s="844">
        <v>10.501935</v>
      </c>
      <c r="R74" s="844">
        <v>10.334021999999999</v>
      </c>
      <c r="S74" s="844">
        <v>10.229792</v>
      </c>
      <c r="T74" s="844">
        <v>10.748874000000001</v>
      </c>
      <c r="U74" s="844">
        <v>11.092333999999999</v>
      </c>
      <c r="V74" s="844">
        <v>11.515472000000001</v>
      </c>
      <c r="W74" s="844">
        <v>11.774895000000001</v>
      </c>
      <c r="X74" s="844">
        <v>11.996413</v>
      </c>
      <c r="Y74" s="844">
        <v>12.209519999999999</v>
      </c>
      <c r="Z74" s="844">
        <v>12.479982</v>
      </c>
      <c r="AA74" s="844">
        <v>12.729352</v>
      </c>
      <c r="AB74" s="844">
        <v>12.853237999999999</v>
      </c>
      <c r="AC74" s="844">
        <v>13.018173000000001</v>
      </c>
      <c r="AD74" s="844">
        <v>13.212711000000001</v>
      </c>
      <c r="AE74" s="844">
        <v>13.366512</v>
      </c>
      <c r="AF74" s="844">
        <v>13.603230999999999</v>
      </c>
      <c r="AG74" s="844">
        <v>13.784504</v>
      </c>
      <c r="AH74" s="844">
        <v>13.991047</v>
      </c>
      <c r="AI74" s="844">
        <v>14.231726</v>
      </c>
      <c r="AJ74" s="844">
        <v>14.577776</v>
      </c>
      <c r="AK74" s="844">
        <v>14.956607999999999</v>
      </c>
      <c r="AL74" s="844">
        <v>15.347963</v>
      </c>
      <c r="AM74" s="844">
        <v>15.708157999999999</v>
      </c>
      <c r="AN74" s="844">
        <v>16.169785000000001</v>
      </c>
      <c r="AO74" s="844">
        <v>16.471478000000001</v>
      </c>
      <c r="AP74" s="844">
        <v>16.949921</v>
      </c>
      <c r="AQ74" s="844">
        <v>17.380462999999999</v>
      </c>
      <c r="AR74" s="844">
        <v>17.673891000000001</v>
      </c>
      <c r="AS74" s="840"/>
      <c r="AT74" s="840"/>
      <c r="AU74" s="840"/>
      <c r="AV74" s="840"/>
      <c r="AW74" s="840"/>
      <c r="AX74" s="840"/>
      <c r="AY74" s="840"/>
      <c r="AZ74" s="840"/>
      <c r="BA74" s="840"/>
      <c r="BB74" s="840"/>
      <c r="BC74" s="840"/>
      <c r="BD74" s="840"/>
      <c r="BE74" s="840"/>
      <c r="BF74" s="840"/>
      <c r="BG74" s="840"/>
      <c r="BH74" s="840"/>
      <c r="BI74" s="840"/>
      <c r="BJ74" s="840"/>
      <c r="BK74" s="840"/>
      <c r="BL74" s="840"/>
      <c r="BM74" s="840"/>
      <c r="BN74" s="840"/>
      <c r="BO74" s="840"/>
      <c r="BP74" s="840"/>
      <c r="BQ74" s="840"/>
      <c r="BR74" s="840"/>
      <c r="BS74" s="840"/>
      <c r="BT74" s="840"/>
      <c r="BU74" s="840"/>
      <c r="BV74" s="842"/>
    </row>
    <row r="75" spans="1:104" s="838" customFormat="1" x14ac:dyDescent="0.25">
      <c r="A75" s="843" t="s">
        <v>1058</v>
      </c>
      <c r="B75" s="840"/>
      <c r="C75" s="841"/>
      <c r="D75" s="1025"/>
      <c r="E75" s="841"/>
      <c r="F75" s="840"/>
      <c r="G75" s="840"/>
      <c r="H75" s="840"/>
      <c r="I75" s="840"/>
      <c r="J75" s="840"/>
      <c r="K75" s="840"/>
      <c r="L75" s="840"/>
      <c r="M75" s="840"/>
      <c r="N75" s="844">
        <v>9.3969749999999994</v>
      </c>
      <c r="O75" s="844">
        <v>8.8368559999999992</v>
      </c>
      <c r="P75" s="844">
        <v>8.081448</v>
      </c>
      <c r="Q75" s="844">
        <v>8.4844790000000003</v>
      </c>
      <c r="R75" s="844">
        <v>8.3155520000000003</v>
      </c>
      <c r="S75" s="844">
        <v>8.1773039999999995</v>
      </c>
      <c r="T75" s="844">
        <v>8.6431299999999993</v>
      </c>
      <c r="U75" s="844">
        <v>8.9205120000000004</v>
      </c>
      <c r="V75" s="844">
        <v>9.2811249999999994</v>
      </c>
      <c r="W75" s="844">
        <v>9.4920469999999995</v>
      </c>
      <c r="X75" s="844">
        <v>9.6757190000000008</v>
      </c>
      <c r="Y75" s="844">
        <v>9.8498520000000003</v>
      </c>
      <c r="Z75" s="844">
        <v>10.083444999999999</v>
      </c>
      <c r="AA75" s="844">
        <v>10.292596</v>
      </c>
      <c r="AB75" s="844">
        <v>10.386177</v>
      </c>
      <c r="AC75" s="844">
        <v>10.522978999999999</v>
      </c>
      <c r="AD75" s="844">
        <v>10.688981999999999</v>
      </c>
      <c r="AE75" s="844">
        <v>10.803459999999999</v>
      </c>
      <c r="AF75" s="844">
        <v>10.994071</v>
      </c>
      <c r="AG75" s="844">
        <v>11.132752999999999</v>
      </c>
      <c r="AH75" s="844">
        <v>11.290343</v>
      </c>
      <c r="AI75" s="844">
        <v>11.483471</v>
      </c>
      <c r="AJ75" s="844">
        <v>11.774739</v>
      </c>
      <c r="AK75" s="844">
        <v>12.104623999999999</v>
      </c>
      <c r="AL75" s="844">
        <v>12.443429</v>
      </c>
      <c r="AM75" s="844">
        <v>12.746489</v>
      </c>
      <c r="AN75" s="844">
        <v>13.159888</v>
      </c>
      <c r="AO75" s="844">
        <v>13.417020000000001</v>
      </c>
      <c r="AP75" s="844">
        <v>13.853782000000001</v>
      </c>
      <c r="AQ75" s="844">
        <v>14.239846</v>
      </c>
      <c r="AR75" s="844">
        <v>14.480893</v>
      </c>
      <c r="AS75" s="840"/>
      <c r="AT75" s="840"/>
      <c r="AU75" s="840"/>
      <c r="AV75" s="840"/>
      <c r="AW75" s="840"/>
      <c r="AX75" s="840"/>
      <c r="AY75" s="840"/>
      <c r="AZ75" s="840"/>
      <c r="BA75" s="840"/>
      <c r="BB75" s="840"/>
      <c r="BC75" s="840"/>
      <c r="BD75" s="840"/>
      <c r="BE75" s="840"/>
      <c r="BF75" s="840"/>
      <c r="BG75" s="840"/>
      <c r="BH75" s="840"/>
      <c r="BI75" s="840"/>
      <c r="BJ75" s="840"/>
      <c r="BK75" s="840"/>
      <c r="BL75" s="840"/>
      <c r="BM75" s="840"/>
      <c r="BN75" s="840"/>
      <c r="BO75" s="840"/>
      <c r="BP75" s="840"/>
      <c r="BQ75" s="840"/>
      <c r="BR75" s="840"/>
      <c r="BS75" s="840"/>
      <c r="BT75" s="840"/>
      <c r="BU75" s="840"/>
      <c r="BV75" s="842"/>
    </row>
    <row r="76" spans="1:104" s="838" customFormat="1" x14ac:dyDescent="0.25">
      <c r="A76" s="843" t="s">
        <v>280</v>
      </c>
      <c r="B76" s="840"/>
      <c r="C76" s="841"/>
      <c r="D76" s="1025"/>
      <c r="E76" s="841"/>
      <c r="F76" s="840"/>
      <c r="G76" s="840"/>
      <c r="H76" s="840"/>
      <c r="I76" s="840"/>
      <c r="J76" s="840"/>
      <c r="K76" s="840"/>
      <c r="L76" s="840"/>
      <c r="M76" s="840"/>
      <c r="N76" s="844">
        <v>5.4839570000000002</v>
      </c>
      <c r="O76" s="844">
        <v>4.8889880000000003</v>
      </c>
      <c r="P76" s="844">
        <v>3.7668759999999999</v>
      </c>
      <c r="Q76" s="844">
        <v>4.3500249999999996</v>
      </c>
      <c r="R76" s="844">
        <v>4.4161510000000002</v>
      </c>
      <c r="S76" s="844">
        <v>4.4533610000000001</v>
      </c>
      <c r="T76" s="844">
        <v>4.916512</v>
      </c>
      <c r="U76" s="844">
        <v>5.1321560000000002</v>
      </c>
      <c r="V76" s="844">
        <v>5.3872429999999998</v>
      </c>
      <c r="W76" s="844">
        <v>5.5533659999999996</v>
      </c>
      <c r="X76" s="844">
        <v>5.6994189999999998</v>
      </c>
      <c r="Y76" s="844">
        <v>5.84443</v>
      </c>
      <c r="Z76" s="844">
        <v>6.055364</v>
      </c>
      <c r="AA76" s="844">
        <v>6.2505249999999997</v>
      </c>
      <c r="AB76" s="844">
        <v>6.3249610000000001</v>
      </c>
      <c r="AC76" s="844">
        <v>6.4443630000000001</v>
      </c>
      <c r="AD76" s="844">
        <v>6.5689469999999996</v>
      </c>
      <c r="AE76" s="844">
        <v>6.6624569999999999</v>
      </c>
      <c r="AF76" s="844">
        <v>6.8533949999999999</v>
      </c>
      <c r="AG76" s="844">
        <v>6.9821</v>
      </c>
      <c r="AH76" s="844">
        <v>7.1203779999999997</v>
      </c>
      <c r="AI76" s="844">
        <v>7.3037179999999999</v>
      </c>
      <c r="AJ76" s="844">
        <v>7.5896039999999996</v>
      </c>
      <c r="AK76" s="844">
        <v>7.9110909999999999</v>
      </c>
      <c r="AL76" s="844">
        <v>8.2410040000000002</v>
      </c>
      <c r="AM76" s="844">
        <v>8.5300290000000007</v>
      </c>
      <c r="AN76" s="844">
        <v>8.90123</v>
      </c>
      <c r="AO76" s="844">
        <v>9.1114479999999993</v>
      </c>
      <c r="AP76" s="844">
        <v>9.4914550000000002</v>
      </c>
      <c r="AQ76" s="844">
        <v>9.8126739999999995</v>
      </c>
      <c r="AR76" s="844">
        <v>10.012231</v>
      </c>
      <c r="AS76" s="840"/>
      <c r="AT76" s="840"/>
      <c r="AU76" s="840"/>
      <c r="AV76" s="840"/>
      <c r="AW76" s="840"/>
      <c r="AX76" s="840"/>
      <c r="AY76" s="840"/>
      <c r="AZ76" s="840"/>
      <c r="BA76" s="840"/>
      <c r="BB76" s="840"/>
      <c r="BC76" s="840"/>
      <c r="BD76" s="840"/>
      <c r="BE76" s="840"/>
      <c r="BF76" s="840"/>
      <c r="BG76" s="840"/>
      <c r="BH76" s="840"/>
      <c r="BI76" s="840"/>
      <c r="BJ76" s="840"/>
      <c r="BK76" s="840"/>
      <c r="BL76" s="840"/>
      <c r="BM76" s="840"/>
      <c r="BN76" s="840"/>
      <c r="BO76" s="840"/>
      <c r="BP76" s="840"/>
      <c r="BQ76" s="840"/>
      <c r="BR76" s="840"/>
      <c r="BS76" s="840"/>
      <c r="BT76" s="840"/>
      <c r="BU76" s="840"/>
      <c r="BV76" s="842"/>
    </row>
    <row r="77" spans="1:104" s="838" customFormat="1" x14ac:dyDescent="0.25">
      <c r="A77" s="845" t="str">
        <f>'HyARC Physical Property Data'!$A$74</f>
        <v>Electric Utility Natural Gas</v>
      </c>
      <c r="B77" s="840"/>
      <c r="C77" s="841"/>
      <c r="D77" s="1025"/>
      <c r="E77" s="841"/>
      <c r="F77" s="840"/>
      <c r="G77" s="840"/>
      <c r="H77" s="840"/>
      <c r="I77" s="840"/>
      <c r="J77" s="840"/>
      <c r="K77" s="840"/>
      <c r="L77" s="840"/>
      <c r="M77" s="840"/>
      <c r="N77" s="844">
        <v>5.2581660000000001</v>
      </c>
      <c r="O77" s="844">
        <v>4.7747140000000003</v>
      </c>
      <c r="P77" s="844">
        <v>3.3280129999999999</v>
      </c>
      <c r="Q77" s="844">
        <v>3.7262059999999999</v>
      </c>
      <c r="R77" s="844">
        <v>3.8342619999999998</v>
      </c>
      <c r="S77" s="844">
        <v>3.9162499999999998</v>
      </c>
      <c r="T77" s="844">
        <v>4.3469340000000001</v>
      </c>
      <c r="U77" s="844">
        <v>4.5235139999999996</v>
      </c>
      <c r="V77" s="844">
        <v>4.7720750000000001</v>
      </c>
      <c r="W77" s="844">
        <v>4.9304030000000001</v>
      </c>
      <c r="X77" s="844">
        <v>5.0667330000000002</v>
      </c>
      <c r="Y77" s="844">
        <v>5.2030240000000001</v>
      </c>
      <c r="Z77" s="844">
        <v>5.4141339999999998</v>
      </c>
      <c r="AA77" s="844">
        <v>5.6120320000000001</v>
      </c>
      <c r="AB77" s="844">
        <v>5.7180549999999997</v>
      </c>
      <c r="AC77" s="844">
        <v>5.8497880000000002</v>
      </c>
      <c r="AD77" s="844">
        <v>5.9964360000000001</v>
      </c>
      <c r="AE77" s="844">
        <v>6.1136410000000003</v>
      </c>
      <c r="AF77" s="844">
        <v>6.2808900000000003</v>
      </c>
      <c r="AG77" s="844">
        <v>6.4099190000000004</v>
      </c>
      <c r="AH77" s="844">
        <v>6.5488220000000004</v>
      </c>
      <c r="AI77" s="844">
        <v>6.7307620000000004</v>
      </c>
      <c r="AJ77" s="844">
        <v>7.0166529999999998</v>
      </c>
      <c r="AK77" s="844">
        <v>7.3227570000000002</v>
      </c>
      <c r="AL77" s="844">
        <v>7.6342280000000002</v>
      </c>
      <c r="AM77" s="844">
        <v>7.902755</v>
      </c>
      <c r="AN77" s="844">
        <v>8.2651950000000003</v>
      </c>
      <c r="AO77" s="844">
        <v>8.4774010000000004</v>
      </c>
      <c r="AP77" s="844">
        <v>8.8551400000000005</v>
      </c>
      <c r="AQ77" s="844">
        <v>9.1715459999999993</v>
      </c>
      <c r="AR77" s="844">
        <v>9.3359030000000001</v>
      </c>
      <c r="AS77" s="840"/>
      <c r="AT77" s="840"/>
      <c r="AU77" s="840"/>
      <c r="AV77" s="840"/>
      <c r="AW77" s="840"/>
      <c r="AX77" s="840"/>
      <c r="AY77" s="840"/>
      <c r="AZ77" s="840"/>
      <c r="BA77" s="840"/>
      <c r="BB77" s="840"/>
      <c r="BC77" s="840"/>
      <c r="BD77" s="840"/>
      <c r="BE77" s="840"/>
      <c r="BF77" s="840"/>
      <c r="BG77" s="840"/>
      <c r="BH77" s="840"/>
      <c r="BI77" s="840"/>
      <c r="BJ77" s="840"/>
      <c r="BK77" s="840"/>
      <c r="BL77" s="840"/>
      <c r="BM77" s="840"/>
      <c r="BN77" s="840"/>
      <c r="BO77" s="840"/>
      <c r="BP77" s="840"/>
      <c r="BQ77" s="840"/>
      <c r="BR77" s="840"/>
      <c r="BS77" s="840"/>
      <c r="BT77" s="840"/>
      <c r="BU77" s="840"/>
      <c r="BV77" s="842"/>
    </row>
    <row r="78" spans="1:104" s="838" customFormat="1" x14ac:dyDescent="0.25">
      <c r="A78" s="845" t="s">
        <v>1054</v>
      </c>
      <c r="B78" s="840"/>
      <c r="C78" s="841"/>
      <c r="D78" s="1025"/>
      <c r="E78" s="841"/>
      <c r="F78" s="840"/>
      <c r="G78" s="840"/>
      <c r="H78" s="840"/>
      <c r="I78" s="840"/>
      <c r="J78" s="840"/>
      <c r="K78" s="840"/>
      <c r="L78" s="840"/>
      <c r="M78" s="840"/>
      <c r="N78" s="844"/>
      <c r="O78" s="844"/>
      <c r="P78" s="844"/>
      <c r="Q78" s="844"/>
      <c r="R78" s="844"/>
      <c r="S78" s="844"/>
      <c r="T78" s="844"/>
      <c r="U78" s="844"/>
      <c r="V78" s="844"/>
      <c r="W78" s="844"/>
      <c r="X78" s="844"/>
      <c r="Y78" s="844"/>
      <c r="Z78" s="844"/>
      <c r="AA78" s="844"/>
      <c r="AB78" s="844"/>
      <c r="AC78" s="844"/>
      <c r="AD78" s="844"/>
      <c r="AE78" s="844"/>
      <c r="AF78" s="844"/>
      <c r="AG78" s="844"/>
      <c r="AH78" s="844"/>
      <c r="AI78" s="844"/>
      <c r="AJ78" s="844"/>
      <c r="AK78" s="844"/>
      <c r="AL78" s="844"/>
      <c r="AM78" s="844"/>
      <c r="AN78" s="844"/>
      <c r="AO78" s="844"/>
      <c r="AP78" s="844"/>
      <c r="AQ78" s="844"/>
      <c r="AR78" s="844"/>
      <c r="AS78" s="840"/>
      <c r="AT78" s="840"/>
      <c r="AU78" s="840"/>
      <c r="AV78" s="840"/>
      <c r="AW78" s="840"/>
      <c r="AX78" s="840"/>
      <c r="AY78" s="840"/>
      <c r="AZ78" s="840"/>
      <c r="BA78" s="840"/>
      <c r="BB78" s="840"/>
      <c r="BC78" s="840"/>
      <c r="BD78" s="840"/>
      <c r="BE78" s="840"/>
      <c r="BF78" s="840"/>
      <c r="BG78" s="840"/>
      <c r="BH78" s="840"/>
      <c r="BI78" s="840"/>
      <c r="BJ78" s="840"/>
      <c r="BK78" s="840"/>
      <c r="BL78" s="840"/>
      <c r="BM78" s="840"/>
      <c r="BN78" s="840"/>
      <c r="BO78" s="840"/>
      <c r="BP78" s="840"/>
      <c r="BQ78" s="840"/>
      <c r="BR78" s="840"/>
      <c r="BS78" s="840"/>
      <c r="BT78" s="840"/>
      <c r="BU78" s="840"/>
      <c r="BV78" s="842"/>
    </row>
    <row r="79" spans="1:104" s="838" customFormat="1" x14ac:dyDescent="0.25">
      <c r="A79" s="843" t="s">
        <v>1060</v>
      </c>
      <c r="B79" s="840"/>
      <c r="C79" s="841"/>
      <c r="D79" s="1025"/>
      <c r="E79" s="841"/>
      <c r="F79" s="840"/>
      <c r="G79" s="840"/>
      <c r="H79" s="840"/>
      <c r="I79" s="840"/>
      <c r="J79" s="840"/>
      <c r="K79" s="840"/>
      <c r="L79" s="840"/>
      <c r="M79" s="840"/>
      <c r="N79" s="844">
        <v>2.2979889999999998</v>
      </c>
      <c r="O79" s="844">
        <v>2.38</v>
      </c>
      <c r="P79" s="844">
        <v>2.414561</v>
      </c>
      <c r="Q79" s="844">
        <v>2.3313350000000002</v>
      </c>
      <c r="R79" s="844">
        <v>2.4666779999999999</v>
      </c>
      <c r="S79" s="844">
        <v>2.490294</v>
      </c>
      <c r="T79" s="844">
        <v>2.5700569999999998</v>
      </c>
      <c r="U79" s="844">
        <v>2.5762320000000001</v>
      </c>
      <c r="V79" s="844">
        <v>2.594992</v>
      </c>
      <c r="W79" s="844">
        <v>2.6086049999999998</v>
      </c>
      <c r="X79" s="844">
        <v>2.6433580000000001</v>
      </c>
      <c r="Y79" s="844">
        <v>2.6708150000000002</v>
      </c>
      <c r="Z79" s="844">
        <v>2.7142179999999998</v>
      </c>
      <c r="AA79" s="844">
        <v>2.74918</v>
      </c>
      <c r="AB79" s="844">
        <v>2.7884579999999999</v>
      </c>
      <c r="AC79" s="844">
        <v>2.8318759999999998</v>
      </c>
      <c r="AD79" s="844">
        <v>2.8692139999999999</v>
      </c>
      <c r="AE79" s="844">
        <v>2.899435</v>
      </c>
      <c r="AF79" s="844">
        <v>2.9368029999999998</v>
      </c>
      <c r="AG79" s="844">
        <v>2.9781219999999999</v>
      </c>
      <c r="AH79" s="844">
        <v>3.0179510000000001</v>
      </c>
      <c r="AI79" s="844">
        <v>3.0527350000000002</v>
      </c>
      <c r="AJ79" s="844">
        <v>3.090319</v>
      </c>
      <c r="AK79" s="844">
        <v>3.1298509999999999</v>
      </c>
      <c r="AL79" s="844">
        <v>3.1705510000000001</v>
      </c>
      <c r="AM79" s="844">
        <v>3.2163840000000001</v>
      </c>
      <c r="AN79" s="844">
        <v>3.2516949999999998</v>
      </c>
      <c r="AO79" s="844">
        <v>3.2783180000000001</v>
      </c>
      <c r="AP79" s="844">
        <v>3.3114089999999998</v>
      </c>
      <c r="AQ79" s="844">
        <v>3.3562150000000002</v>
      </c>
      <c r="AR79" s="844">
        <v>3.398895</v>
      </c>
      <c r="AS79" s="840"/>
      <c r="AT79" s="840"/>
      <c r="AU79" s="840"/>
      <c r="AV79" s="840"/>
      <c r="AW79" s="840"/>
      <c r="AX79" s="840"/>
      <c r="AY79" s="840"/>
      <c r="AZ79" s="840"/>
      <c r="BA79" s="840"/>
      <c r="BB79" s="840"/>
      <c r="BC79" s="840"/>
      <c r="BD79" s="840"/>
      <c r="BE79" s="840"/>
      <c r="BF79" s="840"/>
      <c r="BG79" s="840"/>
      <c r="BH79" s="840"/>
      <c r="BI79" s="840"/>
      <c r="BJ79" s="840"/>
      <c r="BK79" s="840"/>
      <c r="BL79" s="840"/>
      <c r="BM79" s="840"/>
      <c r="BN79" s="840"/>
      <c r="BO79" s="840"/>
      <c r="BP79" s="840"/>
      <c r="BQ79" s="840"/>
      <c r="BR79" s="840"/>
      <c r="BS79" s="840"/>
      <c r="BT79" s="840"/>
      <c r="BU79" s="840"/>
      <c r="BV79" s="842"/>
    </row>
    <row r="80" spans="1:104" s="838" customFormat="1" x14ac:dyDescent="0.25">
      <c r="A80" s="843" t="s">
        <v>668</v>
      </c>
      <c r="B80" s="840"/>
      <c r="C80" s="841"/>
      <c r="D80" s="1025"/>
      <c r="E80" s="841"/>
      <c r="F80" s="840"/>
      <c r="G80" s="840"/>
      <c r="H80" s="840"/>
      <c r="I80" s="840"/>
      <c r="J80" s="840"/>
      <c r="K80" s="840"/>
      <c r="L80" s="840"/>
      <c r="M80" s="840"/>
      <c r="N80" s="844">
        <v>30.492578999999999</v>
      </c>
      <c r="O80" s="844">
        <v>29.980651999999999</v>
      </c>
      <c r="P80" s="844">
        <v>28.501187999999999</v>
      </c>
      <c r="Q80" s="844">
        <v>27.791989999999998</v>
      </c>
      <c r="R80" s="844">
        <v>28.177313000000002</v>
      </c>
      <c r="S80" s="844">
        <v>28.139455999999999</v>
      </c>
      <c r="T80" s="844">
        <v>28.689319999999999</v>
      </c>
      <c r="U80" s="844">
        <v>29.024557000000001</v>
      </c>
      <c r="V80" s="844">
        <v>29.108899999999998</v>
      </c>
      <c r="W80" s="844">
        <v>28.975003999999998</v>
      </c>
      <c r="X80" s="844">
        <v>29.041111000000001</v>
      </c>
      <c r="Y80" s="844">
        <v>29.162209000000001</v>
      </c>
      <c r="Z80" s="844">
        <v>29.247681</v>
      </c>
      <c r="AA80" s="844">
        <v>29.196009</v>
      </c>
      <c r="AB80" s="844">
        <v>29.115604000000001</v>
      </c>
      <c r="AC80" s="844">
        <v>29.201962000000002</v>
      </c>
      <c r="AD80" s="844">
        <v>29.178121999999998</v>
      </c>
      <c r="AE80" s="844">
        <v>29.212776000000002</v>
      </c>
      <c r="AF80" s="844">
        <v>29.214404999999999</v>
      </c>
      <c r="AG80" s="844">
        <v>29.344874999999998</v>
      </c>
      <c r="AH80" s="844">
        <v>29.550170999999999</v>
      </c>
      <c r="AI80" s="844">
        <v>29.794819</v>
      </c>
      <c r="AJ80" s="844">
        <v>29.957190000000001</v>
      </c>
      <c r="AK80" s="844">
        <v>30.275618000000001</v>
      </c>
      <c r="AL80" s="844">
        <v>30.801399</v>
      </c>
      <c r="AM80" s="844">
        <v>31.291125999999998</v>
      </c>
      <c r="AN80" s="844">
        <v>31.806963</v>
      </c>
      <c r="AO80" s="844">
        <v>32.268535999999997</v>
      </c>
      <c r="AP80" s="844">
        <v>32.667476999999998</v>
      </c>
      <c r="AQ80" s="844">
        <v>33.223427000000001</v>
      </c>
      <c r="AR80" s="844">
        <v>33.577624999999998</v>
      </c>
      <c r="AS80" s="840"/>
      <c r="AT80" s="840"/>
      <c r="AU80" s="840"/>
      <c r="AV80" s="840"/>
      <c r="AW80" s="840"/>
      <c r="AX80" s="840"/>
      <c r="AY80" s="840"/>
      <c r="AZ80" s="840"/>
      <c r="BA80" s="840"/>
      <c r="BB80" s="840"/>
      <c r="BC80" s="840"/>
      <c r="BD80" s="840"/>
      <c r="BE80" s="840"/>
      <c r="BF80" s="840"/>
      <c r="BG80" s="840"/>
      <c r="BH80" s="840"/>
      <c r="BI80" s="840"/>
      <c r="BJ80" s="840"/>
      <c r="BK80" s="840"/>
      <c r="BL80" s="840"/>
      <c r="BM80" s="840"/>
      <c r="BN80" s="840"/>
      <c r="BO80" s="840"/>
      <c r="BP80" s="840"/>
      <c r="BQ80" s="840"/>
      <c r="BR80" s="840"/>
      <c r="BS80" s="840"/>
      <c r="BT80" s="840"/>
      <c r="BU80" s="840"/>
      <c r="BV80" s="842"/>
    </row>
    <row r="81" spans="1:104" s="838" customFormat="1" x14ac:dyDescent="0.25">
      <c r="A81" s="843" t="s">
        <v>683</v>
      </c>
      <c r="B81" s="840"/>
      <c r="C81" s="841"/>
      <c r="D81" s="1025"/>
      <c r="E81" s="841"/>
      <c r="F81" s="840"/>
      <c r="G81" s="840"/>
      <c r="H81" s="840"/>
      <c r="I81" s="840"/>
      <c r="J81" s="840"/>
      <c r="K81" s="840"/>
      <c r="L81" s="840"/>
      <c r="M81" s="840"/>
      <c r="N81" s="844">
        <v>20.260445000000001</v>
      </c>
      <c r="O81" s="844">
        <v>19.975721</v>
      </c>
      <c r="P81" s="844">
        <v>18.454588000000001</v>
      </c>
      <c r="Q81" s="844">
        <v>18.157667</v>
      </c>
      <c r="R81" s="844">
        <v>18.271274999999999</v>
      </c>
      <c r="S81" s="844">
        <v>18.191776000000001</v>
      </c>
      <c r="T81" s="844">
        <v>18.703628999999999</v>
      </c>
      <c r="U81" s="844">
        <v>19.002967999999999</v>
      </c>
      <c r="V81" s="844">
        <v>19.096264000000001</v>
      </c>
      <c r="W81" s="844">
        <v>19.050228000000001</v>
      </c>
      <c r="X81" s="844">
        <v>19.095860999999999</v>
      </c>
      <c r="Y81" s="844">
        <v>19.252116999999998</v>
      </c>
      <c r="Z81" s="844">
        <v>19.422526999999999</v>
      </c>
      <c r="AA81" s="844">
        <v>19.539289</v>
      </c>
      <c r="AB81" s="844">
        <v>19.565339999999999</v>
      </c>
      <c r="AC81" s="844">
        <v>19.722131999999998</v>
      </c>
      <c r="AD81" s="844">
        <v>19.810991000000001</v>
      </c>
      <c r="AE81" s="844">
        <v>19.943812999999999</v>
      </c>
      <c r="AF81" s="844">
        <v>20.046423000000001</v>
      </c>
      <c r="AG81" s="844">
        <v>20.238405</v>
      </c>
      <c r="AH81" s="844">
        <v>20.421748999999998</v>
      </c>
      <c r="AI81" s="844">
        <v>20.607520999999998</v>
      </c>
      <c r="AJ81" s="844">
        <v>20.839410999999998</v>
      </c>
      <c r="AK81" s="844">
        <v>21.176966</v>
      </c>
      <c r="AL81" s="844">
        <v>21.628757</v>
      </c>
      <c r="AM81" s="844">
        <v>22.108962999999999</v>
      </c>
      <c r="AN81" s="844">
        <v>22.567038</v>
      </c>
      <c r="AO81" s="844">
        <v>22.990486000000001</v>
      </c>
      <c r="AP81" s="844">
        <v>23.379736000000001</v>
      </c>
      <c r="AQ81" s="844">
        <v>23.871493999999998</v>
      </c>
      <c r="AR81" s="844">
        <v>24.167221000000001</v>
      </c>
      <c r="AS81" s="840"/>
      <c r="AT81" s="840"/>
      <c r="AU81" s="840"/>
      <c r="AV81" s="840"/>
      <c r="AW81" s="840"/>
      <c r="AX81" s="840"/>
      <c r="AY81" s="840"/>
      <c r="AZ81" s="840"/>
      <c r="BA81" s="840"/>
      <c r="BB81" s="840"/>
      <c r="BC81" s="840"/>
      <c r="BD81" s="840"/>
      <c r="BE81" s="840"/>
      <c r="BF81" s="840"/>
      <c r="BG81" s="840"/>
      <c r="BH81" s="840"/>
      <c r="BI81" s="840"/>
      <c r="BJ81" s="840"/>
      <c r="BK81" s="840"/>
      <c r="BL81" s="840"/>
      <c r="BM81" s="840"/>
      <c r="BN81" s="840"/>
      <c r="BO81" s="840"/>
      <c r="BP81" s="840"/>
      <c r="BQ81" s="840"/>
      <c r="BR81" s="840"/>
      <c r="BS81" s="840"/>
      <c r="BT81" s="840"/>
      <c r="BU81" s="840"/>
      <c r="BV81" s="842"/>
    </row>
    <row r="82" spans="1:104" s="838" customFormat="1" ht="13.8" thickBot="1" x14ac:dyDescent="0.3">
      <c r="A82" s="847" t="s">
        <v>669</v>
      </c>
      <c r="B82" s="848"/>
      <c r="C82" s="849"/>
      <c r="D82" s="1026"/>
      <c r="E82" s="849"/>
      <c r="F82" s="848"/>
      <c r="G82" s="848"/>
      <c r="H82" s="848"/>
      <c r="I82" s="848"/>
      <c r="J82" s="848"/>
      <c r="K82" s="848"/>
      <c r="L82" s="848"/>
      <c r="M82" s="848"/>
      <c r="N82" s="850">
        <v>34.522823000000002</v>
      </c>
      <c r="O82" s="850">
        <v>34.335875999999999</v>
      </c>
      <c r="P82" s="850">
        <v>33.292259000000001</v>
      </c>
      <c r="Q82" s="850">
        <v>32.561348000000002</v>
      </c>
      <c r="R82" s="850">
        <v>33.352730000000001</v>
      </c>
      <c r="S82" s="850">
        <v>33.489016999999997</v>
      </c>
      <c r="T82" s="850">
        <v>34.046703000000001</v>
      </c>
      <c r="U82" s="850">
        <v>34.326427000000002</v>
      </c>
      <c r="V82" s="850">
        <v>34.303291000000002</v>
      </c>
      <c r="W82" s="850">
        <v>34.076405000000001</v>
      </c>
      <c r="X82" s="850">
        <v>34.105117999999997</v>
      </c>
      <c r="Y82" s="850">
        <v>34.184669</v>
      </c>
      <c r="Z82" s="850">
        <v>34.290134000000002</v>
      </c>
      <c r="AA82" s="850">
        <v>34.319408000000003</v>
      </c>
      <c r="AB82" s="850">
        <v>34.416462000000003</v>
      </c>
      <c r="AC82" s="850">
        <v>34.726405999999997</v>
      </c>
      <c r="AD82" s="850">
        <v>34.904162999999997</v>
      </c>
      <c r="AE82" s="850">
        <v>35.063048999999999</v>
      </c>
      <c r="AF82" s="850">
        <v>35.177726999999997</v>
      </c>
      <c r="AG82" s="850">
        <v>35.337353</v>
      </c>
      <c r="AH82" s="850">
        <v>35.506706000000001</v>
      </c>
      <c r="AI82" s="850">
        <v>35.725586</v>
      </c>
      <c r="AJ82" s="850">
        <v>35.884253999999999</v>
      </c>
      <c r="AK82" s="850">
        <v>36.154865000000001</v>
      </c>
      <c r="AL82" s="850">
        <v>36.608756999999997</v>
      </c>
      <c r="AM82" s="850">
        <v>37.082008000000002</v>
      </c>
      <c r="AN82" s="850">
        <v>37.502094</v>
      </c>
      <c r="AO82" s="850">
        <v>37.842292999999998</v>
      </c>
      <c r="AP82" s="850">
        <v>38.16151</v>
      </c>
      <c r="AQ82" s="850">
        <v>38.618450000000003</v>
      </c>
      <c r="AR82" s="850">
        <v>38.850749999999998</v>
      </c>
      <c r="AS82" s="848"/>
      <c r="AT82" s="848"/>
      <c r="AU82" s="848"/>
      <c r="AV82" s="848"/>
      <c r="AW82" s="848"/>
      <c r="AX82" s="848"/>
      <c r="AY82" s="848"/>
      <c r="AZ82" s="848"/>
      <c r="BA82" s="848"/>
      <c r="BB82" s="848"/>
      <c r="BC82" s="848"/>
      <c r="BD82" s="848"/>
      <c r="BE82" s="848"/>
      <c r="BF82" s="848"/>
      <c r="BG82" s="848"/>
      <c r="BH82" s="848"/>
      <c r="BI82" s="848"/>
      <c r="BJ82" s="848"/>
      <c r="BK82" s="848"/>
      <c r="BL82" s="848"/>
      <c r="BM82" s="848"/>
      <c r="BN82" s="848"/>
      <c r="BO82" s="848"/>
      <c r="BP82" s="848"/>
      <c r="BQ82" s="848"/>
      <c r="BR82" s="848"/>
      <c r="BS82" s="848"/>
      <c r="BT82" s="848"/>
      <c r="BU82" s="848"/>
      <c r="BV82" s="851"/>
    </row>
    <row r="83" spans="1:104" x14ac:dyDescent="0.25">
      <c r="D83" s="881"/>
      <c r="E83" s="815"/>
    </row>
    <row r="84" spans="1:104" x14ac:dyDescent="0.25">
      <c r="D84" s="881"/>
    </row>
    <row r="85" spans="1:104" ht="13.8" thickBot="1" x14ac:dyDescent="0.3">
      <c r="D85" s="881"/>
    </row>
    <row r="86" spans="1:104" ht="13.8" thickTop="1" x14ac:dyDescent="0.25">
      <c r="A86" s="720" t="s">
        <v>1078</v>
      </c>
      <c r="B86" s="721" t="str">
        <f>"Prices are in $(" &amp; ref_year&amp;")/GJ LHV"</f>
        <v>Prices are in $(2016)/GJ LHV</v>
      </c>
      <c r="C86" s="721"/>
      <c r="D86" s="1027"/>
      <c r="E86" s="721"/>
      <c r="F86" s="722"/>
      <c r="G86" s="722"/>
      <c r="H86" s="722"/>
      <c r="I86" s="722"/>
      <c r="J86" s="722"/>
      <c r="K86" s="722"/>
      <c r="L86" s="722"/>
      <c r="M86" s="722"/>
      <c r="N86" s="722"/>
      <c r="O86" s="722"/>
      <c r="P86" s="722"/>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722"/>
      <c r="AQ86" s="722"/>
      <c r="AR86" s="722"/>
      <c r="AS86" s="735" t="s">
        <v>757</v>
      </c>
      <c r="AT86" s="736"/>
      <c r="AU86" s="736"/>
      <c r="AV86" s="736"/>
      <c r="AW86" s="736"/>
      <c r="AX86" s="736"/>
      <c r="AY86" s="736"/>
      <c r="AZ86" s="736"/>
      <c r="BA86" s="736"/>
      <c r="BB86" s="736"/>
      <c r="BC86" s="736"/>
      <c r="BD86" s="736"/>
      <c r="BE86" s="736"/>
      <c r="BF86" s="736"/>
      <c r="BG86" s="736"/>
      <c r="BH86" s="736"/>
      <c r="BI86" s="736"/>
      <c r="BJ86" s="736"/>
      <c r="BK86" s="736"/>
      <c r="BL86" s="736"/>
      <c r="BM86" s="736"/>
      <c r="BN86" s="736"/>
      <c r="BO86" s="736"/>
      <c r="BP86" s="736"/>
      <c r="BQ86" s="736"/>
      <c r="BR86" s="736"/>
      <c r="BS86" s="736"/>
      <c r="BT86" s="736"/>
      <c r="BU86" s="736"/>
      <c r="BV86" s="737"/>
    </row>
    <row r="87" spans="1:104" ht="40.200000000000003" thickBot="1" x14ac:dyDescent="0.3">
      <c r="A87" s="907" t="s">
        <v>1057</v>
      </c>
      <c r="B87" s="908" t="s">
        <v>663</v>
      </c>
      <c r="C87" s="908" t="s">
        <v>664</v>
      </c>
      <c r="D87" s="1028" t="s">
        <v>675</v>
      </c>
      <c r="E87" s="908" t="s">
        <v>676</v>
      </c>
      <c r="F87" s="909" t="s">
        <v>665</v>
      </c>
      <c r="G87" s="909" t="s">
        <v>677</v>
      </c>
      <c r="H87" s="742">
        <v>2004</v>
      </c>
      <c r="I87" s="742">
        <v>2005</v>
      </c>
      <c r="J87" s="742">
        <v>2006</v>
      </c>
      <c r="K87" s="742">
        <v>2007</v>
      </c>
      <c r="L87" s="742">
        <v>2008</v>
      </c>
      <c r="M87" s="742">
        <v>2009</v>
      </c>
      <c r="N87" s="742">
        <v>2010</v>
      </c>
      <c r="O87" s="742">
        <v>2011</v>
      </c>
      <c r="P87" s="742">
        <v>2012</v>
      </c>
      <c r="Q87" s="742">
        <v>2013</v>
      </c>
      <c r="R87" s="742">
        <v>2014</v>
      </c>
      <c r="S87" s="742">
        <v>2015</v>
      </c>
      <c r="T87" s="742">
        <v>2016</v>
      </c>
      <c r="U87" s="742">
        <v>2017</v>
      </c>
      <c r="V87" s="742">
        <v>2018</v>
      </c>
      <c r="W87" s="742">
        <v>2019</v>
      </c>
      <c r="X87" s="742">
        <v>2020</v>
      </c>
      <c r="Y87" s="742">
        <v>2021</v>
      </c>
      <c r="Z87" s="742">
        <v>2022</v>
      </c>
      <c r="AA87" s="742">
        <v>2023</v>
      </c>
      <c r="AB87" s="742">
        <v>2024</v>
      </c>
      <c r="AC87" s="742">
        <v>2025</v>
      </c>
      <c r="AD87" s="742">
        <v>2026</v>
      </c>
      <c r="AE87" s="742">
        <v>2027</v>
      </c>
      <c r="AF87" s="742">
        <v>2028</v>
      </c>
      <c r="AG87" s="742">
        <v>2029</v>
      </c>
      <c r="AH87" s="742">
        <v>2030</v>
      </c>
      <c r="AI87" s="742">
        <v>2031</v>
      </c>
      <c r="AJ87" s="742">
        <v>2032</v>
      </c>
      <c r="AK87" s="742">
        <v>2033</v>
      </c>
      <c r="AL87" s="742">
        <v>2034</v>
      </c>
      <c r="AM87" s="742">
        <v>2035</v>
      </c>
      <c r="AN87" s="742">
        <v>2036</v>
      </c>
      <c r="AO87" s="742">
        <v>2037</v>
      </c>
      <c r="AP87" s="742">
        <v>2038</v>
      </c>
      <c r="AQ87" s="742">
        <v>2039</v>
      </c>
      <c r="AR87" s="742">
        <v>2040</v>
      </c>
      <c r="AS87" s="742">
        <v>2041</v>
      </c>
      <c r="AT87" s="742">
        <v>2042</v>
      </c>
      <c r="AU87" s="742">
        <v>2043</v>
      </c>
      <c r="AV87" s="742">
        <v>2044</v>
      </c>
      <c r="AW87" s="742">
        <v>2045</v>
      </c>
      <c r="AX87" s="742">
        <v>2046</v>
      </c>
      <c r="AY87" s="742">
        <v>2047</v>
      </c>
      <c r="AZ87" s="742">
        <v>2048</v>
      </c>
      <c r="BA87" s="742">
        <v>2049</v>
      </c>
      <c r="BB87" s="742">
        <v>2050</v>
      </c>
      <c r="BC87" s="742">
        <v>2051</v>
      </c>
      <c r="BD87" s="742">
        <v>2052</v>
      </c>
      <c r="BE87" s="742">
        <v>2053</v>
      </c>
      <c r="BF87" s="742">
        <v>2054</v>
      </c>
      <c r="BG87" s="742">
        <v>2055</v>
      </c>
      <c r="BH87" s="742">
        <v>2056</v>
      </c>
      <c r="BI87" s="742">
        <v>2057</v>
      </c>
      <c r="BJ87" s="742">
        <v>2058</v>
      </c>
      <c r="BK87" s="742">
        <v>2059</v>
      </c>
      <c r="BL87" s="742">
        <v>2060</v>
      </c>
      <c r="BM87" s="742">
        <v>2061</v>
      </c>
      <c r="BN87" s="742">
        <v>2062</v>
      </c>
      <c r="BO87" s="742">
        <v>2063</v>
      </c>
      <c r="BP87" s="742">
        <v>2064</v>
      </c>
      <c r="BQ87" s="742">
        <v>2065</v>
      </c>
      <c r="BR87" s="742">
        <v>2066</v>
      </c>
      <c r="BS87" s="742">
        <v>2067</v>
      </c>
      <c r="BT87" s="742">
        <v>2068</v>
      </c>
      <c r="BU87" s="742">
        <v>2069</v>
      </c>
      <c r="BV87" s="743">
        <v>2070</v>
      </c>
      <c r="BW87" s="1075">
        <f t="shared" ref="BW87" si="191">+BV87+1</f>
        <v>2071</v>
      </c>
      <c r="BX87" s="1075">
        <f t="shared" ref="BX87" si="192">+BW87+1</f>
        <v>2072</v>
      </c>
      <c r="BY87" s="1075">
        <f t="shared" ref="BY87" si="193">+BX87+1</f>
        <v>2073</v>
      </c>
      <c r="BZ87" s="1075">
        <f t="shared" ref="BZ87" si="194">+BY87+1</f>
        <v>2074</v>
      </c>
      <c r="CA87" s="1075">
        <f t="shared" ref="CA87" si="195">+BZ87+1</f>
        <v>2075</v>
      </c>
      <c r="CB87" s="1075">
        <f t="shared" ref="CB87" si="196">+CA87+1</f>
        <v>2076</v>
      </c>
      <c r="CC87" s="1075">
        <f t="shared" ref="CC87" si="197">+CB87+1</f>
        <v>2077</v>
      </c>
      <c r="CD87" s="1075">
        <f t="shared" ref="CD87" si="198">+CC87+1</f>
        <v>2078</v>
      </c>
      <c r="CE87" s="1075">
        <f t="shared" ref="CE87" si="199">+CD87+1</f>
        <v>2079</v>
      </c>
      <c r="CF87" s="1075">
        <f t="shared" ref="CF87" si="200">+CE87+1</f>
        <v>2080</v>
      </c>
      <c r="CG87" s="1075">
        <f t="shared" ref="CG87" si="201">+CF87+1</f>
        <v>2081</v>
      </c>
      <c r="CH87" s="1075">
        <f t="shared" ref="CH87" si="202">+CG87+1</f>
        <v>2082</v>
      </c>
      <c r="CI87" s="1075">
        <f t="shared" ref="CI87" si="203">+CH87+1</f>
        <v>2083</v>
      </c>
      <c r="CJ87" s="1075">
        <f t="shared" ref="CJ87" si="204">+CI87+1</f>
        <v>2084</v>
      </c>
      <c r="CK87" s="1075">
        <f t="shared" ref="CK87" si="205">+CJ87+1</f>
        <v>2085</v>
      </c>
      <c r="CL87" s="1075">
        <f t="shared" ref="CL87" si="206">+CK87+1</f>
        <v>2086</v>
      </c>
      <c r="CM87" s="1075">
        <f t="shared" ref="CM87" si="207">+CL87+1</f>
        <v>2087</v>
      </c>
      <c r="CN87" s="1075">
        <f t="shared" ref="CN87" si="208">+CM87+1</f>
        <v>2088</v>
      </c>
      <c r="CO87" s="1075">
        <f t="shared" ref="CO87" si="209">+CN87+1</f>
        <v>2089</v>
      </c>
      <c r="CP87" s="1075">
        <f t="shared" ref="CP87" si="210">+CO87+1</f>
        <v>2090</v>
      </c>
      <c r="CQ87" s="1075">
        <f t="shared" ref="CQ87" si="211">+CP87+1</f>
        <v>2091</v>
      </c>
      <c r="CR87" s="1075">
        <f t="shared" ref="CR87" si="212">+CQ87+1</f>
        <v>2092</v>
      </c>
      <c r="CS87" s="1075">
        <f t="shared" ref="CS87" si="213">+CR87+1</f>
        <v>2093</v>
      </c>
      <c r="CT87" s="1075">
        <f t="shared" ref="CT87" si="214">+CS87+1</f>
        <v>2094</v>
      </c>
      <c r="CU87" s="1075">
        <f t="shared" ref="CU87" si="215">+CT87+1</f>
        <v>2095</v>
      </c>
      <c r="CV87" s="1075">
        <f t="shared" ref="CV87" si="216">+CU87+1</f>
        <v>2096</v>
      </c>
      <c r="CW87" s="1075">
        <f t="shared" ref="CW87" si="217">+CV87+1</f>
        <v>2097</v>
      </c>
      <c r="CX87" s="1075">
        <f t="shared" ref="CX87" si="218">+CW87+1</f>
        <v>2098</v>
      </c>
      <c r="CY87" s="1075">
        <f t="shared" ref="CY87" si="219">+CX87+1</f>
        <v>2099</v>
      </c>
      <c r="CZ87" s="1075">
        <f t="shared" ref="CZ87" si="220">+CY87+1</f>
        <v>2100</v>
      </c>
    </row>
    <row r="88" spans="1:104" ht="13.8" thickBot="1" x14ac:dyDescent="0.3">
      <c r="A88" s="723" t="s">
        <v>1063</v>
      </c>
      <c r="B88" s="724"/>
      <c r="C88" s="724"/>
      <c r="D88" s="1029"/>
      <c r="E88" s="724"/>
      <c r="F88" s="724"/>
      <c r="G88" s="724"/>
      <c r="H88" s="802"/>
      <c r="I88" s="802"/>
      <c r="J88" s="802"/>
      <c r="K88" s="802"/>
      <c r="L88" s="802"/>
      <c r="M88" s="802"/>
      <c r="N88" s="802"/>
      <c r="O88" s="802"/>
      <c r="P88" s="802"/>
      <c r="Q88" s="802"/>
      <c r="R88" s="802"/>
      <c r="S88" s="802"/>
      <c r="T88" s="802"/>
      <c r="U88" s="802"/>
      <c r="V88" s="802"/>
      <c r="W88" s="802"/>
      <c r="X88" s="802"/>
      <c r="Y88" s="802"/>
      <c r="Z88" s="802"/>
      <c r="AA88" s="802"/>
      <c r="AB88" s="802"/>
      <c r="AC88" s="802"/>
      <c r="AD88" s="802"/>
      <c r="AE88" s="802"/>
      <c r="AF88" s="802"/>
      <c r="AG88" s="802"/>
      <c r="AH88" s="802"/>
      <c r="AI88" s="802"/>
      <c r="AJ88" s="802"/>
      <c r="AK88" s="802"/>
      <c r="AL88" s="802"/>
      <c r="AM88" s="802"/>
      <c r="AN88" s="802"/>
      <c r="AO88" s="802"/>
      <c r="AP88" s="802"/>
      <c r="AQ88" s="802"/>
      <c r="AR88" s="802"/>
      <c r="AS88" s="802"/>
      <c r="AT88" s="802"/>
      <c r="AU88" s="802"/>
      <c r="AV88" s="802"/>
      <c r="AW88" s="802"/>
      <c r="AX88" s="802"/>
      <c r="AY88" s="802"/>
      <c r="AZ88" s="802"/>
      <c r="BA88" s="802"/>
      <c r="BC88" s="802"/>
      <c r="BD88" s="802"/>
      <c r="BE88" s="802"/>
      <c r="BF88" s="802"/>
      <c r="BG88" s="802"/>
      <c r="BH88" s="802"/>
      <c r="BI88" s="802"/>
      <c r="BJ88" s="802"/>
      <c r="BK88" s="802"/>
      <c r="BL88" s="802"/>
      <c r="BM88" s="802"/>
      <c r="BN88" s="802"/>
      <c r="BO88" s="802"/>
      <c r="BP88" s="802"/>
      <c r="BR88" s="802"/>
      <c r="BS88" s="802"/>
      <c r="BT88" s="802"/>
      <c r="BU88" s="802"/>
    </row>
    <row r="89" spans="1:104" x14ac:dyDescent="0.25">
      <c r="A89" s="726" t="str">
        <f>'HyARC Physical Property Data'!A73</f>
        <v>Residential Natural Gas</v>
      </c>
      <c r="B89" s="254">
        <v>2012</v>
      </c>
      <c r="C89" s="727">
        <f t="shared" ref="C89:C100" si="221">VLOOKUP(ref_year,DeflatorTable,2,FALSE)/VLOOKUP(B89,DeflatorTable,2,FALSE)</f>
        <v>1.0573833607504113</v>
      </c>
      <c r="D89" s="1030" t="str">
        <f>'HyARC Physical Property Data'!H73</f>
        <v>mmBtu</v>
      </c>
      <c r="E89" s="727" t="s">
        <v>1031</v>
      </c>
      <c r="F89" s="254">
        <f>'HyARC Physical Property Data'!$E$6</f>
        <v>47.141269049911173</v>
      </c>
      <c r="G89" s="254">
        <f>'HyARC Physical Property Data'!$I$6</f>
        <v>52.224661236371581</v>
      </c>
      <c r="H89" s="853">
        <v>12.595706345448797</v>
      </c>
      <c r="I89" s="853">
        <v>12.595706345448797</v>
      </c>
      <c r="J89" s="853">
        <v>12.595706345448797</v>
      </c>
      <c r="K89" s="853">
        <v>12.595706345448797</v>
      </c>
      <c r="L89" s="853">
        <v>13.121338604068761</v>
      </c>
      <c r="M89" s="853">
        <v>11.086947084595193</v>
      </c>
      <c r="N89" s="853">
        <v>10.600250548835966</v>
      </c>
      <c r="O89" s="802">
        <f t="shared" ref="O89:AR89" si="222">O106*($C89/mmBTU_to_GJ*$G89/$F89)</f>
        <v>12.191092687749757</v>
      </c>
      <c r="P89" s="802">
        <f t="shared" si="222"/>
        <v>11.61240672324179</v>
      </c>
      <c r="Q89" s="802">
        <f t="shared" si="222"/>
        <v>11.532824509346533</v>
      </c>
      <c r="R89" s="802">
        <f t="shared" si="222"/>
        <v>12.433025993412414</v>
      </c>
      <c r="S89" s="802">
        <f t="shared" si="222"/>
        <v>12.210932169261609</v>
      </c>
      <c r="T89" s="802">
        <f t="shared" si="222"/>
        <v>11.863496968910505</v>
      </c>
      <c r="U89" s="802">
        <f t="shared" si="222"/>
        <v>12.225430935188502</v>
      </c>
      <c r="V89" s="802">
        <f t="shared" si="222"/>
        <v>12.719978977683732</v>
      </c>
      <c r="W89" s="802">
        <f t="shared" si="222"/>
        <v>12.909977432874298</v>
      </c>
      <c r="X89" s="802">
        <f t="shared" si="222"/>
        <v>12.870974664401787</v>
      </c>
      <c r="Y89" s="802">
        <f t="shared" si="222"/>
        <v>13.107127561470831</v>
      </c>
      <c r="Z89" s="802">
        <f t="shared" si="222"/>
        <v>13.208746611585347</v>
      </c>
      <c r="AA89" s="802">
        <f t="shared" si="222"/>
        <v>13.387263083436196</v>
      </c>
      <c r="AB89" s="802">
        <f t="shared" si="222"/>
        <v>13.662847338627605</v>
      </c>
      <c r="AC89" s="802">
        <f t="shared" si="222"/>
        <v>13.851960856121453</v>
      </c>
      <c r="AD89" s="802">
        <f t="shared" si="222"/>
        <v>13.96794321118545</v>
      </c>
      <c r="AE89" s="802">
        <f t="shared" si="222"/>
        <v>14.119468528118476</v>
      </c>
      <c r="AF89" s="802">
        <f t="shared" si="222"/>
        <v>14.321017807473346</v>
      </c>
      <c r="AG89" s="802">
        <f t="shared" si="222"/>
        <v>14.638900308030435</v>
      </c>
      <c r="AH89" s="802">
        <f t="shared" si="222"/>
        <v>14.992739925739963</v>
      </c>
      <c r="AI89" s="802">
        <f t="shared" si="222"/>
        <v>15.156051458043953</v>
      </c>
      <c r="AJ89" s="802">
        <f t="shared" si="222"/>
        <v>15.225075488052026</v>
      </c>
      <c r="AK89" s="802">
        <f t="shared" si="222"/>
        <v>15.481925045932627</v>
      </c>
      <c r="AL89" s="802">
        <f t="shared" si="222"/>
        <v>15.921613613246663</v>
      </c>
      <c r="AM89" s="802">
        <f t="shared" si="222"/>
        <v>16.217219445034317</v>
      </c>
      <c r="AN89" s="802">
        <f t="shared" si="222"/>
        <v>16.649245584437377</v>
      </c>
      <c r="AO89" s="802">
        <f t="shared" si="222"/>
        <v>16.824194547104348</v>
      </c>
      <c r="AP89" s="802">
        <f t="shared" si="222"/>
        <v>16.965891170823646</v>
      </c>
      <c r="AQ89" s="802">
        <f t="shared" si="222"/>
        <v>17.341637715454421</v>
      </c>
      <c r="AR89" s="802">
        <f t="shared" si="222"/>
        <v>17.740732402979265</v>
      </c>
      <c r="AS89" s="802">
        <f>($BB89-$AR89)/10+AR89</f>
        <v>17.791465746273797</v>
      </c>
      <c r="AT89" s="802">
        <f t="shared" ref="AT89:BA89" si="223">($BB89-$AR89)/10+AS89</f>
        <v>17.842199089568329</v>
      </c>
      <c r="AU89" s="802">
        <f t="shared" si="223"/>
        <v>17.89293243286286</v>
      </c>
      <c r="AV89" s="802">
        <f t="shared" si="223"/>
        <v>17.943665776157392</v>
      </c>
      <c r="AW89" s="802">
        <f t="shared" si="223"/>
        <v>17.994399119451923</v>
      </c>
      <c r="AX89" s="802">
        <f t="shared" si="223"/>
        <v>18.045132462746455</v>
      </c>
      <c r="AY89" s="802">
        <f t="shared" si="223"/>
        <v>18.095865806040987</v>
      </c>
      <c r="AZ89" s="802">
        <f t="shared" si="223"/>
        <v>18.146599149335518</v>
      </c>
      <c r="BA89" s="802">
        <f t="shared" si="223"/>
        <v>18.19733249263005</v>
      </c>
      <c r="BB89" s="804">
        <f>'AEO Data'!$B$30*AM89</f>
        <v>18.248065835924574</v>
      </c>
      <c r="BC89" s="802">
        <f t="shared" ref="BC89:BP92" si="224">($BQ89-$BB89)/15+BB89</f>
        <v>18.396757114031804</v>
      </c>
      <c r="BD89" s="802">
        <f t="shared" si="224"/>
        <v>18.545448392139033</v>
      </c>
      <c r="BE89" s="802">
        <f t="shared" si="224"/>
        <v>18.694139670246262</v>
      </c>
      <c r="BF89" s="802">
        <f t="shared" si="224"/>
        <v>18.842830948353491</v>
      </c>
      <c r="BG89" s="802">
        <f t="shared" si="224"/>
        <v>18.99152222646072</v>
      </c>
      <c r="BH89" s="802">
        <f t="shared" si="224"/>
        <v>19.140213504567949</v>
      </c>
      <c r="BI89" s="802">
        <f t="shared" si="224"/>
        <v>19.288904782675178</v>
      </c>
      <c r="BJ89" s="802">
        <f t="shared" si="224"/>
        <v>19.437596060782408</v>
      </c>
      <c r="BK89" s="802">
        <f t="shared" si="224"/>
        <v>19.586287338889637</v>
      </c>
      <c r="BL89" s="802">
        <f t="shared" si="224"/>
        <v>19.734978616996866</v>
      </c>
      <c r="BM89" s="802">
        <f t="shared" si="224"/>
        <v>19.883669895104095</v>
      </c>
      <c r="BN89" s="802">
        <f t="shared" si="224"/>
        <v>20.032361173211324</v>
      </c>
      <c r="BO89" s="802">
        <f t="shared" si="224"/>
        <v>20.181052451318553</v>
      </c>
      <c r="BP89" s="802">
        <f t="shared" si="224"/>
        <v>20.329743729425783</v>
      </c>
      <c r="BQ89" s="804">
        <f>'AEO Data'!$C$30*BB89</f>
        <v>20.478435007533015</v>
      </c>
      <c r="BR89" s="802">
        <f t="shared" ref="BR89:BU92" si="225">($BV89-$BQ89)/5+BQ89</f>
        <v>20.595487067510991</v>
      </c>
      <c r="BS89" s="802">
        <f t="shared" si="225"/>
        <v>20.712539127488967</v>
      </c>
      <c r="BT89" s="802">
        <f t="shared" si="225"/>
        <v>20.829591187466942</v>
      </c>
      <c r="BU89" s="802">
        <f t="shared" si="225"/>
        <v>20.946643247444918</v>
      </c>
      <c r="BV89" s="805">
        <f>'AEO Data'!$D$30*BQ89</f>
        <v>21.063695307422901</v>
      </c>
      <c r="BW89" s="1074">
        <f>+BV89*BW$133/BV$133</f>
        <v>21.133632969420677</v>
      </c>
      <c r="BX89" s="1074">
        <f t="shared" ref="BX89:CZ89" si="226">+BW89*BX$133/BW$133</f>
        <v>21.203802845020782</v>
      </c>
      <c r="BY89" s="1074">
        <f t="shared" si="226"/>
        <v>21.274205705240661</v>
      </c>
      <c r="BZ89" s="1074">
        <f t="shared" si="226"/>
        <v>21.344842323657751</v>
      </c>
      <c r="CA89" s="1074">
        <f t="shared" si="226"/>
        <v>21.415713476418006</v>
      </c>
      <c r="CB89" s="1074">
        <f t="shared" si="226"/>
        <v>21.461413072202582</v>
      </c>
      <c r="CC89" s="1074">
        <f t="shared" si="226"/>
        <v>21.507210187645192</v>
      </c>
      <c r="CD89" s="1074">
        <f t="shared" si="226"/>
        <v>21.553105030845796</v>
      </c>
      <c r="CE89" s="1074">
        <f t="shared" si="226"/>
        <v>21.599097810348415</v>
      </c>
      <c r="CF89" s="1074">
        <f t="shared" si="226"/>
        <v>21.645188735142085</v>
      </c>
      <c r="CG89" s="1074">
        <f t="shared" si="226"/>
        <v>21.66015416604937</v>
      </c>
      <c r="CH89" s="1074">
        <f t="shared" si="226"/>
        <v>21.675129944019229</v>
      </c>
      <c r="CI89" s="1074">
        <f t="shared" si="226"/>
        <v>21.690116076205594</v>
      </c>
      <c r="CJ89" s="1074">
        <f t="shared" si="226"/>
        <v>21.705112569767344</v>
      </c>
      <c r="CK89" s="1074">
        <f t="shared" si="226"/>
        <v>21.720119431868312</v>
      </c>
      <c r="CL89" s="1074">
        <f t="shared" si="226"/>
        <v>21.725206091961226</v>
      </c>
      <c r="CM89" s="1074">
        <f t="shared" si="226"/>
        <v>21.730293943305</v>
      </c>
      <c r="CN89" s="1074">
        <f t="shared" si="226"/>
        <v>21.73538298617861</v>
      </c>
      <c r="CO89" s="1074">
        <f t="shared" si="226"/>
        <v>21.740473220861105</v>
      </c>
      <c r="CP89" s="1074">
        <f t="shared" si="226"/>
        <v>21.745564647631596</v>
      </c>
      <c r="CQ89" s="1074">
        <f t="shared" si="226"/>
        <v>21.753281193740353</v>
      </c>
      <c r="CR89" s="1074">
        <f t="shared" si="226"/>
        <v>21.761000478112514</v>
      </c>
      <c r="CS89" s="1074">
        <f t="shared" si="226"/>
        <v>21.768722501719765</v>
      </c>
      <c r="CT89" s="1074">
        <f t="shared" si="226"/>
        <v>21.776447265534141</v>
      </c>
      <c r="CU89" s="1074">
        <f t="shared" si="226"/>
        <v>21.784174770528026</v>
      </c>
      <c r="CV89" s="1074">
        <f t="shared" si="226"/>
        <v>21.796067433429702</v>
      </c>
      <c r="CW89" s="1074">
        <f t="shared" si="226"/>
        <v>21.807966588908322</v>
      </c>
      <c r="CX89" s="1074">
        <f t="shared" si="226"/>
        <v>21.819872240508388</v>
      </c>
      <c r="CY89" s="1074">
        <f t="shared" si="226"/>
        <v>21.831784391776338</v>
      </c>
      <c r="CZ89" s="1074">
        <f t="shared" si="226"/>
        <v>21.84370304626054</v>
      </c>
    </row>
    <row r="90" spans="1:104" x14ac:dyDescent="0.25">
      <c r="A90" s="726" t="str">
        <f>'HyARC Physical Property Data'!A71</f>
        <v>Commercial Natural Gas</v>
      </c>
      <c r="B90" s="254">
        <v>2012</v>
      </c>
      <c r="C90" s="727">
        <f t="shared" si="221"/>
        <v>1.0573833607504113</v>
      </c>
      <c r="D90" s="1030" t="str">
        <f>'HyARC Physical Property Data'!H71</f>
        <v>mmBtu</v>
      </c>
      <c r="E90" s="727" t="s">
        <v>1031</v>
      </c>
      <c r="F90" s="254">
        <f>'HyARC Physical Property Data'!$E$6</f>
        <v>47.141269049911173</v>
      </c>
      <c r="G90" s="254">
        <f>'HyARC Physical Property Data'!$I$6</f>
        <v>52.224661236371581</v>
      </c>
      <c r="H90" s="854">
        <v>10.902002401006685</v>
      </c>
      <c r="I90" s="854">
        <v>10.902002401006685</v>
      </c>
      <c r="J90" s="854">
        <v>10.902002401006685</v>
      </c>
      <c r="K90" s="854">
        <v>10.902002401006685</v>
      </c>
      <c r="L90" s="854">
        <v>11.622313273930342</v>
      </c>
      <c r="M90" s="854">
        <v>8.8092072972420112</v>
      </c>
      <c r="N90" s="854">
        <v>8.4393179300649965</v>
      </c>
      <c r="O90" s="254">
        <f t="shared" ref="O90:AR90" si="227">O107*($C90/mmBTU_to_GJ*$G90/$F90)</f>
        <v>9.9495366192776444</v>
      </c>
      <c r="P90" s="254">
        <f t="shared" si="227"/>
        <v>9.0080039923979545</v>
      </c>
      <c r="Q90" s="254">
        <f t="shared" si="227"/>
        <v>9.2291706860885867</v>
      </c>
      <c r="R90" s="254">
        <f t="shared" si="227"/>
        <v>10.088576209235033</v>
      </c>
      <c r="S90" s="254">
        <f t="shared" si="227"/>
        <v>9.9025871769087672</v>
      </c>
      <c r="T90" s="254">
        <f t="shared" si="227"/>
        <v>9.6855387189987159</v>
      </c>
      <c r="U90" s="254">
        <f t="shared" si="227"/>
        <v>10.001081741855701</v>
      </c>
      <c r="V90" s="254">
        <f t="shared" si="227"/>
        <v>10.447347938925514</v>
      </c>
      <c r="W90" s="254">
        <f t="shared" si="227"/>
        <v>10.599788172624031</v>
      </c>
      <c r="X90" s="254">
        <f t="shared" si="227"/>
        <v>10.53794690542658</v>
      </c>
      <c r="Y90" s="254">
        <f t="shared" si="227"/>
        <v>10.753568581730253</v>
      </c>
      <c r="Z90" s="254">
        <f t="shared" si="227"/>
        <v>10.835192703309655</v>
      </c>
      <c r="AA90" s="254">
        <f t="shared" si="227"/>
        <v>10.990940627596027</v>
      </c>
      <c r="AB90" s="254">
        <f t="shared" si="227"/>
        <v>11.244415874735946</v>
      </c>
      <c r="AC90" s="254">
        <f t="shared" si="227"/>
        <v>11.421938595973796</v>
      </c>
      <c r="AD90" s="254">
        <f t="shared" si="227"/>
        <v>11.526345699484116</v>
      </c>
      <c r="AE90" s="254">
        <f t="shared" si="227"/>
        <v>11.655064717432735</v>
      </c>
      <c r="AF90" s="254">
        <f t="shared" si="227"/>
        <v>11.833099303511471</v>
      </c>
      <c r="AG90" s="254">
        <f t="shared" si="227"/>
        <v>12.114892556946344</v>
      </c>
      <c r="AH90" s="254">
        <f t="shared" si="227"/>
        <v>12.427240033139398</v>
      </c>
      <c r="AI90" s="254">
        <f t="shared" si="227"/>
        <v>12.540484299922209</v>
      </c>
      <c r="AJ90" s="254">
        <f t="shared" si="227"/>
        <v>12.538704431505849</v>
      </c>
      <c r="AK90" s="254">
        <f t="shared" si="227"/>
        <v>12.7448604944287</v>
      </c>
      <c r="AL90" s="254">
        <f t="shared" si="227"/>
        <v>13.044138206972995</v>
      </c>
      <c r="AM90" s="254">
        <f t="shared" si="227"/>
        <v>13.272322223428063</v>
      </c>
      <c r="AN90" s="254">
        <f t="shared" si="227"/>
        <v>13.616748413543148</v>
      </c>
      <c r="AO90" s="254">
        <f t="shared" si="227"/>
        <v>13.732951725447354</v>
      </c>
      <c r="AP90" s="254">
        <f t="shared" si="227"/>
        <v>13.833902353361841</v>
      </c>
      <c r="AQ90" s="254">
        <f t="shared" si="227"/>
        <v>14.16332901606795</v>
      </c>
      <c r="AR90" s="254">
        <f t="shared" si="227"/>
        <v>14.520292008609179</v>
      </c>
      <c r="AS90" s="254">
        <f t="shared" ref="AS90:BA90" si="228">($BB90-$AR90)/10+AR90</f>
        <v>14.561701375004496</v>
      </c>
      <c r="AT90" s="254">
        <f t="shared" si="228"/>
        <v>14.603110741399814</v>
      </c>
      <c r="AU90" s="254">
        <f t="shared" si="228"/>
        <v>14.644520107795131</v>
      </c>
      <c r="AV90" s="254">
        <f t="shared" si="228"/>
        <v>14.685929474190448</v>
      </c>
      <c r="AW90" s="254">
        <f t="shared" si="228"/>
        <v>14.727338840585766</v>
      </c>
      <c r="AX90" s="254">
        <f t="shared" si="228"/>
        <v>14.768748206981083</v>
      </c>
      <c r="AY90" s="254">
        <f t="shared" si="228"/>
        <v>14.810157573376401</v>
      </c>
      <c r="AZ90" s="254">
        <f t="shared" si="228"/>
        <v>14.851566939771718</v>
      </c>
      <c r="BA90" s="254">
        <f t="shared" si="228"/>
        <v>14.892976306167036</v>
      </c>
      <c r="BB90" s="782">
        <f>'AEO Data'!$B$30*AM90</f>
        <v>14.934385672562355</v>
      </c>
      <c r="BC90" s="254">
        <f t="shared" si="224"/>
        <v>15.056075988312308</v>
      </c>
      <c r="BD90" s="254">
        <f t="shared" si="224"/>
        <v>15.177766304062262</v>
      </c>
      <c r="BE90" s="254">
        <f t="shared" si="224"/>
        <v>15.299456619812215</v>
      </c>
      <c r="BF90" s="254">
        <f t="shared" si="224"/>
        <v>15.421146935562168</v>
      </c>
      <c r="BG90" s="254">
        <f t="shared" si="224"/>
        <v>15.542837251312122</v>
      </c>
      <c r="BH90" s="254">
        <f t="shared" si="224"/>
        <v>15.664527567062075</v>
      </c>
      <c r="BI90" s="254">
        <f t="shared" si="224"/>
        <v>15.786217882812029</v>
      </c>
      <c r="BJ90" s="254">
        <f t="shared" si="224"/>
        <v>15.907908198561982</v>
      </c>
      <c r="BK90" s="254">
        <f t="shared" si="224"/>
        <v>16.029598514311935</v>
      </c>
      <c r="BL90" s="254">
        <f t="shared" si="224"/>
        <v>16.151288830061887</v>
      </c>
      <c r="BM90" s="254">
        <f t="shared" si="224"/>
        <v>16.272979145811838</v>
      </c>
      <c r="BN90" s="254">
        <f t="shared" si="224"/>
        <v>16.39466946156179</v>
      </c>
      <c r="BO90" s="254">
        <f t="shared" si="224"/>
        <v>16.516359777311742</v>
      </c>
      <c r="BP90" s="254">
        <f t="shared" si="224"/>
        <v>16.638050093061693</v>
      </c>
      <c r="BQ90" s="782">
        <f>'AEO Data'!$C$30*BB90</f>
        <v>16.759740408811648</v>
      </c>
      <c r="BR90" s="254">
        <f t="shared" si="225"/>
        <v>16.855536896132378</v>
      </c>
      <c r="BS90" s="254">
        <f t="shared" si="225"/>
        <v>16.951333383453107</v>
      </c>
      <c r="BT90" s="254">
        <f t="shared" si="225"/>
        <v>17.047129870773837</v>
      </c>
      <c r="BU90" s="254">
        <f t="shared" si="225"/>
        <v>17.142926358094567</v>
      </c>
      <c r="BV90" s="806">
        <f>'AEO Data'!$D$30*BQ90</f>
        <v>17.238722845415303</v>
      </c>
      <c r="BW90" s="1074">
        <f>+BV90*BW$134/BV$134</f>
        <v>17.295960474142827</v>
      </c>
      <c r="BX90" s="1074">
        <f t="shared" ref="BX90:CZ90" si="229">+BW90*BX$134/BW$134</f>
        <v>17.353388148627904</v>
      </c>
      <c r="BY90" s="1074">
        <f t="shared" si="229"/>
        <v>17.411006499878322</v>
      </c>
      <c r="BZ90" s="1074">
        <f t="shared" si="229"/>
        <v>17.468816160997019</v>
      </c>
      <c r="CA90" s="1074">
        <f t="shared" si="229"/>
        <v>17.526817767189005</v>
      </c>
      <c r="CB90" s="1074">
        <f t="shared" si="229"/>
        <v>17.564218738594064</v>
      </c>
      <c r="CC90" s="1074">
        <f t="shared" si="229"/>
        <v>17.601699520988237</v>
      </c>
      <c r="CD90" s="1074">
        <f t="shared" si="229"/>
        <v>17.63926028468245</v>
      </c>
      <c r="CE90" s="1074">
        <f t="shared" si="229"/>
        <v>17.676901200351057</v>
      </c>
      <c r="CF90" s="1074">
        <f t="shared" si="229"/>
        <v>17.71462243903262</v>
      </c>
      <c r="CG90" s="1074">
        <f t="shared" si="229"/>
        <v>17.726870285951581</v>
      </c>
      <c r="CH90" s="1074">
        <f t="shared" si="229"/>
        <v>17.739126601002145</v>
      </c>
      <c r="CI90" s="1074">
        <f t="shared" si="229"/>
        <v>17.751391390039156</v>
      </c>
      <c r="CJ90" s="1074">
        <f t="shared" si="229"/>
        <v>17.763664658921517</v>
      </c>
      <c r="CK90" s="1074">
        <f t="shared" si="229"/>
        <v>17.775946413512166</v>
      </c>
      <c r="CL90" s="1074">
        <f t="shared" si="229"/>
        <v>17.78010938312746</v>
      </c>
      <c r="CM90" s="1074">
        <f t="shared" si="229"/>
        <v>17.784273327673461</v>
      </c>
      <c r="CN90" s="1074">
        <f t="shared" si="229"/>
        <v>17.78843824737849</v>
      </c>
      <c r="CO90" s="1074">
        <f t="shared" si="229"/>
        <v>17.792604142470921</v>
      </c>
      <c r="CP90" s="1074">
        <f t="shared" si="229"/>
        <v>17.796771013179182</v>
      </c>
      <c r="CQ90" s="1074">
        <f t="shared" si="229"/>
        <v>17.803086305807149</v>
      </c>
      <c r="CR90" s="1074">
        <f t="shared" si="229"/>
        <v>17.809403839455182</v>
      </c>
      <c r="CS90" s="1074">
        <f t="shared" si="229"/>
        <v>17.815723614918522</v>
      </c>
      <c r="CT90" s="1074">
        <f t="shared" si="229"/>
        <v>17.82204563299269</v>
      </c>
      <c r="CU90" s="1074">
        <f t="shared" si="229"/>
        <v>17.828369894473493</v>
      </c>
      <c r="CV90" s="1074">
        <f t="shared" si="229"/>
        <v>17.838102959667598</v>
      </c>
      <c r="CW90" s="1074">
        <f t="shared" si="229"/>
        <v>17.84784133844666</v>
      </c>
      <c r="CX90" s="1074">
        <f t="shared" si="229"/>
        <v>17.85758503371153</v>
      </c>
      <c r="CY90" s="1074">
        <f t="shared" si="229"/>
        <v>17.867334048364647</v>
      </c>
      <c r="CZ90" s="1074">
        <f t="shared" si="229"/>
        <v>17.877088385310028</v>
      </c>
    </row>
    <row r="91" spans="1:104" x14ac:dyDescent="0.25">
      <c r="A91" s="726" t="str">
        <f>'HyARC Physical Property Data'!A72</f>
        <v>Industrial Natural Gas</v>
      </c>
      <c r="B91" s="254">
        <v>2012</v>
      </c>
      <c r="C91" s="727">
        <f t="shared" si="221"/>
        <v>1.0573833607504113</v>
      </c>
      <c r="D91" s="1030" t="str">
        <f>'HyARC Physical Property Data'!H72</f>
        <v>mmBtu</v>
      </c>
      <c r="E91" s="727" t="s">
        <v>1031</v>
      </c>
      <c r="F91" s="254">
        <f>'HyARC Physical Property Data'!$E$6</f>
        <v>47.141269049911173</v>
      </c>
      <c r="G91" s="254">
        <f>'HyARC Physical Property Data'!$I$6</f>
        <v>52.224661236371581</v>
      </c>
      <c r="H91" s="854">
        <v>7.3783194821098821</v>
      </c>
      <c r="I91" s="854">
        <v>7.3783194821098821</v>
      </c>
      <c r="J91" s="854">
        <v>7.3783194821098821</v>
      </c>
      <c r="K91" s="854">
        <v>7.3783194821098821</v>
      </c>
      <c r="L91" s="854">
        <v>8.8676108815331158</v>
      </c>
      <c r="M91" s="854">
        <v>4.0882509003775072</v>
      </c>
      <c r="N91" s="854">
        <v>4.7404242582948717</v>
      </c>
      <c r="O91" s="254">
        <f t="shared" ref="O91:AR91" si="230">O108*($C91/mmBTU_to_GJ*$G91/$F91)</f>
        <v>5.655737860285754</v>
      </c>
      <c r="P91" s="254">
        <f t="shared" si="230"/>
        <v>4.1875429462406233</v>
      </c>
      <c r="Q91" s="254">
        <f t="shared" si="230"/>
        <v>5.101776855163612</v>
      </c>
      <c r="R91" s="254">
        <f t="shared" si="230"/>
        <v>5.3291370023953855</v>
      </c>
      <c r="S91" s="254">
        <f t="shared" si="230"/>
        <v>5.4842809039627953</v>
      </c>
      <c r="T91" s="254">
        <f t="shared" si="230"/>
        <v>5.7166186869466191</v>
      </c>
      <c r="U91" s="254">
        <f t="shared" si="230"/>
        <v>6.0244693028238556</v>
      </c>
      <c r="V91" s="254">
        <f t="shared" si="230"/>
        <v>6.490891427131448</v>
      </c>
      <c r="W91" s="254">
        <f t="shared" si="230"/>
        <v>6.6038403445700586</v>
      </c>
      <c r="X91" s="254">
        <f t="shared" si="230"/>
        <v>6.4314251683822734</v>
      </c>
      <c r="Y91" s="254">
        <f t="shared" si="230"/>
        <v>6.5896202729491558</v>
      </c>
      <c r="Z91" s="254">
        <f t="shared" si="230"/>
        <v>6.6115305308780448</v>
      </c>
      <c r="AA91" s="254">
        <f t="shared" si="230"/>
        <v>6.7200414358025036</v>
      </c>
      <c r="AB91" s="254">
        <f t="shared" si="230"/>
        <v>6.9144745724995795</v>
      </c>
      <c r="AC91" s="254">
        <f t="shared" si="230"/>
        <v>7.0183809145278193</v>
      </c>
      <c r="AD91" s="254">
        <f t="shared" si="230"/>
        <v>7.0574158827408624</v>
      </c>
      <c r="AE91" s="254">
        <f t="shared" si="230"/>
        <v>7.1387235585943367</v>
      </c>
      <c r="AF91" s="254">
        <f t="shared" si="230"/>
        <v>7.2521565824768235</v>
      </c>
      <c r="AG91" s="254">
        <f t="shared" si="230"/>
        <v>7.4789127069896324</v>
      </c>
      <c r="AH91" s="254">
        <f t="shared" si="230"/>
        <v>7.7602540537211651</v>
      </c>
      <c r="AI91" s="254">
        <f t="shared" si="230"/>
        <v>7.8876606546590935</v>
      </c>
      <c r="AJ91" s="254">
        <f t="shared" si="230"/>
        <v>8.02124849544348</v>
      </c>
      <c r="AK91" s="254">
        <f t="shared" si="230"/>
        <v>8.2390597541033976</v>
      </c>
      <c r="AL91" s="254">
        <f t="shared" si="230"/>
        <v>8.4081761223903708</v>
      </c>
      <c r="AM91" s="254">
        <f t="shared" si="230"/>
        <v>8.613534964151059</v>
      </c>
      <c r="AN91" s="254">
        <f t="shared" si="230"/>
        <v>8.930664656981202</v>
      </c>
      <c r="AO91" s="254">
        <f t="shared" si="230"/>
        <v>8.9872951178917102</v>
      </c>
      <c r="AP91" s="254">
        <f t="shared" si="230"/>
        <v>9.0273060713436681</v>
      </c>
      <c r="AQ91" s="254">
        <f t="shared" si="230"/>
        <v>9.2571600329629291</v>
      </c>
      <c r="AR91" s="254">
        <f t="shared" si="230"/>
        <v>9.5415659067244984</v>
      </c>
      <c r="AS91" s="254">
        <f t="shared" ref="AS91:BA91" si="231">($BB91-$AR91)/10+AR91</f>
        <v>9.5566281987255213</v>
      </c>
      <c r="AT91" s="254">
        <f t="shared" si="231"/>
        <v>9.5716904907265441</v>
      </c>
      <c r="AU91" s="254">
        <f t="shared" si="231"/>
        <v>9.5867527827275669</v>
      </c>
      <c r="AV91" s="254">
        <f t="shared" si="231"/>
        <v>9.6018150747285897</v>
      </c>
      <c r="AW91" s="254">
        <f t="shared" si="231"/>
        <v>9.6168773667296126</v>
      </c>
      <c r="AX91" s="254">
        <f t="shared" si="231"/>
        <v>9.6319396587306354</v>
      </c>
      <c r="AY91" s="254">
        <f t="shared" si="231"/>
        <v>9.6470019507316582</v>
      </c>
      <c r="AZ91" s="254">
        <f t="shared" si="231"/>
        <v>9.6620642427326811</v>
      </c>
      <c r="BA91" s="254">
        <f t="shared" si="231"/>
        <v>9.6771265347337039</v>
      </c>
      <c r="BB91" s="782">
        <f>'AEO Data'!$B$30*AM91</f>
        <v>9.6921888267347267</v>
      </c>
      <c r="BC91" s="254">
        <f t="shared" si="224"/>
        <v>9.7711639881168519</v>
      </c>
      <c r="BD91" s="254">
        <f t="shared" si="224"/>
        <v>9.8501391494989772</v>
      </c>
      <c r="BE91" s="254">
        <f t="shared" si="224"/>
        <v>9.9291143108811024</v>
      </c>
      <c r="BF91" s="254">
        <f t="shared" si="224"/>
        <v>10.008089472263228</v>
      </c>
      <c r="BG91" s="254">
        <f t="shared" si="224"/>
        <v>10.087064633645353</v>
      </c>
      <c r="BH91" s="254">
        <f t="shared" si="224"/>
        <v>10.166039795027478</v>
      </c>
      <c r="BI91" s="254">
        <f t="shared" si="224"/>
        <v>10.245014956409603</v>
      </c>
      <c r="BJ91" s="254">
        <f t="shared" si="224"/>
        <v>10.323990117791729</v>
      </c>
      <c r="BK91" s="254">
        <f t="shared" si="224"/>
        <v>10.402965279173854</v>
      </c>
      <c r="BL91" s="254">
        <f t="shared" si="224"/>
        <v>10.481940440555979</v>
      </c>
      <c r="BM91" s="254">
        <f t="shared" si="224"/>
        <v>10.560915601938104</v>
      </c>
      <c r="BN91" s="254">
        <f t="shared" si="224"/>
        <v>10.63989076332023</v>
      </c>
      <c r="BO91" s="254">
        <f t="shared" si="224"/>
        <v>10.718865924702355</v>
      </c>
      <c r="BP91" s="254">
        <f t="shared" si="224"/>
        <v>10.79784108608448</v>
      </c>
      <c r="BQ91" s="782">
        <f>'AEO Data'!$C$30*BB91</f>
        <v>10.876816247466609</v>
      </c>
      <c r="BR91" s="254">
        <f t="shared" si="225"/>
        <v>10.938986708602901</v>
      </c>
      <c r="BS91" s="254">
        <f t="shared" si="225"/>
        <v>11.001157169739193</v>
      </c>
      <c r="BT91" s="254">
        <f t="shared" si="225"/>
        <v>11.063327630875484</v>
      </c>
      <c r="BU91" s="254">
        <f t="shared" si="225"/>
        <v>11.125498092011776</v>
      </c>
      <c r="BV91" s="806">
        <f>'AEO Data'!$D$30*BQ91</f>
        <v>11.187668553148065</v>
      </c>
      <c r="BW91" s="1074">
        <f>+BV91*BW$135/BV$135</f>
        <v>11.224814902370914</v>
      </c>
      <c r="BX91" s="1074">
        <f t="shared" ref="BX91:CZ91" si="232">+BW91*BX$135/BW$135</f>
        <v>11.262084588395711</v>
      </c>
      <c r="BY91" s="1074">
        <f t="shared" si="232"/>
        <v>11.299478020736903</v>
      </c>
      <c r="BZ91" s="1074">
        <f t="shared" si="232"/>
        <v>11.336995610268644</v>
      </c>
      <c r="CA91" s="1074">
        <f t="shared" si="232"/>
        <v>11.37463776922932</v>
      </c>
      <c r="CB91" s="1074">
        <f t="shared" si="232"/>
        <v>11.398910429994142</v>
      </c>
      <c r="CC91" s="1074">
        <f t="shared" si="232"/>
        <v>11.42323488687525</v>
      </c>
      <c r="CD91" s="1074">
        <f t="shared" si="232"/>
        <v>11.447611250401838</v>
      </c>
      <c r="CE91" s="1074">
        <f t="shared" si="232"/>
        <v>11.472039631338966</v>
      </c>
      <c r="CF91" s="1074">
        <f t="shared" si="232"/>
        <v>11.496520140688052</v>
      </c>
      <c r="CG91" s="1074">
        <f t="shared" si="232"/>
        <v>11.504468806784013</v>
      </c>
      <c r="CH91" s="1074">
        <f t="shared" si="232"/>
        <v>11.512422968568401</v>
      </c>
      <c r="CI91" s="1074">
        <f t="shared" si="232"/>
        <v>11.520382629840926</v>
      </c>
      <c r="CJ91" s="1074">
        <f t="shared" si="232"/>
        <v>11.528347794403915</v>
      </c>
      <c r="CK91" s="1074">
        <f t="shared" si="232"/>
        <v>11.536318466062333</v>
      </c>
      <c r="CL91" s="1074">
        <f t="shared" si="232"/>
        <v>11.539020169933924</v>
      </c>
      <c r="CM91" s="1074">
        <f t="shared" si="232"/>
        <v>11.541722506520692</v>
      </c>
      <c r="CN91" s="1074">
        <f t="shared" si="232"/>
        <v>11.544425475970817</v>
      </c>
      <c r="CO91" s="1074">
        <f t="shared" si="232"/>
        <v>11.54712907843251</v>
      </c>
      <c r="CP91" s="1074">
        <f t="shared" si="232"/>
        <v>11.549833314054016</v>
      </c>
      <c r="CQ91" s="1074">
        <f t="shared" si="232"/>
        <v>11.553931842777482</v>
      </c>
      <c r="CR91" s="1074">
        <f t="shared" si="232"/>
        <v>11.558031825888838</v>
      </c>
      <c r="CS91" s="1074">
        <f t="shared" si="232"/>
        <v>11.562133263904183</v>
      </c>
      <c r="CT91" s="1074">
        <f t="shared" si="232"/>
        <v>11.566236157339798</v>
      </c>
      <c r="CU91" s="1074">
        <f t="shared" si="232"/>
        <v>11.570340506712146</v>
      </c>
      <c r="CV91" s="1074">
        <f t="shared" si="232"/>
        <v>11.576657117772855</v>
      </c>
      <c r="CW91" s="1074">
        <f t="shared" si="232"/>
        <v>11.582977177269267</v>
      </c>
      <c r="CX91" s="1074">
        <f t="shared" si="232"/>
        <v>11.589300687083989</v>
      </c>
      <c r="CY91" s="1074">
        <f t="shared" si="232"/>
        <v>11.595627649100658</v>
      </c>
      <c r="CZ91" s="1074">
        <f t="shared" si="232"/>
        <v>11.60195806520394</v>
      </c>
    </row>
    <row r="92" spans="1:104" x14ac:dyDescent="0.25">
      <c r="A92" s="726" t="str">
        <f>'HyARC Physical Property Data'!A74</f>
        <v>Electric Utility Natural Gas</v>
      </c>
      <c r="B92" s="254">
        <v>2012</v>
      </c>
      <c r="C92" s="727">
        <f t="shared" si="221"/>
        <v>1.0573833607504113</v>
      </c>
      <c r="D92" s="1030" t="str">
        <f>'HyARC Physical Property Data'!H74</f>
        <v>mmBtu</v>
      </c>
      <c r="E92" s="727" t="s">
        <v>1031</v>
      </c>
      <c r="F92" s="254">
        <f>'HyARC Physical Property Data'!$E$6</f>
        <v>47.141269049911173</v>
      </c>
      <c r="G92" s="254">
        <f>'HyARC Physical Property Data'!$I$6</f>
        <v>52.224661236371581</v>
      </c>
      <c r="H92" s="854">
        <v>7.0668336992239764</v>
      </c>
      <c r="I92" s="854">
        <v>7.0668336992239764</v>
      </c>
      <c r="J92" s="854">
        <v>7.0668336992239764</v>
      </c>
      <c r="K92" s="854">
        <v>7.0668336992239764</v>
      </c>
      <c r="L92" s="854">
        <v>8.8481430201027482</v>
      </c>
      <c r="M92" s="854">
        <v>4.0298473160863999</v>
      </c>
      <c r="N92" s="854">
        <v>4.7209563968645023</v>
      </c>
      <c r="O92" s="254">
        <f t="shared" ref="O92:AR92" si="233">O109*($C92/mmBTU_to_GJ*$G92/$F92)</f>
        <v>5.4205498450968195</v>
      </c>
      <c r="P92" s="254">
        <f t="shared" si="233"/>
        <v>3.8171937443247086</v>
      </c>
      <c r="Q92" s="254">
        <f t="shared" si="233"/>
        <v>4.7973527358134387</v>
      </c>
      <c r="R92" s="254">
        <f t="shared" si="233"/>
        <v>4.9625507287783099</v>
      </c>
      <c r="S92" s="254">
        <f t="shared" si="233"/>
        <v>4.9171202258938838</v>
      </c>
      <c r="T92" s="254">
        <f t="shared" si="233"/>
        <v>4.9685332185021656</v>
      </c>
      <c r="U92" s="254">
        <f t="shared" si="233"/>
        <v>5.2081048397471088</v>
      </c>
      <c r="V92" s="254">
        <f t="shared" si="233"/>
        <v>5.6206345914253779</v>
      </c>
      <c r="W92" s="254">
        <f t="shared" si="233"/>
        <v>5.7508958659119411</v>
      </c>
      <c r="X92" s="254">
        <f t="shared" si="233"/>
        <v>5.6343006054419362</v>
      </c>
      <c r="Y92" s="254">
        <f t="shared" si="233"/>
        <v>5.8207548685021111</v>
      </c>
      <c r="Z92" s="254">
        <f t="shared" si="233"/>
        <v>5.8784978859648298</v>
      </c>
      <c r="AA92" s="254">
        <f t="shared" si="233"/>
        <v>6.0180882025189186</v>
      </c>
      <c r="AB92" s="254">
        <f t="shared" si="233"/>
        <v>6.2425492627668415</v>
      </c>
      <c r="AC92" s="254">
        <f t="shared" si="233"/>
        <v>6.3929997745675973</v>
      </c>
      <c r="AD92" s="254">
        <f t="shared" si="233"/>
        <v>6.4554939192627536</v>
      </c>
      <c r="AE92" s="254">
        <f t="shared" si="233"/>
        <v>6.5567554412237641</v>
      </c>
      <c r="AF92" s="254">
        <f t="shared" si="233"/>
        <v>6.6927371661663972</v>
      </c>
      <c r="AG92" s="254">
        <f t="shared" si="233"/>
        <v>6.9326085780990629</v>
      </c>
      <c r="AH92" s="254">
        <f t="shared" si="233"/>
        <v>7.2098860955081534</v>
      </c>
      <c r="AI92" s="254">
        <f t="shared" si="233"/>
        <v>7.3471713547744324</v>
      </c>
      <c r="AJ92" s="254">
        <f t="shared" si="233"/>
        <v>7.468747582004128</v>
      </c>
      <c r="AK92" s="254">
        <f t="shared" si="233"/>
        <v>7.6952494396003139</v>
      </c>
      <c r="AL92" s="254">
        <f t="shared" si="233"/>
        <v>7.8732995703813753</v>
      </c>
      <c r="AM92" s="254">
        <f t="shared" si="233"/>
        <v>8.0908132590253317</v>
      </c>
      <c r="AN92" s="254">
        <f t="shared" si="233"/>
        <v>8.4061308836985837</v>
      </c>
      <c r="AO92" s="254">
        <f t="shared" si="233"/>
        <v>8.4723502052726456</v>
      </c>
      <c r="AP92" s="254">
        <f t="shared" si="233"/>
        <v>8.5254853288315022</v>
      </c>
      <c r="AQ92" s="254">
        <f t="shared" si="233"/>
        <v>8.7688220990470462</v>
      </c>
      <c r="AR92" s="254">
        <f t="shared" si="233"/>
        <v>9.0589717403181744</v>
      </c>
      <c r="AS92" s="254">
        <f t="shared" ref="AS92:BA92" si="234">($BB92-$AR92)/10+AR92</f>
        <v>9.0634753505716894</v>
      </c>
      <c r="AT92" s="254">
        <f t="shared" si="234"/>
        <v>9.0679789608252044</v>
      </c>
      <c r="AU92" s="254">
        <f t="shared" si="234"/>
        <v>9.0724825710787194</v>
      </c>
      <c r="AV92" s="254">
        <f t="shared" si="234"/>
        <v>9.0769861813322343</v>
      </c>
      <c r="AW92" s="254">
        <f t="shared" si="234"/>
        <v>9.0814897915857493</v>
      </c>
      <c r="AX92" s="254">
        <f t="shared" si="234"/>
        <v>9.0859934018392643</v>
      </c>
      <c r="AY92" s="254">
        <f t="shared" si="234"/>
        <v>9.0904970120927793</v>
      </c>
      <c r="AZ92" s="254">
        <f t="shared" si="234"/>
        <v>9.0950006223462943</v>
      </c>
      <c r="BA92" s="254">
        <f t="shared" si="234"/>
        <v>9.0995042325998092</v>
      </c>
      <c r="BB92" s="782">
        <f>'AEO Data'!$B$30*AM92</f>
        <v>9.1040078428533171</v>
      </c>
      <c r="BC92" s="254">
        <f t="shared" si="224"/>
        <v>9.178190310969315</v>
      </c>
      <c r="BD92" s="254">
        <f t="shared" si="224"/>
        <v>9.252372779085313</v>
      </c>
      <c r="BE92" s="254">
        <f t="shared" si="224"/>
        <v>9.3265552472013109</v>
      </c>
      <c r="BF92" s="254">
        <f t="shared" si="224"/>
        <v>9.4007377153173088</v>
      </c>
      <c r="BG92" s="254">
        <f t="shared" si="224"/>
        <v>9.4749201834333068</v>
      </c>
      <c r="BH92" s="254">
        <f t="shared" si="224"/>
        <v>9.5491026515493047</v>
      </c>
      <c r="BI92" s="254">
        <f t="shared" si="224"/>
        <v>9.6232851196653026</v>
      </c>
      <c r="BJ92" s="254">
        <f t="shared" si="224"/>
        <v>9.6974675877813006</v>
      </c>
      <c r="BK92" s="254">
        <f t="shared" si="224"/>
        <v>9.7716500558972985</v>
      </c>
      <c r="BL92" s="254">
        <f t="shared" si="224"/>
        <v>9.8458325240132964</v>
      </c>
      <c r="BM92" s="254">
        <f t="shared" si="224"/>
        <v>9.9200149921292944</v>
      </c>
      <c r="BN92" s="254">
        <f t="shared" si="224"/>
        <v>9.9941974602452923</v>
      </c>
      <c r="BO92" s="254">
        <f t="shared" si="224"/>
        <v>10.06837992836129</v>
      </c>
      <c r="BP92" s="254">
        <f t="shared" si="224"/>
        <v>10.142562396477288</v>
      </c>
      <c r="BQ92" s="782">
        <f>'AEO Data'!$C$30*BB92</f>
        <v>10.216744864593281</v>
      </c>
      <c r="BR92" s="254">
        <f t="shared" si="225"/>
        <v>10.275142443911728</v>
      </c>
      <c r="BS92" s="254">
        <f t="shared" si="225"/>
        <v>10.333540023230174</v>
      </c>
      <c r="BT92" s="254">
        <f t="shared" si="225"/>
        <v>10.391937602548621</v>
      </c>
      <c r="BU92" s="254">
        <f t="shared" si="225"/>
        <v>10.450335181867068</v>
      </c>
      <c r="BV92" s="806">
        <f>'AEO Data'!$D$30*BQ92</f>
        <v>10.508732761185513</v>
      </c>
      <c r="BW92" s="1074">
        <f>+BV92*BW$136/BV$136</f>
        <v>10.543624843944501</v>
      </c>
      <c r="BX92" s="1074">
        <f t="shared" ref="BX92:CZ92" si="235">+BW92*BX$136/BW$136</f>
        <v>10.578632778677932</v>
      </c>
      <c r="BY92" s="1074">
        <f t="shared" si="235"/>
        <v>10.613756950048424</v>
      </c>
      <c r="BZ92" s="1074">
        <f t="shared" si="235"/>
        <v>10.648997743995791</v>
      </c>
      <c r="CA92" s="1074">
        <f t="shared" si="235"/>
        <v>10.684355547741282</v>
      </c>
      <c r="CB92" s="1074">
        <f t="shared" si="235"/>
        <v>10.707155195779537</v>
      </c>
      <c r="CC92" s="1074">
        <f t="shared" si="235"/>
        <v>10.730003496630621</v>
      </c>
      <c r="CD92" s="1074">
        <f t="shared" si="235"/>
        <v>10.752900554116147</v>
      </c>
      <c r="CE92" s="1074">
        <f t="shared" si="235"/>
        <v>10.775846472279273</v>
      </c>
      <c r="CF92" s="1074">
        <f t="shared" si="235"/>
        <v>10.79884135538518</v>
      </c>
      <c r="CG92" s="1074">
        <f t="shared" si="235"/>
        <v>10.806307648063903</v>
      </c>
      <c r="CH92" s="1074">
        <f t="shared" si="235"/>
        <v>10.813779102919245</v>
      </c>
      <c r="CI92" s="1074">
        <f t="shared" si="235"/>
        <v>10.821255723520322</v>
      </c>
      <c r="CJ92" s="1074">
        <f t="shared" si="235"/>
        <v>10.828737513438721</v>
      </c>
      <c r="CK92" s="1074">
        <f t="shared" si="235"/>
        <v>10.836224476248493</v>
      </c>
      <c r="CL92" s="1074">
        <f t="shared" si="235"/>
        <v>10.838762224292379</v>
      </c>
      <c r="CM92" s="1074">
        <f t="shared" si="235"/>
        <v>10.841300566654439</v>
      </c>
      <c r="CN92" s="1074">
        <f t="shared" si="235"/>
        <v>10.843839503473856</v>
      </c>
      <c r="CO92" s="1074">
        <f t="shared" si="235"/>
        <v>10.846379034889845</v>
      </c>
      <c r="CP92" s="1074">
        <f t="shared" si="235"/>
        <v>10.848919161041659</v>
      </c>
      <c r="CQ92" s="1074">
        <f t="shared" si="235"/>
        <v>10.85276896610733</v>
      </c>
      <c r="CR92" s="1074">
        <f t="shared" si="235"/>
        <v>10.856620137299787</v>
      </c>
      <c r="CS92" s="1074">
        <f t="shared" si="235"/>
        <v>10.860472675103804</v>
      </c>
      <c r="CT92" s="1074">
        <f t="shared" si="235"/>
        <v>10.864326580004334</v>
      </c>
      <c r="CU92" s="1074">
        <f t="shared" si="235"/>
        <v>10.868181852486501</v>
      </c>
      <c r="CV92" s="1074">
        <f t="shared" si="235"/>
        <v>10.874115133158696</v>
      </c>
      <c r="CW92" s="1074">
        <f t="shared" si="235"/>
        <v>10.880051652994538</v>
      </c>
      <c r="CX92" s="1074">
        <f t="shared" si="235"/>
        <v>10.885991413762385</v>
      </c>
      <c r="CY92" s="1074">
        <f t="shared" si="235"/>
        <v>10.891934417231562</v>
      </c>
      <c r="CZ92" s="1074">
        <f t="shared" si="235"/>
        <v>10.897880665172362</v>
      </c>
    </row>
    <row r="93" spans="1:104" x14ac:dyDescent="0.25">
      <c r="A93" s="726" t="str">
        <f>'HyARC Physical Property Data'!A75</f>
        <v>Bio Methane</v>
      </c>
      <c r="B93" s="254">
        <v>2007</v>
      </c>
      <c r="C93" s="727">
        <f t="shared" si="221"/>
        <v>1.1413971588333081</v>
      </c>
      <c r="D93" s="1030" t="str">
        <f>'HyARC Physical Property Data'!H75</f>
        <v>mmBtu</v>
      </c>
      <c r="E93" s="727" t="s">
        <v>1031</v>
      </c>
      <c r="F93" s="254">
        <f>'HyARC Physical Property Data'!$E$6</f>
        <v>47.141269049911173</v>
      </c>
      <c r="G93" s="254">
        <f>'HyARC Physical Property Data'!$I$6</f>
        <v>52.224661236371581</v>
      </c>
      <c r="H93" s="854">
        <v>12.42654028436019</v>
      </c>
      <c r="I93" s="854">
        <v>12.42654028436019</v>
      </c>
      <c r="J93" s="854">
        <v>12.42654028436019</v>
      </c>
      <c r="K93" s="854">
        <v>12.42654028436019</v>
      </c>
      <c r="L93" s="854">
        <v>12.42654028436019</v>
      </c>
      <c r="M93" s="854">
        <v>12.42654028436019</v>
      </c>
      <c r="N93" s="854">
        <v>12.42654028436019</v>
      </c>
      <c r="O93" s="254">
        <f t="shared" ref="O93:AM93" si="236">13.11*($C$93/mmBTU_to_GJ)</f>
        <v>14.183617774696369</v>
      </c>
      <c r="P93" s="254">
        <f t="shared" si="236"/>
        <v>14.183617774696369</v>
      </c>
      <c r="Q93" s="254">
        <f t="shared" si="236"/>
        <v>14.183617774696369</v>
      </c>
      <c r="R93" s="254">
        <f t="shared" si="236"/>
        <v>14.183617774696369</v>
      </c>
      <c r="S93" s="254">
        <f t="shared" si="236"/>
        <v>14.183617774696369</v>
      </c>
      <c r="T93" s="254">
        <f t="shared" si="236"/>
        <v>14.183617774696369</v>
      </c>
      <c r="U93" s="254">
        <f t="shared" si="236"/>
        <v>14.183617774696369</v>
      </c>
      <c r="V93" s="254">
        <f t="shared" si="236"/>
        <v>14.183617774696369</v>
      </c>
      <c r="W93" s="254">
        <f t="shared" si="236"/>
        <v>14.183617774696369</v>
      </c>
      <c r="X93" s="254">
        <f t="shared" si="236"/>
        <v>14.183617774696369</v>
      </c>
      <c r="Y93" s="254">
        <f t="shared" si="236"/>
        <v>14.183617774696369</v>
      </c>
      <c r="Z93" s="254">
        <f t="shared" si="236"/>
        <v>14.183617774696369</v>
      </c>
      <c r="AA93" s="254">
        <f t="shared" si="236"/>
        <v>14.183617774696369</v>
      </c>
      <c r="AB93" s="254">
        <f t="shared" si="236"/>
        <v>14.183617774696369</v>
      </c>
      <c r="AC93" s="254">
        <f t="shared" si="236"/>
        <v>14.183617774696369</v>
      </c>
      <c r="AD93" s="254">
        <f t="shared" si="236"/>
        <v>14.183617774696369</v>
      </c>
      <c r="AE93" s="254">
        <f t="shared" si="236"/>
        <v>14.183617774696369</v>
      </c>
      <c r="AF93" s="254">
        <f t="shared" si="236"/>
        <v>14.183617774696369</v>
      </c>
      <c r="AG93" s="254">
        <f t="shared" si="236"/>
        <v>14.183617774696369</v>
      </c>
      <c r="AH93" s="254">
        <f t="shared" si="236"/>
        <v>14.183617774696369</v>
      </c>
      <c r="AI93" s="254">
        <f t="shared" si="236"/>
        <v>14.183617774696369</v>
      </c>
      <c r="AJ93" s="254">
        <f t="shared" si="236"/>
        <v>14.183617774696369</v>
      </c>
      <c r="AK93" s="254">
        <f t="shared" si="236"/>
        <v>14.183617774696369</v>
      </c>
      <c r="AL93" s="254">
        <f t="shared" si="236"/>
        <v>14.183617774696369</v>
      </c>
      <c r="AM93" s="254">
        <f t="shared" si="236"/>
        <v>14.183617774696369</v>
      </c>
      <c r="AN93" s="254">
        <f t="shared" ref="AN93:BV93" si="237">13.11*($C$93/mmBTU_to_GJ)</f>
        <v>14.183617774696369</v>
      </c>
      <c r="AO93" s="254">
        <f t="shared" si="237"/>
        <v>14.183617774696369</v>
      </c>
      <c r="AP93" s="254">
        <f t="shared" si="237"/>
        <v>14.183617774696369</v>
      </c>
      <c r="AQ93" s="254">
        <f t="shared" si="237"/>
        <v>14.183617774696369</v>
      </c>
      <c r="AR93" s="254">
        <f t="shared" si="237"/>
        <v>14.183617774696369</v>
      </c>
      <c r="AS93" s="254">
        <f t="shared" si="237"/>
        <v>14.183617774696369</v>
      </c>
      <c r="AT93" s="254">
        <f t="shared" si="237"/>
        <v>14.183617774696369</v>
      </c>
      <c r="AU93" s="254">
        <f t="shared" si="237"/>
        <v>14.183617774696369</v>
      </c>
      <c r="AV93" s="254">
        <f t="shared" si="237"/>
        <v>14.183617774696369</v>
      </c>
      <c r="AW93" s="254">
        <f t="shared" si="237"/>
        <v>14.183617774696369</v>
      </c>
      <c r="AX93" s="254">
        <f t="shared" si="237"/>
        <v>14.183617774696369</v>
      </c>
      <c r="AY93" s="254">
        <f t="shared" si="237"/>
        <v>14.183617774696369</v>
      </c>
      <c r="AZ93" s="254">
        <f t="shared" si="237"/>
        <v>14.183617774696369</v>
      </c>
      <c r="BA93" s="254">
        <f t="shared" si="237"/>
        <v>14.183617774696369</v>
      </c>
      <c r="BB93" s="254">
        <f t="shared" si="237"/>
        <v>14.183617774696369</v>
      </c>
      <c r="BC93" s="254">
        <f t="shared" si="237"/>
        <v>14.183617774696369</v>
      </c>
      <c r="BD93" s="254">
        <f t="shared" si="237"/>
        <v>14.183617774696369</v>
      </c>
      <c r="BE93" s="254">
        <f t="shared" si="237"/>
        <v>14.183617774696369</v>
      </c>
      <c r="BF93" s="254">
        <f t="shared" si="237"/>
        <v>14.183617774696369</v>
      </c>
      <c r="BG93" s="254">
        <f t="shared" si="237"/>
        <v>14.183617774696369</v>
      </c>
      <c r="BH93" s="254">
        <f t="shared" si="237"/>
        <v>14.183617774696369</v>
      </c>
      <c r="BI93" s="254">
        <f t="shared" si="237"/>
        <v>14.183617774696369</v>
      </c>
      <c r="BJ93" s="254">
        <f t="shared" si="237"/>
        <v>14.183617774696369</v>
      </c>
      <c r="BK93" s="254">
        <f t="shared" si="237"/>
        <v>14.183617774696369</v>
      </c>
      <c r="BL93" s="254">
        <f t="shared" si="237"/>
        <v>14.183617774696369</v>
      </c>
      <c r="BM93" s="254">
        <f t="shared" si="237"/>
        <v>14.183617774696369</v>
      </c>
      <c r="BN93" s="254">
        <f t="shared" si="237"/>
        <v>14.183617774696369</v>
      </c>
      <c r="BO93" s="254">
        <f t="shared" si="237"/>
        <v>14.183617774696369</v>
      </c>
      <c r="BP93" s="254">
        <f t="shared" si="237"/>
        <v>14.183617774696369</v>
      </c>
      <c r="BQ93" s="254">
        <f t="shared" si="237"/>
        <v>14.183617774696369</v>
      </c>
      <c r="BR93" s="254">
        <f t="shared" si="237"/>
        <v>14.183617774696369</v>
      </c>
      <c r="BS93" s="254">
        <f t="shared" si="237"/>
        <v>14.183617774696369</v>
      </c>
      <c r="BT93" s="254">
        <f t="shared" si="237"/>
        <v>14.183617774696369</v>
      </c>
      <c r="BU93" s="254">
        <f t="shared" si="237"/>
        <v>14.183617774696369</v>
      </c>
      <c r="BV93" s="729">
        <f t="shared" si="237"/>
        <v>14.183617774696369</v>
      </c>
      <c r="BW93" s="1074">
        <f>+BV93*BW$136/BV$136</f>
        <v>14.230711556264829</v>
      </c>
      <c r="BX93" s="1074">
        <f t="shared" ref="BX93:CZ93" si="238">+BW93*BX$136/BW$136</f>
        <v>14.277961703035571</v>
      </c>
      <c r="BY93" s="1074">
        <f t="shared" si="238"/>
        <v>14.325368734187041</v>
      </c>
      <c r="BZ93" s="1074">
        <f t="shared" si="238"/>
        <v>14.372933170621517</v>
      </c>
      <c r="CA93" s="1074">
        <f t="shared" si="238"/>
        <v>14.420655534970821</v>
      </c>
      <c r="CB93" s="1074">
        <f t="shared" si="238"/>
        <v>14.451428179067991</v>
      </c>
      <c r="CC93" s="1074">
        <f t="shared" si="238"/>
        <v>14.482266489779443</v>
      </c>
      <c r="CD93" s="1074">
        <f t="shared" si="238"/>
        <v>14.51317060723302</v>
      </c>
      <c r="CE93" s="1074">
        <f t="shared" si="238"/>
        <v>14.54414067185559</v>
      </c>
      <c r="CF93" s="1074">
        <f t="shared" si="238"/>
        <v>14.575176824373679</v>
      </c>
      <c r="CG93" s="1074">
        <f t="shared" si="238"/>
        <v>14.585254066221541</v>
      </c>
      <c r="CH93" s="1074">
        <f t="shared" si="238"/>
        <v>14.595338275449933</v>
      </c>
      <c r="CI93" s="1074">
        <f t="shared" si="238"/>
        <v>14.605429456876088</v>
      </c>
      <c r="CJ93" s="1074">
        <f t="shared" si="238"/>
        <v>14.615527615320566</v>
      </c>
      <c r="CK93" s="1074">
        <f t="shared" si="238"/>
        <v>14.625632755607262</v>
      </c>
      <c r="CL93" s="1074">
        <f t="shared" si="238"/>
        <v>14.629057949594106</v>
      </c>
      <c r="CM93" s="1074">
        <f t="shared" si="238"/>
        <v>14.632483945731124</v>
      </c>
      <c r="CN93" s="1074">
        <f t="shared" si="238"/>
        <v>14.635910744206171</v>
      </c>
      <c r="CO93" s="1074">
        <f t="shared" si="238"/>
        <v>14.639338345207147</v>
      </c>
      <c r="CP93" s="1074">
        <f t="shared" si="238"/>
        <v>14.642766748922</v>
      </c>
      <c r="CQ93" s="1074">
        <f t="shared" si="238"/>
        <v>14.647962823919764</v>
      </c>
      <c r="CR93" s="1074">
        <f t="shared" si="238"/>
        <v>14.6531607427764</v>
      </c>
      <c r="CS93" s="1074">
        <f t="shared" si="238"/>
        <v>14.658360506146211</v>
      </c>
      <c r="CT93" s="1074">
        <f t="shared" si="238"/>
        <v>14.663562114683737</v>
      </c>
      <c r="CU93" s="1074">
        <f t="shared" si="238"/>
        <v>14.668765569043746</v>
      </c>
      <c r="CV93" s="1074">
        <f t="shared" si="238"/>
        <v>14.676773707333766</v>
      </c>
      <c r="CW93" s="1074">
        <f t="shared" si="238"/>
        <v>14.68478621751715</v>
      </c>
      <c r="CX93" s="1074">
        <f t="shared" si="238"/>
        <v>14.692803101980653</v>
      </c>
      <c r="CY93" s="1074">
        <f t="shared" si="238"/>
        <v>14.700824363112332</v>
      </c>
      <c r="CZ93" s="1074">
        <f t="shared" si="238"/>
        <v>14.708850003301547</v>
      </c>
    </row>
    <row r="94" spans="1:104" x14ac:dyDescent="0.25">
      <c r="A94" s="807" t="str">
        <f>'HyARC Physical Property Data'!A85</f>
        <v>Woody Biomass</v>
      </c>
      <c r="B94" s="254">
        <v>2005</v>
      </c>
      <c r="C94" s="727">
        <f t="shared" si="221"/>
        <v>1.208440716126562</v>
      </c>
      <c r="D94" s="1032" t="str">
        <f>+'HyARC Physical Property Data'!$H$85</f>
        <v>kg</v>
      </c>
      <c r="E94" s="727" t="s">
        <v>1031</v>
      </c>
      <c r="F94" s="254">
        <f>'HyARC Physical Property Data'!$E$45</f>
        <v>19.551069237418005</v>
      </c>
      <c r="G94" s="254">
        <f>'HyARC Physical Property Data'!$I$45</f>
        <v>20.588656379262464</v>
      </c>
      <c r="H94" s="854">
        <v>1.3438238843289665</v>
      </c>
      <c r="I94" s="854">
        <v>1.3438238843289665</v>
      </c>
      <c r="J94" s="854">
        <v>1.3438238843289665</v>
      </c>
      <c r="K94" s="854">
        <v>1.3438238843289665</v>
      </c>
      <c r="L94" s="854">
        <v>1.3438238843289665</v>
      </c>
      <c r="M94" s="854">
        <v>1.3438238843289665</v>
      </c>
      <c r="N94" s="854">
        <v>1.3438238843289665</v>
      </c>
      <c r="O94" s="254">
        <f>1.27*($C$94)</f>
        <v>1.5347197094807337</v>
      </c>
      <c r="P94" s="254">
        <f>1.28*($C$94)</f>
        <v>1.5468041166419995</v>
      </c>
      <c r="Q94" s="254">
        <f>1.32*($C$94)</f>
        <v>1.595141745287062</v>
      </c>
      <c r="R94" s="254">
        <f>1.32*($C$94)</f>
        <v>1.595141745287062</v>
      </c>
      <c r="S94" s="254">
        <f>1.34*($C$94)</f>
        <v>1.6193105596095931</v>
      </c>
      <c r="T94" s="254">
        <f>1.34*($C$94)</f>
        <v>1.6193105596095931</v>
      </c>
      <c r="U94" s="254">
        <f>1.36*($C$94)</f>
        <v>1.6434793739321245</v>
      </c>
      <c r="V94" s="254">
        <f>1.36*($C$94)</f>
        <v>1.6434793739321245</v>
      </c>
      <c r="W94" s="254">
        <f>1.38*($C$94)</f>
        <v>1.6676481882546554</v>
      </c>
      <c r="X94" s="254">
        <f>1.4*($C$94)</f>
        <v>1.6918170025771868</v>
      </c>
      <c r="Y94" s="254">
        <f>1.46*($C$94)</f>
        <v>1.7643234455447805</v>
      </c>
      <c r="Z94" s="254">
        <f>1.48*($C$94)</f>
        <v>1.7884922598673119</v>
      </c>
      <c r="AA94" s="254">
        <f>1.48*($C$94)</f>
        <v>1.7884922598673119</v>
      </c>
      <c r="AB94" s="254">
        <f>1.51*($C$94)</f>
        <v>1.8247454813511086</v>
      </c>
      <c r="AC94" s="254">
        <f>1.52*($C$94)</f>
        <v>1.8368298885123742</v>
      </c>
      <c r="AD94" s="254">
        <f>1.62*($C$94)</f>
        <v>1.9576739601250306</v>
      </c>
      <c r="AE94" s="254">
        <f>1.72*($C$94)</f>
        <v>2.0785180317376866</v>
      </c>
      <c r="AF94" s="254">
        <f>1.82*($C$94)</f>
        <v>2.1993621033503428</v>
      </c>
      <c r="AG94" s="254">
        <f>1.91*($C$94)</f>
        <v>2.3081217678017332</v>
      </c>
      <c r="AH94" s="254">
        <f>2.01*($C$94)</f>
        <v>2.4289658394143894</v>
      </c>
      <c r="AI94" s="254">
        <f>2.11*($C$94)</f>
        <v>2.5498099110270456</v>
      </c>
      <c r="AJ94" s="254">
        <f>2.2*($C$94)</f>
        <v>2.6585695754784364</v>
      </c>
      <c r="AK94" s="254">
        <f>2.3*($C$94)</f>
        <v>2.7794136470910926</v>
      </c>
      <c r="AL94" s="254">
        <f>2.4*($C$94)</f>
        <v>2.9002577187037488</v>
      </c>
      <c r="AM94" s="254">
        <f>2.5*($C$94)</f>
        <v>3.021101790316405</v>
      </c>
      <c r="AN94" s="254">
        <f>2.57*($C$94)</f>
        <v>3.1056926404452643</v>
      </c>
      <c r="AO94" s="254">
        <f>2.64*($C$94)</f>
        <v>3.190283490574124</v>
      </c>
      <c r="AP94" s="254">
        <f>2.71*($C$94)</f>
        <v>3.2748743407029832</v>
      </c>
      <c r="AQ94" s="254">
        <f>2.78*($C$94)</f>
        <v>3.359465190831842</v>
      </c>
      <c r="AR94" s="254">
        <f>2.85*($C$94)</f>
        <v>3.4440560409607017</v>
      </c>
      <c r="AS94" s="254">
        <f>2.92*($C$94)</f>
        <v>3.528646891089561</v>
      </c>
      <c r="AT94" s="254">
        <f>2.99*($C$94)</f>
        <v>3.6132377412184207</v>
      </c>
      <c r="AU94" s="254">
        <f>3.07*($C$94)</f>
        <v>3.7099129985085453</v>
      </c>
      <c r="AV94" s="254">
        <f>3.14*($C$94)</f>
        <v>3.794503848637405</v>
      </c>
      <c r="AW94" s="254">
        <f>3.21*($C$94)</f>
        <v>3.8790946987662642</v>
      </c>
      <c r="AX94" s="254">
        <f>3.28*($C$94)</f>
        <v>3.963685548895123</v>
      </c>
      <c r="AY94" s="254">
        <f>3.35*($C$94)</f>
        <v>4.0482763990239832</v>
      </c>
      <c r="AZ94" s="254">
        <f>3.42*($C$94)</f>
        <v>4.1328672491528424</v>
      </c>
      <c r="BA94" s="254">
        <f>3.49*($C$94)</f>
        <v>4.2174580992817017</v>
      </c>
      <c r="BB94" s="254">
        <f>3.56*($C$94)</f>
        <v>4.3020489494105609</v>
      </c>
      <c r="BC94" s="254">
        <f>3.64*($C$94)</f>
        <v>4.3987242067006855</v>
      </c>
      <c r="BD94" s="254">
        <f>3.71*($C$94)</f>
        <v>4.4833150568295448</v>
      </c>
      <c r="BE94" s="254">
        <f>3.78*($C$94)</f>
        <v>4.567905906958404</v>
      </c>
      <c r="BF94" s="254">
        <f>3.85*($C$94)</f>
        <v>4.6524967570872642</v>
      </c>
      <c r="BG94" s="254">
        <f>3.92*($C$94)</f>
        <v>4.7370876072161234</v>
      </c>
      <c r="BH94" s="254">
        <f>3.99*($C$94)</f>
        <v>4.8216784573449827</v>
      </c>
      <c r="BI94" s="254">
        <f>4.06*($C$94)</f>
        <v>4.906269307473841</v>
      </c>
      <c r="BJ94" s="254">
        <f>4.14*($C$94)</f>
        <v>5.0029445647639665</v>
      </c>
      <c r="BK94" s="254">
        <f>4.21*($C$94)</f>
        <v>5.0875354148928258</v>
      </c>
      <c r="BL94" s="254">
        <f>4.28*($C$94)</f>
        <v>5.1721262650216859</v>
      </c>
      <c r="BM94" s="254">
        <f>4.35*($C$94)</f>
        <v>5.2567171151505443</v>
      </c>
      <c r="BN94" s="254">
        <f>4.42*($C$94)</f>
        <v>5.3413079652794044</v>
      </c>
      <c r="BO94" s="254">
        <f>4.49*($C$94)</f>
        <v>5.4258988154082637</v>
      </c>
      <c r="BP94" s="254">
        <f>4.56*($C$94)</f>
        <v>5.5104896655371221</v>
      </c>
      <c r="BQ94" s="254">
        <f>4.63*($C$94)</f>
        <v>5.5950805156659822</v>
      </c>
      <c r="BR94" s="254">
        <f>4.71*($C$94)</f>
        <v>5.6917557729561068</v>
      </c>
      <c r="BS94" s="254">
        <f>4.78*($C$94)</f>
        <v>5.7763466230849669</v>
      </c>
      <c r="BT94" s="254">
        <f>4.85*($C$94)</f>
        <v>5.8609374732138253</v>
      </c>
      <c r="BU94" s="254">
        <f>4.92*($C$94)</f>
        <v>5.9455283233426854</v>
      </c>
      <c r="BV94" s="729">
        <f>4.99*($C$94)</f>
        <v>6.0301191734715447</v>
      </c>
      <c r="BW94" s="1074">
        <f>+BV94*BW$137/BV$137</f>
        <v>6.0446132076616896</v>
      </c>
      <c r="BX94" s="1074">
        <f t="shared" ref="BX94:CZ94" si="239">+BW94*BX$137/BW$137</f>
        <v>6.0591420798079438</v>
      </c>
      <c r="BY94" s="1074">
        <f t="shared" si="239"/>
        <v>6.0737058736470511</v>
      </c>
      <c r="BZ94" s="1074">
        <f t="shared" si="239"/>
        <v>6.0883046731170198</v>
      </c>
      <c r="CA94" s="1074">
        <f t="shared" si="239"/>
        <v>6.1029385623576156</v>
      </c>
      <c r="CB94" s="1074">
        <f t="shared" si="239"/>
        <v>6.1157485681116217</v>
      </c>
      <c r="CC94" s="1074">
        <f t="shared" si="239"/>
        <v>6.1285854619369617</v>
      </c>
      <c r="CD94" s="1074">
        <f t="shared" si="239"/>
        <v>6.1414493002714252</v>
      </c>
      <c r="CE94" s="1074">
        <f t="shared" si="239"/>
        <v>6.1543401396712598</v>
      </c>
      <c r="CF94" s="1074">
        <f t="shared" si="239"/>
        <v>6.167258036811428</v>
      </c>
      <c r="CG94" s="1074">
        <f t="shared" si="239"/>
        <v>6.183149548139812</v>
      </c>
      <c r="CH94" s="1074">
        <f t="shared" si="239"/>
        <v>6.1990820079952069</v>
      </c>
      <c r="CI94" s="1074">
        <f t="shared" si="239"/>
        <v>6.215055521891923</v>
      </c>
      <c r="CJ94" s="1074">
        <f t="shared" si="239"/>
        <v>6.2310701956161552</v>
      </c>
      <c r="CK94" s="1074">
        <f t="shared" si="239"/>
        <v>6.2471261352266838</v>
      </c>
      <c r="CL94" s="1074">
        <f t="shared" si="239"/>
        <v>6.2604975997429575</v>
      </c>
      <c r="CM94" s="1074">
        <f t="shared" si="239"/>
        <v>6.2738976847896071</v>
      </c>
      <c r="CN94" s="1074">
        <f t="shared" si="239"/>
        <v>6.2873264516265444</v>
      </c>
      <c r="CO94" s="1074">
        <f t="shared" si="239"/>
        <v>6.3007839616448056</v>
      </c>
      <c r="CP94" s="1074">
        <f t="shared" si="239"/>
        <v>6.3142702763668277</v>
      </c>
      <c r="CQ94" s="1074">
        <f t="shared" si="239"/>
        <v>6.326614172551615</v>
      </c>
      <c r="CR94" s="1074">
        <f t="shared" si="239"/>
        <v>6.3389822000716718</v>
      </c>
      <c r="CS94" s="1074">
        <f t="shared" si="239"/>
        <v>6.3513744061018391</v>
      </c>
      <c r="CT94" s="1074">
        <f t="shared" si="239"/>
        <v>6.3637908379091801</v>
      </c>
      <c r="CU94" s="1074">
        <f t="shared" si="239"/>
        <v>6.376231542853164</v>
      </c>
      <c r="CV94" s="1074">
        <f t="shared" si="239"/>
        <v>6.3909193633613004</v>
      </c>
      <c r="CW94" s="1074">
        <f t="shared" si="239"/>
        <v>6.4056410176582252</v>
      </c>
      <c r="CX94" s="1074">
        <f t="shared" si="239"/>
        <v>6.4203965836809767</v>
      </c>
      <c r="CY94" s="1074">
        <f t="shared" si="239"/>
        <v>6.4351861395461265</v>
      </c>
      <c r="CZ94" s="1074">
        <f t="shared" si="239"/>
        <v>6.450009763550189</v>
      </c>
    </row>
    <row r="95" spans="1:104" x14ac:dyDescent="0.25">
      <c r="A95" s="754" t="str">
        <f>'HyARC Physical Property Data'!A80</f>
        <v>Metallurgical Coal</v>
      </c>
      <c r="B95" s="254">
        <v>2012</v>
      </c>
      <c r="C95" s="727">
        <f t="shared" si="221"/>
        <v>1.0573833607504113</v>
      </c>
      <c r="D95" s="1031" t="str">
        <f>+'HyARC Physical Property Data'!H80</f>
        <v>kg</v>
      </c>
      <c r="E95" s="748" t="s">
        <v>1025</v>
      </c>
      <c r="F95" s="254">
        <f>'HyARC Physical Property Data'!$E$44</f>
        <v>28.610197070281195</v>
      </c>
      <c r="G95" s="254">
        <f>'HyARC Physical Property Data'!$I$44</f>
        <v>29.865267156269461</v>
      </c>
      <c r="H95" s="855">
        <v>3.3844321322674711</v>
      </c>
      <c r="I95" s="855">
        <v>3.3844321322674711</v>
      </c>
      <c r="J95" s="855">
        <v>3.3844321322674711</v>
      </c>
      <c r="K95" s="855">
        <v>3.3844321322674711</v>
      </c>
      <c r="L95" s="855">
        <v>4.1181843560652975</v>
      </c>
      <c r="M95" s="855">
        <v>4.3291381204071717</v>
      </c>
      <c r="N95" s="855">
        <v>4.4025133427869543</v>
      </c>
      <c r="O95" s="808">
        <f t="shared" ref="O95:AR95" si="240">O111*($C95/mmBTU_to_GJ*$G95/$F95)</f>
        <v>7.4646268248681658</v>
      </c>
      <c r="P95" s="808">
        <f t="shared" si="240"/>
        <v>7.5851395215871422</v>
      </c>
      <c r="Q95" s="808">
        <f t="shared" si="240"/>
        <v>7.7775593409707655</v>
      </c>
      <c r="R95" s="808">
        <f t="shared" si="240"/>
        <v>7.8596002100362519</v>
      </c>
      <c r="S95" s="808">
        <f t="shared" si="240"/>
        <v>8.1180797941829823</v>
      </c>
      <c r="T95" s="808">
        <f t="shared" si="240"/>
        <v>8.3154796499973287</v>
      </c>
      <c r="U95" s="808">
        <f t="shared" si="240"/>
        <v>8.4204203168350222</v>
      </c>
      <c r="V95" s="808">
        <f t="shared" si="240"/>
        <v>8.5695650843522451</v>
      </c>
      <c r="W95" s="808">
        <f t="shared" si="240"/>
        <v>8.6847148258729252</v>
      </c>
      <c r="X95" s="808">
        <f t="shared" si="240"/>
        <v>8.8178648881479358</v>
      </c>
      <c r="Y95" s="808">
        <f t="shared" si="240"/>
        <v>8.9203207679009697</v>
      </c>
      <c r="Z95" s="808">
        <f t="shared" si="240"/>
        <v>9.032455285683552</v>
      </c>
      <c r="AA95" s="808">
        <f t="shared" si="240"/>
        <v>9.1423770351781108</v>
      </c>
      <c r="AB95" s="808">
        <f t="shared" si="240"/>
        <v>9.254374497336233</v>
      </c>
      <c r="AC95" s="808">
        <f t="shared" si="240"/>
        <v>9.3655611342351488</v>
      </c>
      <c r="AD95" s="808">
        <f t="shared" si="240"/>
        <v>9.4622292909766781</v>
      </c>
      <c r="AE95" s="808">
        <f t="shared" si="240"/>
        <v>9.5719166858156743</v>
      </c>
      <c r="AF95" s="808">
        <f t="shared" si="240"/>
        <v>9.6949560186649464</v>
      </c>
      <c r="AG95" s="808">
        <f t="shared" si="240"/>
        <v>9.8138135856290027</v>
      </c>
      <c r="AH95" s="808">
        <f t="shared" si="240"/>
        <v>9.952872733147867</v>
      </c>
      <c r="AI95" s="808">
        <f t="shared" si="240"/>
        <v>10.036208830175799</v>
      </c>
      <c r="AJ95" s="808">
        <f t="shared" si="240"/>
        <v>10.120782612728425</v>
      </c>
      <c r="AK95" s="808">
        <f t="shared" si="240"/>
        <v>10.210359448686875</v>
      </c>
      <c r="AL95" s="808">
        <f t="shared" si="240"/>
        <v>10.292143992347839</v>
      </c>
      <c r="AM95" s="808">
        <f t="shared" si="240"/>
        <v>10.394155225990989</v>
      </c>
      <c r="AN95" s="254">
        <f t="shared" si="240"/>
        <v>10.475670889533738</v>
      </c>
      <c r="AO95" s="254">
        <f t="shared" si="240"/>
        <v>10.567574532429569</v>
      </c>
      <c r="AP95" s="254">
        <f t="shared" si="240"/>
        <v>10.574325829716853</v>
      </c>
      <c r="AQ95" s="254">
        <f t="shared" si="240"/>
        <v>10.604382860519015</v>
      </c>
      <c r="AR95" s="254">
        <f t="shared" si="240"/>
        <v>10.668415039021042</v>
      </c>
      <c r="AS95" s="254">
        <f>($BB95-$AR95)/10+AR95</f>
        <v>10.691118846164347</v>
      </c>
      <c r="AT95" s="254">
        <f t="shared" ref="AT95:BA95" si="241">($BB95-$AR95)/10+AS95</f>
        <v>10.713822653307652</v>
      </c>
      <c r="AU95" s="254">
        <f t="shared" si="241"/>
        <v>10.736526460450957</v>
      </c>
      <c r="AV95" s="254">
        <f t="shared" si="241"/>
        <v>10.759230267594262</v>
      </c>
      <c r="AW95" s="254">
        <f t="shared" si="241"/>
        <v>10.781934074737567</v>
      </c>
      <c r="AX95" s="254">
        <f t="shared" si="241"/>
        <v>10.804637881880872</v>
      </c>
      <c r="AY95" s="254">
        <f t="shared" si="241"/>
        <v>10.827341689024177</v>
      </c>
      <c r="AZ95" s="254">
        <f t="shared" si="241"/>
        <v>10.850045496167482</v>
      </c>
      <c r="BA95" s="254">
        <f t="shared" si="241"/>
        <v>10.872749303310787</v>
      </c>
      <c r="BB95" s="782">
        <f>('AEO Data'!$B$28*AM95)</f>
        <v>10.895453110454083</v>
      </c>
      <c r="BC95" s="254">
        <f t="shared" ref="BC95:BP95" si="242">($BQ95-$BB95)/15+BB95</f>
        <v>10.933690011458628</v>
      </c>
      <c r="BD95" s="254">
        <f t="shared" si="242"/>
        <v>10.971926912463173</v>
      </c>
      <c r="BE95" s="254">
        <f t="shared" si="242"/>
        <v>11.010163813467718</v>
      </c>
      <c r="BF95" s="254">
        <f t="shared" si="242"/>
        <v>11.048400714472264</v>
      </c>
      <c r="BG95" s="254">
        <f t="shared" si="242"/>
        <v>11.086637615476809</v>
      </c>
      <c r="BH95" s="254">
        <f t="shared" si="242"/>
        <v>11.124874516481354</v>
      </c>
      <c r="BI95" s="254">
        <f t="shared" si="242"/>
        <v>11.163111417485899</v>
      </c>
      <c r="BJ95" s="254">
        <f t="shared" si="242"/>
        <v>11.201348318490444</v>
      </c>
      <c r="BK95" s="254">
        <f t="shared" si="242"/>
        <v>11.239585219494989</v>
      </c>
      <c r="BL95" s="254">
        <f t="shared" si="242"/>
        <v>11.277822120499534</v>
      </c>
      <c r="BM95" s="254">
        <f t="shared" si="242"/>
        <v>11.316059021504079</v>
      </c>
      <c r="BN95" s="254">
        <f t="shared" si="242"/>
        <v>11.354295922508625</v>
      </c>
      <c r="BO95" s="254">
        <f t="shared" si="242"/>
        <v>11.39253282351317</v>
      </c>
      <c r="BP95" s="254">
        <f t="shared" si="242"/>
        <v>11.430769724517715</v>
      </c>
      <c r="BQ95" s="782">
        <f>('AEO Data'!$C$28*BB95)</f>
        <v>11.469006625522269</v>
      </c>
      <c r="BR95" s="254">
        <f t="shared" ref="BR95:BU100" si="243">($BV95-$BQ95)/5+BQ95</f>
        <v>11.505775124501078</v>
      </c>
      <c r="BS95" s="254">
        <f t="shared" si="243"/>
        <v>11.542543623479887</v>
      </c>
      <c r="BT95" s="254">
        <f t="shared" si="243"/>
        <v>11.579312122458695</v>
      </c>
      <c r="BU95" s="254">
        <f t="shared" si="243"/>
        <v>11.616080621437504</v>
      </c>
      <c r="BV95" s="806">
        <f>('AEO Data'!$D$28*BQ95)</f>
        <v>11.65284912041631</v>
      </c>
      <c r="BW95" s="1074">
        <f t="shared" ref="BW95:CZ95" si="244">+BV95*BW$138/BV$138</f>
        <v>11.692246881776873</v>
      </c>
      <c r="BX95" s="1074">
        <f t="shared" si="244"/>
        <v>11.731777845205377</v>
      </c>
      <c r="BY95" s="1074">
        <f t="shared" si="244"/>
        <v>11.771442461052049</v>
      </c>
      <c r="BZ95" s="1074">
        <f t="shared" si="244"/>
        <v>11.811241181189736</v>
      </c>
      <c r="CA95" s="1074">
        <f t="shared" si="244"/>
        <v>11.851174459019044</v>
      </c>
      <c r="CB95" s="1074">
        <f t="shared" si="244"/>
        <v>11.88510623212686</v>
      </c>
      <c r="CC95" s="1074">
        <f t="shared" si="244"/>
        <v>11.919135157228366</v>
      </c>
      <c r="CD95" s="1074">
        <f t="shared" si="244"/>
        <v>11.953261512484969</v>
      </c>
      <c r="CE95" s="1074">
        <f t="shared" si="244"/>
        <v>11.987485576854503</v>
      </c>
      <c r="CF95" s="1074">
        <f t="shared" si="244"/>
        <v>12.021807630093496</v>
      </c>
      <c r="CG95" s="1074">
        <f t="shared" si="244"/>
        <v>12.048012553487283</v>
      </c>
      <c r="CH95" s="1074">
        <f t="shared" si="244"/>
        <v>12.074274597909055</v>
      </c>
      <c r="CI95" s="1074">
        <f t="shared" si="244"/>
        <v>12.100593887870218</v>
      </c>
      <c r="CJ95" s="1074">
        <f t="shared" si="244"/>
        <v>12.126970548153587</v>
      </c>
      <c r="CK95" s="1074">
        <f t="shared" si="244"/>
        <v>12.153404703813971</v>
      </c>
      <c r="CL95" s="1074">
        <f t="shared" si="244"/>
        <v>12.171324857241729</v>
      </c>
      <c r="CM95" s="1074">
        <f t="shared" si="244"/>
        <v>12.189271433874072</v>
      </c>
      <c r="CN95" s="1074">
        <f t="shared" si="244"/>
        <v>12.207244472671922</v>
      </c>
      <c r="CO95" s="1074">
        <f t="shared" si="244"/>
        <v>12.225244012653652</v>
      </c>
      <c r="CP95" s="1074">
        <f t="shared" si="244"/>
        <v>12.243270092895166</v>
      </c>
      <c r="CQ95" s="1074">
        <f t="shared" si="244"/>
        <v>12.249306745274442</v>
      </c>
      <c r="CR95" s="1074">
        <f t="shared" si="244"/>
        <v>12.255346374078453</v>
      </c>
      <c r="CS95" s="1074">
        <f t="shared" si="244"/>
        <v>12.261388980774752</v>
      </c>
      <c r="CT95" s="1074">
        <f t="shared" si="244"/>
        <v>12.267434566831614</v>
      </c>
      <c r="CU95" s="1074">
        <f t="shared" si="244"/>
        <v>12.273483133718042</v>
      </c>
      <c r="CV95" s="1074">
        <f t="shared" si="244"/>
        <v>12.264790038675994</v>
      </c>
      <c r="CW95" s="1074">
        <f t="shared" si="244"/>
        <v>12.256103100802259</v>
      </c>
      <c r="CX95" s="1074">
        <f t="shared" si="244"/>
        <v>12.247422315735818</v>
      </c>
      <c r="CY95" s="1074">
        <f t="shared" si="244"/>
        <v>12.238747679118744</v>
      </c>
      <c r="CZ95" s="1074">
        <f t="shared" si="244"/>
        <v>12.2300791865962</v>
      </c>
    </row>
    <row r="96" spans="1:104" x14ac:dyDescent="0.25">
      <c r="A96" s="754" t="str">
        <f>'HyARC Physical Property Data'!A81</f>
        <v>Other Industrial Coal</v>
      </c>
      <c r="B96" s="254">
        <v>2012</v>
      </c>
      <c r="C96" s="727">
        <f t="shared" si="221"/>
        <v>1.0573833607504113</v>
      </c>
      <c r="D96" s="1031" t="str">
        <f>+'HyARC Physical Property Data'!H81</f>
        <v>kg</v>
      </c>
      <c r="E96" s="748" t="s">
        <v>1025</v>
      </c>
      <c r="F96" s="254">
        <f>'HyARC Physical Property Data'!$E$42</f>
        <v>22.7322030001394</v>
      </c>
      <c r="G96" s="254">
        <f>'HyARC Physical Property Data'!$I$42</f>
        <v>23.967615189707661</v>
      </c>
      <c r="H96" s="855">
        <v>1.7045706620386931</v>
      </c>
      <c r="I96" s="855">
        <v>1.7045706620386931</v>
      </c>
      <c r="J96" s="855">
        <v>1.7045706620386931</v>
      </c>
      <c r="K96" s="855">
        <v>1.7045706620386931</v>
      </c>
      <c r="L96" s="855">
        <v>1.9454339077615519</v>
      </c>
      <c r="M96" s="855">
        <v>2.0288096466656182</v>
      </c>
      <c r="N96" s="855">
        <v>1.8805861108361666</v>
      </c>
      <c r="O96" s="808">
        <f t="shared" ref="O96:AR96" si="245">O112*($C96/mmBTU_to_GJ*$G96/$F96)</f>
        <v>3.4949975895838294</v>
      </c>
      <c r="P96" s="808">
        <f t="shared" si="245"/>
        <v>3.4233926279260714</v>
      </c>
      <c r="Q96" s="808">
        <f t="shared" si="245"/>
        <v>3.5031491911574184</v>
      </c>
      <c r="R96" s="808">
        <f t="shared" si="245"/>
        <v>3.4679009642856751</v>
      </c>
      <c r="S96" s="808">
        <f t="shared" si="245"/>
        <v>3.5676645631136981</v>
      </c>
      <c r="T96" s="808">
        <f t="shared" si="245"/>
        <v>3.6321947292652106</v>
      </c>
      <c r="U96" s="808">
        <f t="shared" si="245"/>
        <v>3.657322669869095</v>
      </c>
      <c r="V96" s="808">
        <f t="shared" si="245"/>
        <v>3.7204040616159686</v>
      </c>
      <c r="W96" s="808">
        <f t="shared" si="245"/>
        <v>3.7630990523312531</v>
      </c>
      <c r="X96" s="808">
        <f t="shared" si="245"/>
        <v>3.7970908293363905</v>
      </c>
      <c r="Y96" s="808">
        <f t="shared" si="245"/>
        <v>3.8194247804976293</v>
      </c>
      <c r="Z96" s="808">
        <f t="shared" si="245"/>
        <v>3.8460511617330089</v>
      </c>
      <c r="AA96" s="808">
        <f t="shared" si="245"/>
        <v>3.8731023477172322</v>
      </c>
      <c r="AB96" s="808">
        <f t="shared" si="245"/>
        <v>3.9067337803956139</v>
      </c>
      <c r="AC96" s="808">
        <f t="shared" si="245"/>
        <v>3.938949197244515</v>
      </c>
      <c r="AD96" s="808">
        <f t="shared" si="245"/>
        <v>3.9691747948345282</v>
      </c>
      <c r="AE96" s="808">
        <f t="shared" si="245"/>
        <v>3.9994574557490128</v>
      </c>
      <c r="AF96" s="808">
        <f t="shared" si="245"/>
        <v>4.0328902235199751</v>
      </c>
      <c r="AG96" s="808">
        <f t="shared" si="245"/>
        <v>4.0631242749358352</v>
      </c>
      <c r="AH96" s="808">
        <f t="shared" si="245"/>
        <v>4.1048449622221792</v>
      </c>
      <c r="AI96" s="808">
        <f t="shared" si="245"/>
        <v>4.1376658843474177</v>
      </c>
      <c r="AJ96" s="808">
        <f t="shared" si="245"/>
        <v>4.1685794120157826</v>
      </c>
      <c r="AK96" s="808">
        <f t="shared" si="245"/>
        <v>4.201707842056229</v>
      </c>
      <c r="AL96" s="808">
        <f t="shared" si="245"/>
        <v>4.2273873947966729</v>
      </c>
      <c r="AM96" s="808">
        <f t="shared" si="245"/>
        <v>4.2580071520168321</v>
      </c>
      <c r="AN96" s="254">
        <f t="shared" si="245"/>
        <v>4.2903546598946027</v>
      </c>
      <c r="AO96" s="254">
        <f t="shared" si="245"/>
        <v>4.3224348155299417</v>
      </c>
      <c r="AP96" s="254">
        <f t="shared" si="245"/>
        <v>4.3507255437290757</v>
      </c>
      <c r="AQ96" s="254">
        <f t="shared" si="245"/>
        <v>4.3846898458002084</v>
      </c>
      <c r="AR96" s="254">
        <f t="shared" si="245"/>
        <v>4.4275856148793746</v>
      </c>
      <c r="AS96" s="254">
        <f t="shared" ref="AS96:BA96" si="246">($BB96-$AR96)/10+AR96</f>
        <v>4.4311636364046505</v>
      </c>
      <c r="AT96" s="254">
        <f t="shared" si="246"/>
        <v>4.4347416579299264</v>
      </c>
      <c r="AU96" s="254">
        <f t="shared" si="246"/>
        <v>4.4383196794552022</v>
      </c>
      <c r="AV96" s="254">
        <f t="shared" si="246"/>
        <v>4.4418977009804781</v>
      </c>
      <c r="AW96" s="254">
        <f t="shared" si="246"/>
        <v>4.445475722505754</v>
      </c>
      <c r="AX96" s="254">
        <f t="shared" si="246"/>
        <v>4.4490537440310298</v>
      </c>
      <c r="AY96" s="254">
        <f t="shared" si="246"/>
        <v>4.4526317655563057</v>
      </c>
      <c r="AZ96" s="254">
        <f t="shared" si="246"/>
        <v>4.4562097870815816</v>
      </c>
      <c r="BA96" s="254">
        <f t="shared" si="246"/>
        <v>4.4597878086068574</v>
      </c>
      <c r="BB96" s="782">
        <f>('AEO Data'!$B$28*AM96)</f>
        <v>4.4633658301321333</v>
      </c>
      <c r="BC96" s="254">
        <f t="shared" ref="BC96:BP96" si="247">($BQ96-$BB96)/15+BB96</f>
        <v>4.4790297291608097</v>
      </c>
      <c r="BD96" s="254">
        <f t="shared" si="247"/>
        <v>4.494693628189486</v>
      </c>
      <c r="BE96" s="254">
        <f t="shared" si="247"/>
        <v>4.5103575272181624</v>
      </c>
      <c r="BF96" s="254">
        <f t="shared" si="247"/>
        <v>4.5260214262468388</v>
      </c>
      <c r="BG96" s="254">
        <f t="shared" si="247"/>
        <v>4.5416853252755152</v>
      </c>
      <c r="BH96" s="254">
        <f t="shared" si="247"/>
        <v>4.5573492243041915</v>
      </c>
      <c r="BI96" s="254">
        <f t="shared" si="247"/>
        <v>4.5730131233328679</v>
      </c>
      <c r="BJ96" s="254">
        <f t="shared" si="247"/>
        <v>4.5886770223615443</v>
      </c>
      <c r="BK96" s="254">
        <f t="shared" si="247"/>
        <v>4.6043409213902207</v>
      </c>
      <c r="BL96" s="254">
        <f t="shared" si="247"/>
        <v>4.620004820418897</v>
      </c>
      <c r="BM96" s="254">
        <f t="shared" si="247"/>
        <v>4.6356687194475734</v>
      </c>
      <c r="BN96" s="254">
        <f t="shared" si="247"/>
        <v>4.6513326184762498</v>
      </c>
      <c r="BO96" s="254">
        <f t="shared" si="247"/>
        <v>4.6669965175049262</v>
      </c>
      <c r="BP96" s="254">
        <f t="shared" si="247"/>
        <v>4.6826604165336025</v>
      </c>
      <c r="BQ96" s="782">
        <f>('AEO Data'!$C$28*BB96)</f>
        <v>4.6983243155622842</v>
      </c>
      <c r="BR96" s="254">
        <f t="shared" si="243"/>
        <v>4.7133866778434639</v>
      </c>
      <c r="BS96" s="254">
        <f t="shared" si="243"/>
        <v>4.7284490401246435</v>
      </c>
      <c r="BT96" s="254">
        <f t="shared" si="243"/>
        <v>4.7435114024058231</v>
      </c>
      <c r="BU96" s="254">
        <f t="shared" si="243"/>
        <v>4.7585737646870028</v>
      </c>
      <c r="BV96" s="806">
        <f>('AEO Data'!$D$28*BQ96)</f>
        <v>4.7736361269681806</v>
      </c>
      <c r="BW96" s="1074">
        <f t="shared" ref="BW96:CZ96" si="248">+BV96*BW$138/BV$138</f>
        <v>4.789775577072529</v>
      </c>
      <c r="BX96" s="1074">
        <f t="shared" si="248"/>
        <v>4.8059695939353695</v>
      </c>
      <c r="BY96" s="1074">
        <f t="shared" si="248"/>
        <v>4.8222183620444703</v>
      </c>
      <c r="BZ96" s="1074">
        <f t="shared" si="248"/>
        <v>4.838522066511346</v>
      </c>
      <c r="CA96" s="1074">
        <f t="shared" si="248"/>
        <v>4.8548808930733625</v>
      </c>
      <c r="CB96" s="1074">
        <f t="shared" si="248"/>
        <v>4.8687811792854072</v>
      </c>
      <c r="CC96" s="1074">
        <f t="shared" si="248"/>
        <v>4.882721264199219</v>
      </c>
      <c r="CD96" s="1074">
        <f t="shared" si="248"/>
        <v>4.8967012617647283</v>
      </c>
      <c r="CE96" s="1074">
        <f t="shared" si="248"/>
        <v>4.9107212862581244</v>
      </c>
      <c r="CF96" s="1074">
        <f t="shared" si="248"/>
        <v>4.9247814522827849</v>
      </c>
      <c r="CG96" s="1074">
        <f t="shared" si="248"/>
        <v>4.9355164036860302</v>
      </c>
      <c r="CH96" s="1074">
        <f t="shared" si="248"/>
        <v>4.9462747549462529</v>
      </c>
      <c r="CI96" s="1074">
        <f t="shared" si="248"/>
        <v>4.9570565570700476</v>
      </c>
      <c r="CJ96" s="1074">
        <f t="shared" si="248"/>
        <v>4.9678618611751908</v>
      </c>
      <c r="CK96" s="1074">
        <f t="shared" si="248"/>
        <v>4.9786907184908857</v>
      </c>
      <c r="CL96" s="1074">
        <f t="shared" si="248"/>
        <v>4.9860317808284806</v>
      </c>
      <c r="CM96" s="1074">
        <f t="shared" si="248"/>
        <v>4.9933836675372394</v>
      </c>
      <c r="CN96" s="1074">
        <f t="shared" si="248"/>
        <v>5.0007463945776598</v>
      </c>
      <c r="CO96" s="1074">
        <f t="shared" si="248"/>
        <v>5.0081199779337728</v>
      </c>
      <c r="CP96" s="1074">
        <f t="shared" si="248"/>
        <v>5.0155044336131782</v>
      </c>
      <c r="CQ96" s="1074">
        <f t="shared" si="248"/>
        <v>5.0179773723413712</v>
      </c>
      <c r="CR96" s="1074">
        <f t="shared" si="248"/>
        <v>5.0204515303738297</v>
      </c>
      <c r="CS96" s="1074">
        <f t="shared" si="248"/>
        <v>5.0229269083117432</v>
      </c>
      <c r="CT96" s="1074">
        <f t="shared" si="248"/>
        <v>5.0254035067565965</v>
      </c>
      <c r="CU96" s="1074">
        <f t="shared" si="248"/>
        <v>5.0278813263101725</v>
      </c>
      <c r="CV96" s="1074">
        <f t="shared" si="248"/>
        <v>5.024320165248267</v>
      </c>
      <c r="CW96" s="1074">
        <f t="shared" si="248"/>
        <v>5.0207615264949217</v>
      </c>
      <c r="CX96" s="1074">
        <f t="shared" si="248"/>
        <v>5.0172054082636297</v>
      </c>
      <c r="CY96" s="1074">
        <f t="shared" si="248"/>
        <v>5.013651808769148</v>
      </c>
      <c r="CZ96" s="1074">
        <f t="shared" si="248"/>
        <v>5.010100726227499</v>
      </c>
    </row>
    <row r="97" spans="1:104" x14ac:dyDescent="0.25">
      <c r="A97" s="754" t="str">
        <f>'HyARC Physical Property Data'!A79</f>
        <v>Electric Utility Steam Coal</v>
      </c>
      <c r="B97" s="254">
        <v>2012</v>
      </c>
      <c r="C97" s="727">
        <f t="shared" si="221"/>
        <v>1.0573833607504113</v>
      </c>
      <c r="D97" s="1032" t="str">
        <f>+'HyARC Physical Property Data'!$H$79</f>
        <v>kg</v>
      </c>
      <c r="E97" s="748" t="s">
        <v>1025</v>
      </c>
      <c r="F97" s="254">
        <f>'HyARC Physical Property Data'!$E$42</f>
        <v>22.7322030001394</v>
      </c>
      <c r="G97" s="254">
        <f>'HyARC Physical Property Data'!$I$42</f>
        <v>23.967615189707661</v>
      </c>
      <c r="H97" s="854">
        <v>1.6675147780813302</v>
      </c>
      <c r="I97" s="854">
        <v>1.6675147780813302</v>
      </c>
      <c r="J97" s="854">
        <v>1.6675147780813302</v>
      </c>
      <c r="K97" s="854">
        <v>1.6675147780813302</v>
      </c>
      <c r="L97" s="854">
        <v>1.899114052814848</v>
      </c>
      <c r="M97" s="854">
        <v>1.9917537627082553</v>
      </c>
      <c r="N97" s="854">
        <v>1.8435302268788039</v>
      </c>
      <c r="O97" s="254">
        <f t="shared" ref="O97:AR97" si="249">O113*($C97/mmBTU_to_GJ*$G97/$F97)</f>
        <v>2.5597920484602081</v>
      </c>
      <c r="P97" s="254">
        <f t="shared" si="249"/>
        <v>2.5255804719830319</v>
      </c>
      <c r="Q97" s="254">
        <f t="shared" si="249"/>
        <v>2.508514311053105</v>
      </c>
      <c r="R97" s="254">
        <f t="shared" si="249"/>
        <v>2.4620013612393787</v>
      </c>
      <c r="S97" s="254">
        <f t="shared" si="249"/>
        <v>2.5403070366096241</v>
      </c>
      <c r="T97" s="254">
        <f t="shared" si="249"/>
        <v>2.5596198017585623</v>
      </c>
      <c r="U97" s="254">
        <f t="shared" si="249"/>
        <v>2.6274226552413431</v>
      </c>
      <c r="V97" s="254">
        <f t="shared" si="249"/>
        <v>2.6949877448721598</v>
      </c>
      <c r="W97" s="254">
        <f t="shared" si="249"/>
        <v>2.7359771762226828</v>
      </c>
      <c r="X97" s="254">
        <f t="shared" si="249"/>
        <v>2.7594809255355894</v>
      </c>
      <c r="Y97" s="254">
        <f t="shared" si="249"/>
        <v>2.7929327144147083</v>
      </c>
      <c r="Z97" s="254">
        <f t="shared" si="249"/>
        <v>2.8274782170128665</v>
      </c>
      <c r="AA97" s="254">
        <f t="shared" si="249"/>
        <v>2.8557773990378479</v>
      </c>
      <c r="AB97" s="254">
        <f t="shared" si="249"/>
        <v>2.8944082129768782</v>
      </c>
      <c r="AC97" s="254">
        <f t="shared" si="249"/>
        <v>2.9312151139892806</v>
      </c>
      <c r="AD97" s="254">
        <f t="shared" si="249"/>
        <v>2.966511950359648</v>
      </c>
      <c r="AE97" s="254">
        <f t="shared" si="249"/>
        <v>2.9977467234102231</v>
      </c>
      <c r="AF97" s="254">
        <f t="shared" si="249"/>
        <v>3.0275126442197702</v>
      </c>
      <c r="AG97" s="254">
        <f t="shared" si="249"/>
        <v>3.0554092127887573</v>
      </c>
      <c r="AH97" s="254">
        <f t="shared" si="249"/>
        <v>3.0915672826673535</v>
      </c>
      <c r="AI97" s="254">
        <f t="shared" si="249"/>
        <v>3.1167332654875524</v>
      </c>
      <c r="AJ97" s="254">
        <f t="shared" si="249"/>
        <v>3.1431165992298116</v>
      </c>
      <c r="AK97" s="254">
        <f t="shared" si="249"/>
        <v>3.1708409210971538</v>
      </c>
      <c r="AL97" s="254">
        <f t="shared" si="249"/>
        <v>3.1960671374265175</v>
      </c>
      <c r="AM97" s="254">
        <f t="shared" si="249"/>
        <v>3.2230993023025833</v>
      </c>
      <c r="AN97" s="254">
        <f t="shared" si="249"/>
        <v>3.2506534909247415</v>
      </c>
      <c r="AO97" s="254">
        <f t="shared" si="249"/>
        <v>3.2748293193925355</v>
      </c>
      <c r="AP97" s="254">
        <f t="shared" si="249"/>
        <v>3.2978596544579739</v>
      </c>
      <c r="AQ97" s="254">
        <f t="shared" si="249"/>
        <v>3.3327063246019542</v>
      </c>
      <c r="AR97" s="254">
        <f t="shared" si="249"/>
        <v>3.3706196200721661</v>
      </c>
      <c r="AS97" s="254">
        <f t="shared" ref="AS97:BA97" si="250">($BB97-$AR97)/10+AR97</f>
        <v>3.3714122172383907</v>
      </c>
      <c r="AT97" s="254">
        <f t="shared" si="250"/>
        <v>3.3722048144046153</v>
      </c>
      <c r="AU97" s="254">
        <f t="shared" si="250"/>
        <v>3.3729974115708399</v>
      </c>
      <c r="AV97" s="254">
        <f t="shared" si="250"/>
        <v>3.3737900087370645</v>
      </c>
      <c r="AW97" s="254">
        <f t="shared" si="250"/>
        <v>3.3745826059032891</v>
      </c>
      <c r="AX97" s="254">
        <f t="shared" si="250"/>
        <v>3.3753752030695137</v>
      </c>
      <c r="AY97" s="254">
        <f t="shared" si="250"/>
        <v>3.3761678002357383</v>
      </c>
      <c r="AZ97" s="254">
        <f t="shared" si="250"/>
        <v>3.3769603974019629</v>
      </c>
      <c r="BA97" s="254">
        <f t="shared" si="250"/>
        <v>3.3777529945681875</v>
      </c>
      <c r="BB97" s="782">
        <f>('AEO Data'!$B$28*AM97)</f>
        <v>3.3785455917344129</v>
      </c>
      <c r="BC97" s="254">
        <f t="shared" ref="BC97:BP97" si="251">($BQ97-$BB97)/15+BB97</f>
        <v>3.3904023830051258</v>
      </c>
      <c r="BD97" s="254">
        <f t="shared" si="251"/>
        <v>3.4022591742758386</v>
      </c>
      <c r="BE97" s="254">
        <f t="shared" si="251"/>
        <v>3.4141159655465514</v>
      </c>
      <c r="BF97" s="254">
        <f t="shared" si="251"/>
        <v>3.4259727568172642</v>
      </c>
      <c r="BG97" s="254">
        <f t="shared" si="251"/>
        <v>3.437829548087977</v>
      </c>
      <c r="BH97" s="254">
        <f t="shared" si="251"/>
        <v>3.4496863393586898</v>
      </c>
      <c r="BI97" s="254">
        <f t="shared" si="251"/>
        <v>3.4615431306294027</v>
      </c>
      <c r="BJ97" s="254">
        <f t="shared" si="251"/>
        <v>3.4733999219001155</v>
      </c>
      <c r="BK97" s="254">
        <f t="shared" si="251"/>
        <v>3.4852567131708283</v>
      </c>
      <c r="BL97" s="254">
        <f t="shared" si="251"/>
        <v>3.4971135044415411</v>
      </c>
      <c r="BM97" s="254">
        <f t="shared" si="251"/>
        <v>3.5089702957122539</v>
      </c>
      <c r="BN97" s="254">
        <f t="shared" si="251"/>
        <v>3.5208270869829668</v>
      </c>
      <c r="BO97" s="254">
        <f t="shared" si="251"/>
        <v>3.5326838782536796</v>
      </c>
      <c r="BP97" s="254">
        <f t="shared" si="251"/>
        <v>3.5445406695243924</v>
      </c>
      <c r="BQ97" s="782">
        <f>('AEO Data'!$C$28*BB97)</f>
        <v>3.5563974607951057</v>
      </c>
      <c r="BR97" s="254">
        <f t="shared" si="243"/>
        <v>3.5677989187133954</v>
      </c>
      <c r="BS97" s="254">
        <f t="shared" si="243"/>
        <v>3.5792003766316851</v>
      </c>
      <c r="BT97" s="254">
        <f t="shared" si="243"/>
        <v>3.5906018345499748</v>
      </c>
      <c r="BU97" s="254">
        <f t="shared" si="243"/>
        <v>3.6020032924682646</v>
      </c>
      <c r="BV97" s="806">
        <f>('AEO Data'!$D$28*BQ97)</f>
        <v>3.6134047503865552</v>
      </c>
      <c r="BW97" s="1074">
        <f t="shared" ref="BW97:CZ97" si="252">+BV97*BW$138/BV$138</f>
        <v>3.6256215101320701</v>
      </c>
      <c r="BX97" s="1074">
        <f t="shared" si="252"/>
        <v>3.6378795741955314</v>
      </c>
      <c r="BY97" s="1074">
        <f t="shared" si="252"/>
        <v>3.6501790822249895</v>
      </c>
      <c r="BZ97" s="1074">
        <f t="shared" si="252"/>
        <v>3.6625201743406386</v>
      </c>
      <c r="CA97" s="1074">
        <f t="shared" si="252"/>
        <v>3.6749029911364137</v>
      </c>
      <c r="CB97" s="1074">
        <f t="shared" si="252"/>
        <v>3.6854248153589553</v>
      </c>
      <c r="CC97" s="1074">
        <f t="shared" si="252"/>
        <v>3.6959767652161704</v>
      </c>
      <c r="CD97" s="1074">
        <f t="shared" si="252"/>
        <v>3.7065589269624799</v>
      </c>
      <c r="CE97" s="1074">
        <f t="shared" si="252"/>
        <v>3.7171713870992669</v>
      </c>
      <c r="CF97" s="1074">
        <f t="shared" si="252"/>
        <v>3.7278142323755787</v>
      </c>
      <c r="CG97" s="1074">
        <f t="shared" si="252"/>
        <v>3.7359400558283795</v>
      </c>
      <c r="CH97" s="1074">
        <f t="shared" si="252"/>
        <v>3.7440835918072533</v>
      </c>
      <c r="CI97" s="1074">
        <f t="shared" si="252"/>
        <v>3.7522448789216503</v>
      </c>
      <c r="CJ97" s="1074">
        <f t="shared" si="252"/>
        <v>3.760423955865182</v>
      </c>
      <c r="CK97" s="1074">
        <f t="shared" si="252"/>
        <v>3.768620861415803</v>
      </c>
      <c r="CL97" s="1074">
        <f t="shared" si="252"/>
        <v>3.7741776799118107</v>
      </c>
      <c r="CM97" s="1074">
        <f t="shared" si="252"/>
        <v>3.7797426919175763</v>
      </c>
      <c r="CN97" s="1074">
        <f t="shared" si="252"/>
        <v>3.7853159095144004</v>
      </c>
      <c r="CO97" s="1074">
        <f t="shared" si="252"/>
        <v>3.7908973448013987</v>
      </c>
      <c r="CP97" s="1074">
        <f t="shared" si="252"/>
        <v>3.796487009895527</v>
      </c>
      <c r="CQ97" s="1074">
        <f t="shared" si="252"/>
        <v>3.7983589013238204</v>
      </c>
      <c r="CR97" s="1074">
        <f t="shared" si="252"/>
        <v>3.8002317157047045</v>
      </c>
      <c r="CS97" s="1074">
        <f t="shared" si="252"/>
        <v>3.8021054534932484</v>
      </c>
      <c r="CT97" s="1074">
        <f t="shared" si="252"/>
        <v>3.8039801151447463</v>
      </c>
      <c r="CU97" s="1074">
        <f t="shared" si="252"/>
        <v>3.805855701114718</v>
      </c>
      <c r="CV97" s="1074">
        <f t="shared" si="252"/>
        <v>3.803160079589381</v>
      </c>
      <c r="CW97" s="1074">
        <f t="shared" si="252"/>
        <v>3.8004663673259764</v>
      </c>
      <c r="CX97" s="1074">
        <f t="shared" si="252"/>
        <v>3.7977745629722066</v>
      </c>
      <c r="CY97" s="1074">
        <f t="shared" si="252"/>
        <v>3.7950846651767312</v>
      </c>
      <c r="CZ97" s="1074">
        <f t="shared" si="252"/>
        <v>3.7923966725891693</v>
      </c>
    </row>
    <row r="98" spans="1:104" x14ac:dyDescent="0.25">
      <c r="A98" s="730" t="str">
        <f>'HyARC Physical Property Data'!A76</f>
        <v>Commercial Electricity</v>
      </c>
      <c r="B98" s="254">
        <v>2012</v>
      </c>
      <c r="C98" s="727">
        <f t="shared" si="221"/>
        <v>1.0573833607504113</v>
      </c>
      <c r="D98" s="1020" t="str">
        <f>'HyARC Physical Property Data'!$H$76</f>
        <v>kWh</v>
      </c>
      <c r="E98" s="727" t="s">
        <v>1044</v>
      </c>
      <c r="F98" s="731"/>
      <c r="G98" s="727"/>
      <c r="H98" s="854">
        <v>26.706046857142852</v>
      </c>
      <c r="I98" s="854">
        <v>26.706046857142852</v>
      </c>
      <c r="J98" s="854">
        <v>26.706046857142852</v>
      </c>
      <c r="K98" s="854">
        <v>26.706046857142852</v>
      </c>
      <c r="L98" s="854">
        <v>28.244819428571425</v>
      </c>
      <c r="M98" s="854">
        <v>26.82655314285714</v>
      </c>
      <c r="N98" s="854">
        <v>25.371207999999996</v>
      </c>
      <c r="O98" s="254">
        <f>O114*($C98)</f>
        <v>32.283135281491724</v>
      </c>
      <c r="P98" s="254">
        <f t="shared" ref="P98:AR98" si="253">P114*($C98)</f>
        <v>31.249217372283084</v>
      </c>
      <c r="Q98" s="254">
        <f t="shared" si="253"/>
        <v>31.153358168947534</v>
      </c>
      <c r="R98" s="254">
        <f t="shared" si="253"/>
        <v>31.319492127821917</v>
      </c>
      <c r="S98" s="254">
        <f t="shared" si="253"/>
        <v>31.713042813009693</v>
      </c>
      <c r="T98" s="254">
        <f t="shared" si="253"/>
        <v>31.867220938224076</v>
      </c>
      <c r="U98" s="254">
        <f t="shared" si="253"/>
        <v>32.111549454009307</v>
      </c>
      <c r="V98" s="254">
        <f t="shared" si="253"/>
        <v>32.486400314462216</v>
      </c>
      <c r="W98" s="254">
        <f t="shared" si="253"/>
        <v>32.794032257288862</v>
      </c>
      <c r="X98" s="254">
        <f t="shared" si="253"/>
        <v>32.56691477046656</v>
      </c>
      <c r="Y98" s="254">
        <f t="shared" si="253"/>
        <v>32.389706835655034</v>
      </c>
      <c r="Z98" s="254">
        <f t="shared" si="253"/>
        <v>32.033284052413286</v>
      </c>
      <c r="AA98" s="254">
        <f t="shared" si="253"/>
        <v>31.890145009485142</v>
      </c>
      <c r="AB98" s="254">
        <f t="shared" si="253"/>
        <v>32.24751415083476</v>
      </c>
      <c r="AC98" s="254">
        <f t="shared" si="253"/>
        <v>32.302516061110914</v>
      </c>
      <c r="AD98" s="254">
        <f t="shared" si="253"/>
        <v>32.38566340168353</v>
      </c>
      <c r="AE98" s="254">
        <f t="shared" si="253"/>
        <v>32.600838800829514</v>
      </c>
      <c r="AF98" s="254">
        <f t="shared" si="253"/>
        <v>32.680488317244759</v>
      </c>
      <c r="AG98" s="254">
        <f t="shared" si="253"/>
        <v>32.795928145654685</v>
      </c>
      <c r="AH98" s="254">
        <f t="shared" si="253"/>
        <v>33.053412625214378</v>
      </c>
      <c r="AI98" s="254">
        <f t="shared" si="253"/>
        <v>33.31428601844528</v>
      </c>
      <c r="AJ98" s="254">
        <f t="shared" si="253"/>
        <v>33.35913704845823</v>
      </c>
      <c r="AK98" s="254">
        <f t="shared" si="253"/>
        <v>33.34702472206083</v>
      </c>
      <c r="AL98" s="254">
        <f t="shared" si="253"/>
        <v>33.547734059448395</v>
      </c>
      <c r="AM98" s="254">
        <f t="shared" si="253"/>
        <v>33.819217237321062</v>
      </c>
      <c r="AN98" s="254">
        <f t="shared" si="253"/>
        <v>34.102738724755874</v>
      </c>
      <c r="AO98" s="254">
        <f t="shared" si="253"/>
        <v>34.318819244058659</v>
      </c>
      <c r="AP98" s="254">
        <f t="shared" si="253"/>
        <v>34.39246810990165</v>
      </c>
      <c r="AQ98" s="254">
        <f t="shared" si="253"/>
        <v>34.626804352927799</v>
      </c>
      <c r="AR98" s="254">
        <f t="shared" si="253"/>
        <v>34.901427959381891</v>
      </c>
      <c r="AS98" s="254">
        <f t="shared" ref="AS98:BA98" si="254">($BB98-$AR98)/10+AR98</f>
        <v>34.70890076364649</v>
      </c>
      <c r="AT98" s="254">
        <f t="shared" si="254"/>
        <v>34.516373567911089</v>
      </c>
      <c r="AU98" s="254">
        <f t="shared" si="254"/>
        <v>34.323846372175687</v>
      </c>
      <c r="AV98" s="254">
        <f t="shared" si="254"/>
        <v>34.131319176440286</v>
      </c>
      <c r="AW98" s="254">
        <f t="shared" si="254"/>
        <v>33.938791980704885</v>
      </c>
      <c r="AX98" s="254">
        <f t="shared" si="254"/>
        <v>33.746264784969483</v>
      </c>
      <c r="AY98" s="254">
        <f t="shared" si="254"/>
        <v>33.553737589234082</v>
      </c>
      <c r="AZ98" s="254">
        <f t="shared" si="254"/>
        <v>33.361210393498681</v>
      </c>
      <c r="BA98" s="254">
        <f t="shared" si="254"/>
        <v>33.168683197763279</v>
      </c>
      <c r="BB98" s="782">
        <f>'AEO Data'!$B$33*AM98</f>
        <v>32.976156002027878</v>
      </c>
      <c r="BC98" s="254">
        <f t="shared" ref="BC98:BP98" si="255">($BQ98-$BB98)/15+BB98</f>
        <v>32.995368695731926</v>
      </c>
      <c r="BD98" s="254">
        <f t="shared" si="255"/>
        <v>33.014581389435975</v>
      </c>
      <c r="BE98" s="254">
        <f t="shared" si="255"/>
        <v>33.033794083140023</v>
      </c>
      <c r="BF98" s="254">
        <f t="shared" si="255"/>
        <v>33.053006776844072</v>
      </c>
      <c r="BG98" s="254">
        <f t="shared" si="255"/>
        <v>33.07221947054812</v>
      </c>
      <c r="BH98" s="254">
        <f t="shared" si="255"/>
        <v>33.091432164252168</v>
      </c>
      <c r="BI98" s="254">
        <f t="shared" si="255"/>
        <v>33.110644857956217</v>
      </c>
      <c r="BJ98" s="254">
        <f t="shared" si="255"/>
        <v>33.129857551660265</v>
      </c>
      <c r="BK98" s="254">
        <f t="shared" si="255"/>
        <v>33.149070245364314</v>
      </c>
      <c r="BL98" s="254">
        <f t="shared" si="255"/>
        <v>33.168282939068362</v>
      </c>
      <c r="BM98" s="254">
        <f t="shared" si="255"/>
        <v>33.187495632772411</v>
      </c>
      <c r="BN98" s="254">
        <f t="shared" si="255"/>
        <v>33.206708326476459</v>
      </c>
      <c r="BO98" s="254">
        <f t="shared" si="255"/>
        <v>33.225921020180508</v>
      </c>
      <c r="BP98" s="254">
        <f t="shared" si="255"/>
        <v>33.245133713884556</v>
      </c>
      <c r="BQ98" s="782">
        <f>'AEO Data'!$C$33*BB98</f>
        <v>33.264346407588576</v>
      </c>
      <c r="BR98" s="254">
        <f t="shared" si="243"/>
        <v>33.241947852661184</v>
      </c>
      <c r="BS98" s="254">
        <f t="shared" si="243"/>
        <v>33.219549297733792</v>
      </c>
      <c r="BT98" s="254">
        <f t="shared" si="243"/>
        <v>33.1971507428064</v>
      </c>
      <c r="BU98" s="254">
        <f t="shared" si="243"/>
        <v>33.174752187879008</v>
      </c>
      <c r="BV98" s="806">
        <f>'AEO Data'!$D$33*BQ98</f>
        <v>33.152353632951616</v>
      </c>
      <c r="BW98" s="1074">
        <f>+BV98*BW$139/BV$139</f>
        <v>33.137756526643614</v>
      </c>
      <c r="BX98" s="1074">
        <f t="shared" ref="BX98:CZ98" si="256">+BW98*BX$139/BW$139</f>
        <v>33.123165847496566</v>
      </c>
      <c r="BY98" s="1074">
        <f t="shared" si="256"/>
        <v>33.108581592680558</v>
      </c>
      <c r="BZ98" s="1074">
        <f t="shared" si="256"/>
        <v>33.094003759366935</v>
      </c>
      <c r="CA98" s="1074">
        <f t="shared" si="256"/>
        <v>33.079432344728289</v>
      </c>
      <c r="CB98" s="1074">
        <f t="shared" si="256"/>
        <v>33.052936236007881</v>
      </c>
      <c r="CC98" s="1074">
        <f t="shared" si="256"/>
        <v>33.026461350256774</v>
      </c>
      <c r="CD98" s="1074">
        <f t="shared" si="256"/>
        <v>33.000007670475696</v>
      </c>
      <c r="CE98" s="1074">
        <f t="shared" si="256"/>
        <v>32.973575179679017</v>
      </c>
      <c r="CF98" s="1074">
        <f t="shared" si="256"/>
        <v>32.947163860894676</v>
      </c>
      <c r="CG98" s="1074">
        <f t="shared" si="256"/>
        <v>32.91078078916545</v>
      </c>
      <c r="CH98" s="1074">
        <f t="shared" si="256"/>
        <v>32.874437894730825</v>
      </c>
      <c r="CI98" s="1074">
        <f t="shared" si="256"/>
        <v>32.838135133223581</v>
      </c>
      <c r="CJ98" s="1074">
        <f t="shared" si="256"/>
        <v>32.801872460325534</v>
      </c>
      <c r="CK98" s="1074">
        <f t="shared" si="256"/>
        <v>32.765649831767405</v>
      </c>
      <c r="CL98" s="1074">
        <f t="shared" si="256"/>
        <v>32.726158314166163</v>
      </c>
      <c r="CM98" s="1074">
        <f t="shared" si="256"/>
        <v>32.686714394582069</v>
      </c>
      <c r="CN98" s="1074">
        <f t="shared" si="256"/>
        <v>32.647318015646562</v>
      </c>
      <c r="CO98" s="1074">
        <f t="shared" si="256"/>
        <v>32.60796912006024</v>
      </c>
      <c r="CP98" s="1074">
        <f t="shared" si="256"/>
        <v>32.568667650592751</v>
      </c>
      <c r="CQ98" s="1074">
        <f t="shared" si="256"/>
        <v>32.523146286411503</v>
      </c>
      <c r="CR98" s="1074">
        <f t="shared" si="256"/>
        <v>32.477688547633022</v>
      </c>
      <c r="CS98" s="1074">
        <f t="shared" si="256"/>
        <v>32.432294345327811</v>
      </c>
      <c r="CT98" s="1074">
        <f t="shared" si="256"/>
        <v>32.386963590690684</v>
      </c>
      <c r="CU98" s="1074">
        <f t="shared" si="256"/>
        <v>32.341696195040562</v>
      </c>
      <c r="CV98" s="1074">
        <f t="shared" si="256"/>
        <v>32.297507157866328</v>
      </c>
      <c r="CW98" s="1074">
        <f t="shared" si="256"/>
        <v>32.25337849696286</v>
      </c>
      <c r="CX98" s="1074">
        <f t="shared" si="256"/>
        <v>32.209310129836972</v>
      </c>
      <c r="CY98" s="1074">
        <f t="shared" si="256"/>
        <v>32.16530197410821</v>
      </c>
      <c r="CZ98" s="1074">
        <f t="shared" si="256"/>
        <v>32.121353947508659</v>
      </c>
    </row>
    <row r="99" spans="1:104" x14ac:dyDescent="0.25">
      <c r="A99" s="730" t="str">
        <f>'HyARC Physical Property Data'!A77</f>
        <v>Industrial Electricity</v>
      </c>
      <c r="B99" s="254">
        <v>2012</v>
      </c>
      <c r="C99" s="727">
        <f t="shared" si="221"/>
        <v>1.0573833607504113</v>
      </c>
      <c r="D99" s="1020" t="str">
        <f>'HyARC Physical Property Data'!$H$77</f>
        <v>kWh</v>
      </c>
      <c r="E99" s="727" t="s">
        <v>1044</v>
      </c>
      <c r="F99" s="738"/>
      <c r="G99" s="220"/>
      <c r="H99" s="854">
        <v>17.630996571428568</v>
      </c>
      <c r="I99" s="854">
        <v>17.630996571428568</v>
      </c>
      <c r="J99" s="854">
        <v>17.630996571428568</v>
      </c>
      <c r="K99" s="854">
        <v>17.630996571428568</v>
      </c>
      <c r="L99" s="854">
        <v>18.734092571428569</v>
      </c>
      <c r="M99" s="854">
        <v>18.576507428571425</v>
      </c>
      <c r="N99" s="854">
        <v>17.751502857142853</v>
      </c>
      <c r="O99" s="254">
        <f t="shared" ref="O99:AR99" si="257">O115*($C99)</f>
        <v>21.515674690350355</v>
      </c>
      <c r="P99" s="254">
        <f t="shared" si="257"/>
        <v>20.614325162612442</v>
      </c>
      <c r="Q99" s="254">
        <f t="shared" si="257"/>
        <v>21.234320838805083</v>
      </c>
      <c r="R99" s="254">
        <f t="shared" si="257"/>
        <v>21.012944943631656</v>
      </c>
      <c r="S99" s="254">
        <f t="shared" si="257"/>
        <v>21.260067066255996</v>
      </c>
      <c r="T99" s="254">
        <f t="shared" si="257"/>
        <v>21.264334665499984</v>
      </c>
      <c r="U99" s="254">
        <f t="shared" si="257"/>
        <v>21.45053776056141</v>
      </c>
      <c r="V99" s="254">
        <f t="shared" si="257"/>
        <v>21.773568377270657</v>
      </c>
      <c r="W99" s="254">
        <f t="shared" si="257"/>
        <v>22.056475524972875</v>
      </c>
      <c r="X99" s="254">
        <f t="shared" si="257"/>
        <v>21.961455884025764</v>
      </c>
      <c r="Y99" s="254">
        <f t="shared" si="257"/>
        <v>21.942053956739354</v>
      </c>
      <c r="Z99" s="254">
        <f t="shared" si="257"/>
        <v>21.839343966609501</v>
      </c>
      <c r="AA99" s="254">
        <f t="shared" si="257"/>
        <v>21.848738817769767</v>
      </c>
      <c r="AB99" s="254">
        <f t="shared" si="257"/>
        <v>22.148172867400511</v>
      </c>
      <c r="AC99" s="254">
        <f t="shared" si="257"/>
        <v>22.288834461114416</v>
      </c>
      <c r="AD99" s="254">
        <f t="shared" si="257"/>
        <v>22.455557382520738</v>
      </c>
      <c r="AE99" s="254">
        <f t="shared" si="257"/>
        <v>22.693200063315949</v>
      </c>
      <c r="AF99" s="254">
        <f t="shared" si="257"/>
        <v>22.825154105054075</v>
      </c>
      <c r="AG99" s="254">
        <f t="shared" si="257"/>
        <v>22.985164756886352</v>
      </c>
      <c r="AH99" s="254">
        <f t="shared" si="257"/>
        <v>23.25006678072171</v>
      </c>
      <c r="AI99" s="254">
        <f t="shared" si="257"/>
        <v>23.513378499982501</v>
      </c>
      <c r="AJ99" s="254">
        <f t="shared" si="257"/>
        <v>23.624497859980398</v>
      </c>
      <c r="AK99" s="254">
        <f t="shared" si="257"/>
        <v>23.72471031061216</v>
      </c>
      <c r="AL99" s="254">
        <f t="shared" si="257"/>
        <v>23.954574879405691</v>
      </c>
      <c r="AM99" s="254">
        <f t="shared" si="257"/>
        <v>24.226613183542757</v>
      </c>
      <c r="AN99" s="254">
        <f t="shared" si="257"/>
        <v>24.521924495449934</v>
      </c>
      <c r="AO99" s="254">
        <f t="shared" si="257"/>
        <v>24.752620167565013</v>
      </c>
      <c r="AP99" s="254">
        <f t="shared" si="257"/>
        <v>24.871397097861468</v>
      </c>
      <c r="AQ99" s="254">
        <f t="shared" si="257"/>
        <v>25.127647611039166</v>
      </c>
      <c r="AR99" s="254">
        <f t="shared" si="257"/>
        <v>25.43300195010675</v>
      </c>
      <c r="AS99" s="254">
        <f t="shared" ref="AS99:BA99" si="258">($BB99-$AR99)/10+AR99</f>
        <v>25.251969841122818</v>
      </c>
      <c r="AT99" s="254">
        <f t="shared" si="258"/>
        <v>25.070937732138887</v>
      </c>
      <c r="AU99" s="254">
        <f t="shared" si="258"/>
        <v>24.889905623154956</v>
      </c>
      <c r="AV99" s="254">
        <f t="shared" si="258"/>
        <v>24.708873514171025</v>
      </c>
      <c r="AW99" s="254">
        <f t="shared" si="258"/>
        <v>24.527841405187093</v>
      </c>
      <c r="AX99" s="254">
        <f t="shared" si="258"/>
        <v>24.346809296203162</v>
      </c>
      <c r="AY99" s="254">
        <f t="shared" si="258"/>
        <v>24.165777187219231</v>
      </c>
      <c r="AZ99" s="254">
        <f t="shared" si="258"/>
        <v>23.984745078235299</v>
      </c>
      <c r="BA99" s="254">
        <f t="shared" si="258"/>
        <v>23.803712969251368</v>
      </c>
      <c r="BB99" s="782">
        <f>'AEO Data'!$B$33*AM99</f>
        <v>23.622680860267447</v>
      </c>
      <c r="BC99" s="254">
        <f t="shared" ref="BC99:BP99" si="259">($BQ99-$BB99)/15+BB99</f>
        <v>23.636443996632064</v>
      </c>
      <c r="BD99" s="254">
        <f t="shared" si="259"/>
        <v>23.65020713299668</v>
      </c>
      <c r="BE99" s="254">
        <f t="shared" si="259"/>
        <v>23.663970269361297</v>
      </c>
      <c r="BF99" s="254">
        <f t="shared" si="259"/>
        <v>23.677733405725913</v>
      </c>
      <c r="BG99" s="254">
        <f t="shared" si="259"/>
        <v>23.69149654209053</v>
      </c>
      <c r="BH99" s="254">
        <f t="shared" si="259"/>
        <v>23.705259678455146</v>
      </c>
      <c r="BI99" s="254">
        <f t="shared" si="259"/>
        <v>23.719022814819763</v>
      </c>
      <c r="BJ99" s="254">
        <f t="shared" si="259"/>
        <v>23.732785951184379</v>
      </c>
      <c r="BK99" s="254">
        <f t="shared" si="259"/>
        <v>23.746549087548996</v>
      </c>
      <c r="BL99" s="254">
        <f t="shared" si="259"/>
        <v>23.760312223913612</v>
      </c>
      <c r="BM99" s="254">
        <f t="shared" si="259"/>
        <v>23.774075360278228</v>
      </c>
      <c r="BN99" s="254">
        <f t="shared" si="259"/>
        <v>23.787838496642845</v>
      </c>
      <c r="BO99" s="254">
        <f t="shared" si="259"/>
        <v>23.801601633007461</v>
      </c>
      <c r="BP99" s="254">
        <f t="shared" si="259"/>
        <v>23.815364769372078</v>
      </c>
      <c r="BQ99" s="782">
        <f>'AEO Data'!$C$33*BB99</f>
        <v>23.829127905736687</v>
      </c>
      <c r="BR99" s="254">
        <f t="shared" si="243"/>
        <v>23.813082557250695</v>
      </c>
      <c r="BS99" s="254">
        <f t="shared" si="243"/>
        <v>23.797037208764703</v>
      </c>
      <c r="BT99" s="254">
        <f t="shared" si="243"/>
        <v>23.780991860278711</v>
      </c>
      <c r="BU99" s="254">
        <f t="shared" si="243"/>
        <v>23.764946511792719</v>
      </c>
      <c r="BV99" s="806">
        <f>'AEO Data'!$D$33*BQ99</f>
        <v>23.748901163306734</v>
      </c>
      <c r="BW99" s="1074">
        <f>+BV99*BW$140/BV$140</f>
        <v>23.75607712303141</v>
      </c>
      <c r="BX99" s="1074">
        <f t="shared" ref="BX99:CZ99" si="260">+BW99*BX$140/BW$140</f>
        <v>23.763255251041588</v>
      </c>
      <c r="BY99" s="1074">
        <f t="shared" si="260"/>
        <v>23.770435547992431</v>
      </c>
      <c r="BZ99" s="1074">
        <f t="shared" si="260"/>
        <v>23.777618014539303</v>
      </c>
      <c r="CA99" s="1074">
        <f t="shared" si="260"/>
        <v>23.78480265133777</v>
      </c>
      <c r="CB99" s="1074">
        <f t="shared" si="260"/>
        <v>23.782112772933441</v>
      </c>
      <c r="CC99" s="1074">
        <f t="shared" si="260"/>
        <v>23.779423198733689</v>
      </c>
      <c r="CD99" s="1074">
        <f t="shared" si="260"/>
        <v>23.776733928704111</v>
      </c>
      <c r="CE99" s="1074">
        <f t="shared" si="260"/>
        <v>23.774044962810308</v>
      </c>
      <c r="CF99" s="1074">
        <f t="shared" si="260"/>
        <v>23.771356301017885</v>
      </c>
      <c r="CG99" s="1074">
        <f t="shared" si="260"/>
        <v>23.76057340337865</v>
      </c>
      <c r="CH99" s="1074">
        <f t="shared" si="260"/>
        <v>23.749795396957229</v>
      </c>
      <c r="CI99" s="1074">
        <f t="shared" si="260"/>
        <v>23.739022279534925</v>
      </c>
      <c r="CJ99" s="1074">
        <f t="shared" si="260"/>
        <v>23.728254048894051</v>
      </c>
      <c r="CK99" s="1074">
        <f t="shared" si="260"/>
        <v>23.717490702817912</v>
      </c>
      <c r="CL99" s="1074">
        <f t="shared" si="260"/>
        <v>23.704286288042756</v>
      </c>
      <c r="CM99" s="1074">
        <f t="shared" si="260"/>
        <v>23.691089224659521</v>
      </c>
      <c r="CN99" s="1074">
        <f t="shared" si="260"/>
        <v>23.677899508575415</v>
      </c>
      <c r="CO99" s="1074">
        <f t="shared" si="260"/>
        <v>23.664717135699917</v>
      </c>
      <c r="CP99" s="1074">
        <f t="shared" si="260"/>
        <v>23.651542101944788</v>
      </c>
      <c r="CQ99" s="1074">
        <f t="shared" si="260"/>
        <v>23.633491650128491</v>
      </c>
      <c r="CR99" s="1074">
        <f t="shared" si="260"/>
        <v>23.615454974107841</v>
      </c>
      <c r="CS99" s="1074">
        <f t="shared" si="260"/>
        <v>23.597432063369389</v>
      </c>
      <c r="CT99" s="1074">
        <f t="shared" si="260"/>
        <v>23.579422907407711</v>
      </c>
      <c r="CU99" s="1074">
        <f t="shared" si="260"/>
        <v>23.561427495725386</v>
      </c>
      <c r="CV99" s="1074">
        <f t="shared" si="260"/>
        <v>23.544508396580287</v>
      </c>
      <c r="CW99" s="1074">
        <f t="shared" si="260"/>
        <v>23.52760144678038</v>
      </c>
      <c r="CX99" s="1074">
        <f t="shared" si="260"/>
        <v>23.510706637601409</v>
      </c>
      <c r="CY99" s="1074">
        <f t="shared" si="260"/>
        <v>23.493823960325379</v>
      </c>
      <c r="CZ99" s="1074">
        <f t="shared" si="260"/>
        <v>23.476953406240558</v>
      </c>
    </row>
    <row r="100" spans="1:104" ht="13.8" thickBot="1" x14ac:dyDescent="0.3">
      <c r="A100" s="732" t="str">
        <f>'HyARC Physical Property Data'!A78</f>
        <v>Residential Electricity</v>
      </c>
      <c r="B100" s="733">
        <v>2012</v>
      </c>
      <c r="C100" s="734">
        <f t="shared" si="221"/>
        <v>1.0573833607504113</v>
      </c>
      <c r="D100" s="1021" t="str">
        <f>'HyARC Physical Property Data'!$H$78</f>
        <v>kWh</v>
      </c>
      <c r="E100" s="734" t="s">
        <v>1044</v>
      </c>
      <c r="F100" s="739"/>
      <c r="G100" s="484"/>
      <c r="H100" s="856">
        <v>29.496230857142855</v>
      </c>
      <c r="I100" s="856">
        <v>29.496230857142855</v>
      </c>
      <c r="J100" s="856">
        <v>29.496230857142855</v>
      </c>
      <c r="K100" s="856">
        <v>29.496230857142855</v>
      </c>
      <c r="L100" s="856">
        <v>30.858878857142852</v>
      </c>
      <c r="M100" s="856">
        <v>29.96898628571428</v>
      </c>
      <c r="N100" s="856">
        <v>28.680495999999998</v>
      </c>
      <c r="O100" s="733">
        <f t="shared" ref="O100:AR100" si="261">O116*($C100)</f>
        <v>36.958599009222638</v>
      </c>
      <c r="P100" s="733">
        <f t="shared" si="261"/>
        <v>36.829914396835953</v>
      </c>
      <c r="Q100" s="733">
        <f t="shared" si="261"/>
        <v>35.967931251618772</v>
      </c>
      <c r="R100" s="733">
        <f t="shared" si="261"/>
        <v>36.384210392145889</v>
      </c>
      <c r="S100" s="733">
        <f t="shared" si="261"/>
        <v>36.946828217650761</v>
      </c>
      <c r="T100" s="733">
        <f t="shared" si="261"/>
        <v>37.180918090353856</v>
      </c>
      <c r="U100" s="733">
        <f t="shared" si="261"/>
        <v>37.557365599681496</v>
      </c>
      <c r="V100" s="733">
        <f t="shared" si="261"/>
        <v>37.974121620104306</v>
      </c>
      <c r="W100" s="733">
        <f t="shared" si="261"/>
        <v>38.254262652934798</v>
      </c>
      <c r="X100" s="733">
        <f t="shared" si="261"/>
        <v>38.221123201025513</v>
      </c>
      <c r="Y100" s="733">
        <f t="shared" si="261"/>
        <v>38.131149393475901</v>
      </c>
      <c r="Z100" s="733">
        <f t="shared" si="261"/>
        <v>37.858692365527979</v>
      </c>
      <c r="AA100" s="733">
        <f t="shared" si="261"/>
        <v>37.743955697052961</v>
      </c>
      <c r="AB100" s="733">
        <f t="shared" si="261"/>
        <v>38.1089157935494</v>
      </c>
      <c r="AC100" s="733">
        <f t="shared" si="261"/>
        <v>38.215330854975328</v>
      </c>
      <c r="AD100" s="733">
        <f t="shared" si="261"/>
        <v>38.326908061968432</v>
      </c>
      <c r="AE100" s="733">
        <f t="shared" si="261"/>
        <v>38.563554687637811</v>
      </c>
      <c r="AF100" s="733">
        <f t="shared" si="261"/>
        <v>38.678694219173288</v>
      </c>
      <c r="AG100" s="733">
        <f t="shared" si="261"/>
        <v>38.832728540250606</v>
      </c>
      <c r="AH100" s="733">
        <f t="shared" si="261"/>
        <v>39.103972749483745</v>
      </c>
      <c r="AI100" s="733">
        <f t="shared" si="261"/>
        <v>39.394125087973819</v>
      </c>
      <c r="AJ100" s="733">
        <f t="shared" si="261"/>
        <v>39.478120450001747</v>
      </c>
      <c r="AK100" s="733">
        <f t="shared" si="261"/>
        <v>39.513366209565646</v>
      </c>
      <c r="AL100" s="733">
        <f t="shared" si="261"/>
        <v>39.723129920671305</v>
      </c>
      <c r="AM100" s="733">
        <f t="shared" si="261"/>
        <v>39.988020313289695</v>
      </c>
      <c r="AN100" s="733">
        <f t="shared" si="261"/>
        <v>40.267543834237514</v>
      </c>
      <c r="AO100" s="733">
        <f t="shared" si="261"/>
        <v>40.49663228364426</v>
      </c>
      <c r="AP100" s="733">
        <f t="shared" si="261"/>
        <v>40.571116482342241</v>
      </c>
      <c r="AQ100" s="733">
        <f t="shared" si="261"/>
        <v>40.796195334045009</v>
      </c>
      <c r="AR100" s="733">
        <f t="shared" si="261"/>
        <v>41.063070435231531</v>
      </c>
      <c r="AS100" s="733">
        <f t="shared" ref="AS100:BA100" si="262">($BB100-$AR100)/10+AR100</f>
        <v>40.855881419218811</v>
      </c>
      <c r="AT100" s="733">
        <f t="shared" si="262"/>
        <v>40.648692403206091</v>
      </c>
      <c r="AU100" s="733">
        <f t="shared" si="262"/>
        <v>40.441503387193372</v>
      </c>
      <c r="AV100" s="733">
        <f t="shared" si="262"/>
        <v>40.234314371180652</v>
      </c>
      <c r="AW100" s="733">
        <f t="shared" si="262"/>
        <v>40.027125355167932</v>
      </c>
      <c r="AX100" s="733">
        <f t="shared" si="262"/>
        <v>39.819936339155213</v>
      </c>
      <c r="AY100" s="733">
        <f t="shared" si="262"/>
        <v>39.612747323142493</v>
      </c>
      <c r="AZ100" s="733">
        <f t="shared" si="262"/>
        <v>39.405558307129773</v>
      </c>
      <c r="BA100" s="733">
        <f t="shared" si="262"/>
        <v>39.198369291117054</v>
      </c>
      <c r="BB100" s="811">
        <f>'AEO Data'!$B$33*AM100</f>
        <v>38.991180275104313</v>
      </c>
      <c r="BC100" s="733">
        <f t="shared" ref="BC100:BP100" si="263">($BQ100-$BB100)/15+BB100</f>
        <v>39.013897465177614</v>
      </c>
      <c r="BD100" s="733">
        <f t="shared" si="263"/>
        <v>39.036614655250915</v>
      </c>
      <c r="BE100" s="733">
        <f t="shared" si="263"/>
        <v>39.059331845324216</v>
      </c>
      <c r="BF100" s="733">
        <f t="shared" si="263"/>
        <v>39.082049035397517</v>
      </c>
      <c r="BG100" s="733">
        <f t="shared" si="263"/>
        <v>39.104766225470819</v>
      </c>
      <c r="BH100" s="733">
        <f t="shared" si="263"/>
        <v>39.12748341554412</v>
      </c>
      <c r="BI100" s="733">
        <f t="shared" si="263"/>
        <v>39.150200605617421</v>
      </c>
      <c r="BJ100" s="733">
        <f t="shared" si="263"/>
        <v>39.172917795690722</v>
      </c>
      <c r="BK100" s="733">
        <f t="shared" si="263"/>
        <v>39.195634985764023</v>
      </c>
      <c r="BL100" s="733">
        <f t="shared" si="263"/>
        <v>39.218352175837325</v>
      </c>
      <c r="BM100" s="733">
        <f t="shared" si="263"/>
        <v>39.241069365910626</v>
      </c>
      <c r="BN100" s="733">
        <f t="shared" si="263"/>
        <v>39.263786555983927</v>
      </c>
      <c r="BO100" s="733">
        <f t="shared" si="263"/>
        <v>39.286503746057228</v>
      </c>
      <c r="BP100" s="733">
        <f t="shared" si="263"/>
        <v>39.309220936130529</v>
      </c>
      <c r="BQ100" s="811">
        <f>'AEO Data'!$C$33*BB100</f>
        <v>39.331938126203802</v>
      </c>
      <c r="BR100" s="733">
        <f t="shared" si="243"/>
        <v>39.305453957065893</v>
      </c>
      <c r="BS100" s="733">
        <f t="shared" si="243"/>
        <v>39.278969787927984</v>
      </c>
      <c r="BT100" s="733">
        <f t="shared" si="243"/>
        <v>39.252485618790075</v>
      </c>
      <c r="BU100" s="733">
        <f t="shared" si="243"/>
        <v>39.226001449652166</v>
      </c>
      <c r="BV100" s="812">
        <f>'AEO Data'!$D$33*BQ100</f>
        <v>39.199517280514264</v>
      </c>
      <c r="BW100" s="1074">
        <f>+BV100*BW$141/BV$141</f>
        <v>39.182257585250959</v>
      </c>
      <c r="BX100" s="1074">
        <f t="shared" ref="BX100:CZ100" si="264">+BW100*BX$141/BW$141</f>
        <v>39.165005489496558</v>
      </c>
      <c r="BY100" s="1074">
        <f t="shared" si="264"/>
        <v>39.147760989904967</v>
      </c>
      <c r="BZ100" s="1074">
        <f t="shared" si="264"/>
        <v>39.130524083131569</v>
      </c>
      <c r="CA100" s="1074">
        <f t="shared" si="264"/>
        <v>39.113294765833224</v>
      </c>
      <c r="CB100" s="1074">
        <f t="shared" si="264"/>
        <v>39.08196562754182</v>
      </c>
      <c r="CC100" s="1074">
        <f t="shared" si="264"/>
        <v>39.050661583400931</v>
      </c>
      <c r="CD100" s="1074">
        <f t="shared" si="264"/>
        <v>39.01938261331054</v>
      </c>
      <c r="CE100" s="1074">
        <f t="shared" si="264"/>
        <v>38.988128697186724</v>
      </c>
      <c r="CF100" s="1074">
        <f t="shared" si="264"/>
        <v>38.956899814961638</v>
      </c>
      <c r="CG100" s="1074">
        <f t="shared" si="264"/>
        <v>38.913880279614062</v>
      </c>
      <c r="CH100" s="1074">
        <f t="shared" si="264"/>
        <v>38.870908250110908</v>
      </c>
      <c r="CI100" s="1074">
        <f t="shared" si="264"/>
        <v>38.827983673992158</v>
      </c>
      <c r="CJ100" s="1074">
        <f t="shared" si="264"/>
        <v>38.785106498855733</v>
      </c>
      <c r="CK100" s="1074">
        <f t="shared" si="264"/>
        <v>38.74227667235742</v>
      </c>
      <c r="CL100" s="1074">
        <f t="shared" si="264"/>
        <v>38.695581694263772</v>
      </c>
      <c r="CM100" s="1074">
        <f t="shared" si="264"/>
        <v>38.64894299631591</v>
      </c>
      <c r="CN100" s="1074">
        <f t="shared" si="264"/>
        <v>38.60236051068096</v>
      </c>
      <c r="CO100" s="1074">
        <f t="shared" si="264"/>
        <v>38.555834169607792</v>
      </c>
      <c r="CP100" s="1074">
        <f t="shared" si="264"/>
        <v>38.509363905426945</v>
      </c>
      <c r="CQ100" s="1074">
        <f t="shared" si="264"/>
        <v>38.455539205026732</v>
      </c>
      <c r="CR100" s="1074">
        <f t="shared" si="264"/>
        <v>38.401789735637358</v>
      </c>
      <c r="CS100" s="1074">
        <f t="shared" si="264"/>
        <v>38.348115392108113</v>
      </c>
      <c r="CT100" s="1074">
        <f t="shared" si="264"/>
        <v>38.294516069435261</v>
      </c>
      <c r="CU100" s="1074">
        <f t="shared" si="264"/>
        <v>38.24099166276185</v>
      </c>
      <c r="CV100" s="1074">
        <f t="shared" si="264"/>
        <v>38.188742312821311</v>
      </c>
      <c r="CW100" s="1074">
        <f t="shared" si="264"/>
        <v>38.136564352100841</v>
      </c>
      <c r="CX100" s="1074">
        <f t="shared" si="264"/>
        <v>38.084457683060059</v>
      </c>
      <c r="CY100" s="1074">
        <f t="shared" si="264"/>
        <v>38.032422208291884</v>
      </c>
      <c r="CZ100" s="1074">
        <f t="shared" si="264"/>
        <v>37.980457830522298</v>
      </c>
    </row>
    <row r="101" spans="1:104" ht="13.8" thickTop="1" x14ac:dyDescent="0.25">
      <c r="D101" s="881"/>
    </row>
    <row r="102" spans="1:104" ht="13.8" thickBot="1" x14ac:dyDescent="0.3">
      <c r="D102" s="881"/>
    </row>
    <row r="103" spans="1:104" s="838" customFormat="1" x14ac:dyDescent="0.25">
      <c r="A103" s="834" t="s">
        <v>1130</v>
      </c>
      <c r="B103" s="835"/>
      <c r="C103" s="836"/>
      <c r="D103" s="1024"/>
      <c r="E103" s="836"/>
      <c r="F103" s="835"/>
      <c r="G103" s="835"/>
      <c r="H103" s="835"/>
      <c r="I103" s="835"/>
      <c r="J103" s="835"/>
      <c r="K103" s="835"/>
      <c r="L103" s="835"/>
      <c r="M103" s="835"/>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5"/>
      <c r="BO103" s="835"/>
      <c r="BP103" s="835"/>
      <c r="BQ103" s="835"/>
      <c r="BR103" s="835"/>
      <c r="BS103" s="835"/>
      <c r="BT103" s="835"/>
      <c r="BU103" s="835"/>
      <c r="BV103" s="837"/>
    </row>
    <row r="104" spans="1:104" s="838" customFormat="1" x14ac:dyDescent="0.25">
      <c r="A104" s="839" t="s">
        <v>1084</v>
      </c>
      <c r="B104" s="840"/>
      <c r="C104" s="841"/>
      <c r="D104" s="1025"/>
      <c r="E104" s="841"/>
      <c r="F104" s="840"/>
      <c r="G104" s="840"/>
      <c r="H104" s="840"/>
      <c r="I104" s="840"/>
      <c r="J104" s="840"/>
      <c r="K104" s="840"/>
      <c r="L104" s="840"/>
      <c r="M104" s="840"/>
      <c r="N104" s="840"/>
      <c r="O104" s="840"/>
      <c r="P104" s="840"/>
      <c r="Q104" s="840"/>
      <c r="R104" s="840"/>
      <c r="S104" s="840"/>
      <c r="T104" s="840"/>
      <c r="U104" s="840"/>
      <c r="V104" s="840"/>
      <c r="W104" s="840"/>
      <c r="X104" s="840"/>
      <c r="Y104" s="840"/>
      <c r="Z104" s="840"/>
      <c r="AA104" s="840"/>
      <c r="AB104" s="840"/>
      <c r="AC104" s="840"/>
      <c r="AD104" s="840"/>
      <c r="AE104" s="840"/>
      <c r="AF104" s="840"/>
      <c r="AG104" s="840"/>
      <c r="AH104" s="840"/>
      <c r="AI104" s="840"/>
      <c r="AJ104" s="840"/>
      <c r="AK104" s="840"/>
      <c r="AL104" s="840"/>
      <c r="AM104" s="840"/>
      <c r="AN104" s="840"/>
      <c r="AO104" s="840"/>
      <c r="AP104" s="840"/>
      <c r="AQ104" s="840"/>
      <c r="AR104" s="840"/>
      <c r="AS104" s="840"/>
      <c r="AT104" s="840"/>
      <c r="AU104" s="840"/>
      <c r="AV104" s="840"/>
      <c r="AW104" s="840"/>
      <c r="AX104" s="840"/>
      <c r="AY104" s="840"/>
      <c r="AZ104" s="840"/>
      <c r="BA104" s="840"/>
      <c r="BB104" s="840"/>
      <c r="BC104" s="840"/>
      <c r="BD104" s="840"/>
      <c r="BE104" s="840"/>
      <c r="BF104" s="840"/>
      <c r="BG104" s="840"/>
      <c r="BH104" s="840"/>
      <c r="BI104" s="840"/>
      <c r="BJ104" s="840"/>
      <c r="BK104" s="840"/>
      <c r="BL104" s="840"/>
      <c r="BM104" s="840"/>
      <c r="BN104" s="840"/>
      <c r="BO104" s="840"/>
      <c r="BP104" s="840"/>
      <c r="BQ104" s="840"/>
      <c r="BR104" s="840"/>
      <c r="BS104" s="840"/>
      <c r="BT104" s="840"/>
      <c r="BU104" s="840"/>
      <c r="BV104" s="842"/>
    </row>
    <row r="105" spans="1:104" s="838" customFormat="1" x14ac:dyDescent="0.25">
      <c r="A105" s="843"/>
      <c r="B105" s="840"/>
      <c r="C105" s="841"/>
      <c r="D105" s="1025"/>
      <c r="E105" s="841"/>
      <c r="F105" s="840"/>
      <c r="G105" s="840"/>
      <c r="H105" s="840"/>
      <c r="I105" s="840"/>
      <c r="J105" s="840"/>
      <c r="K105" s="840"/>
      <c r="L105" s="840"/>
      <c r="M105" s="840"/>
      <c r="N105" s="840"/>
      <c r="O105" s="840"/>
      <c r="P105" s="840"/>
      <c r="Q105" s="840"/>
      <c r="R105" s="840"/>
      <c r="S105" s="840"/>
      <c r="T105" s="840"/>
      <c r="U105" s="840"/>
      <c r="V105" s="840"/>
      <c r="W105" s="840"/>
      <c r="X105" s="840"/>
      <c r="Y105" s="840"/>
      <c r="Z105" s="840"/>
      <c r="AA105" s="840"/>
      <c r="AB105" s="840"/>
      <c r="AC105" s="840"/>
      <c r="AD105" s="840"/>
      <c r="AE105" s="840"/>
      <c r="AF105" s="840"/>
      <c r="AG105" s="840"/>
      <c r="AH105" s="840"/>
      <c r="AI105" s="840"/>
      <c r="AJ105" s="840"/>
      <c r="AK105" s="840"/>
      <c r="AL105" s="840"/>
      <c r="AM105" s="840"/>
      <c r="AN105" s="840"/>
      <c r="AO105" s="840"/>
      <c r="AP105" s="840"/>
      <c r="AQ105" s="840"/>
      <c r="AR105" s="840"/>
      <c r="AS105" s="840"/>
      <c r="AT105" s="840"/>
      <c r="AU105" s="840"/>
      <c r="AV105" s="840"/>
      <c r="AW105" s="840"/>
      <c r="AX105" s="840"/>
      <c r="AY105" s="840"/>
      <c r="AZ105" s="840"/>
      <c r="BA105" s="840"/>
      <c r="BB105" s="840"/>
      <c r="BC105" s="840"/>
      <c r="BD105" s="840"/>
      <c r="BE105" s="840"/>
      <c r="BF105" s="840"/>
      <c r="BG105" s="840"/>
      <c r="BH105" s="840"/>
      <c r="BI105" s="840"/>
      <c r="BJ105" s="840"/>
      <c r="BK105" s="840"/>
      <c r="BL105" s="840"/>
      <c r="BM105" s="840"/>
      <c r="BN105" s="840"/>
      <c r="BO105" s="840"/>
      <c r="BP105" s="840"/>
      <c r="BQ105" s="840"/>
      <c r="BR105" s="840"/>
      <c r="BS105" s="840"/>
      <c r="BT105" s="840"/>
      <c r="BU105" s="840"/>
      <c r="BV105" s="842"/>
    </row>
    <row r="106" spans="1:104" s="838" customFormat="1" x14ac:dyDescent="0.25">
      <c r="A106" s="843" t="s">
        <v>666</v>
      </c>
      <c r="B106" s="840"/>
      <c r="C106" s="841"/>
      <c r="D106" s="1025"/>
      <c r="E106" s="841"/>
      <c r="F106" s="840"/>
      <c r="G106" s="840"/>
      <c r="H106" s="840"/>
      <c r="I106" s="840"/>
      <c r="J106" s="840"/>
      <c r="K106" s="840"/>
      <c r="L106" s="840"/>
      <c r="M106" s="840"/>
      <c r="N106" s="840"/>
      <c r="O106" s="844">
        <v>10.979644</v>
      </c>
      <c r="P106" s="844">
        <v>10.458463</v>
      </c>
      <c r="Q106" s="844">
        <v>10.386789</v>
      </c>
      <c r="R106" s="844">
        <v>11.197535999999999</v>
      </c>
      <c r="S106" s="844">
        <v>10.997512</v>
      </c>
      <c r="T106" s="844">
        <v>10.684602</v>
      </c>
      <c r="U106" s="844">
        <v>11.01057</v>
      </c>
      <c r="V106" s="844">
        <v>11.455973999999999</v>
      </c>
      <c r="W106" s="844">
        <v>11.627091999999999</v>
      </c>
      <c r="X106" s="844">
        <v>11.591965</v>
      </c>
      <c r="Y106" s="844">
        <v>11.804651</v>
      </c>
      <c r="Z106" s="844">
        <v>11.896172</v>
      </c>
      <c r="AA106" s="844">
        <v>12.056948999999999</v>
      </c>
      <c r="AB106" s="844">
        <v>12.305148000000001</v>
      </c>
      <c r="AC106" s="844">
        <v>12.475469</v>
      </c>
      <c r="AD106" s="844">
        <v>12.579926</v>
      </c>
      <c r="AE106" s="844">
        <v>12.716393999999999</v>
      </c>
      <c r="AF106" s="844">
        <v>12.897914999999999</v>
      </c>
      <c r="AG106" s="844">
        <v>13.184208999999999</v>
      </c>
      <c r="AH106" s="844">
        <v>13.502886999999999</v>
      </c>
      <c r="AI106" s="844">
        <v>13.64997</v>
      </c>
      <c r="AJ106" s="844">
        <v>13.712135</v>
      </c>
      <c r="AK106" s="844">
        <v>13.943460999999999</v>
      </c>
      <c r="AL106" s="844">
        <v>14.339456999999999</v>
      </c>
      <c r="AM106" s="844">
        <v>14.605688000000001</v>
      </c>
      <c r="AN106" s="844">
        <v>14.994783</v>
      </c>
      <c r="AO106" s="844">
        <v>15.152347000000001</v>
      </c>
      <c r="AP106" s="844">
        <v>15.279963</v>
      </c>
      <c r="AQ106" s="844">
        <v>15.618371</v>
      </c>
      <c r="AR106" s="844">
        <v>15.977807</v>
      </c>
      <c r="AS106" s="840"/>
      <c r="AT106" s="840"/>
      <c r="AU106" s="840"/>
      <c r="AV106" s="840"/>
      <c r="AW106" s="840"/>
      <c r="AX106" s="840"/>
      <c r="AY106" s="840"/>
      <c r="AZ106" s="840"/>
      <c r="BA106" s="840"/>
      <c r="BB106" s="840"/>
      <c r="BC106" s="840"/>
      <c r="BD106" s="840"/>
      <c r="BE106" s="840"/>
      <c r="BF106" s="840"/>
      <c r="BG106" s="840"/>
      <c r="BH106" s="840"/>
      <c r="BI106" s="840"/>
      <c r="BJ106" s="840"/>
      <c r="BK106" s="840"/>
      <c r="BL106" s="840"/>
      <c r="BM106" s="840"/>
      <c r="BN106" s="840"/>
      <c r="BO106" s="840"/>
      <c r="BP106" s="840"/>
      <c r="BQ106" s="840"/>
      <c r="BR106" s="840"/>
      <c r="BS106" s="840"/>
      <c r="BT106" s="840"/>
      <c r="BU106" s="840"/>
      <c r="BV106" s="842"/>
    </row>
    <row r="107" spans="1:104" s="838" customFormat="1" x14ac:dyDescent="0.25">
      <c r="A107" s="843" t="s">
        <v>1058</v>
      </c>
      <c r="B107" s="840"/>
      <c r="C107" s="841"/>
      <c r="D107" s="1025"/>
      <c r="E107" s="841"/>
      <c r="F107" s="840"/>
      <c r="G107" s="840"/>
      <c r="H107" s="840"/>
      <c r="I107" s="840"/>
      <c r="J107" s="840"/>
      <c r="K107" s="840"/>
      <c r="L107" s="840"/>
      <c r="M107" s="840"/>
      <c r="N107" s="840"/>
      <c r="O107" s="844">
        <v>8.9608349999999994</v>
      </c>
      <c r="P107" s="844">
        <v>8.1128640000000001</v>
      </c>
      <c r="Q107" s="844">
        <v>8.3120530000000006</v>
      </c>
      <c r="R107" s="844">
        <v>9.0860579999999995</v>
      </c>
      <c r="S107" s="844">
        <v>8.9185510000000008</v>
      </c>
      <c r="T107" s="844">
        <v>8.7230709999999991</v>
      </c>
      <c r="U107" s="844">
        <v>9.0072580000000002</v>
      </c>
      <c r="V107" s="844">
        <v>9.4091780000000007</v>
      </c>
      <c r="W107" s="844">
        <v>9.5464699999999993</v>
      </c>
      <c r="X107" s="844">
        <v>9.490774</v>
      </c>
      <c r="Y107" s="844">
        <v>9.6849690000000006</v>
      </c>
      <c r="Z107" s="844">
        <v>9.7584820000000008</v>
      </c>
      <c r="AA107" s="844">
        <v>9.8987529999999992</v>
      </c>
      <c r="AB107" s="844">
        <v>10.127039999999999</v>
      </c>
      <c r="AC107" s="844">
        <v>10.286922000000001</v>
      </c>
      <c r="AD107" s="844">
        <v>10.380953999999999</v>
      </c>
      <c r="AE107" s="844">
        <v>10.496881999999999</v>
      </c>
      <c r="AF107" s="844">
        <v>10.657225</v>
      </c>
      <c r="AG107" s="844">
        <v>10.911016</v>
      </c>
      <c r="AH107" s="844">
        <v>11.192325</v>
      </c>
      <c r="AI107" s="844">
        <v>11.294316</v>
      </c>
      <c r="AJ107" s="844">
        <v>11.292712999999999</v>
      </c>
      <c r="AK107" s="844">
        <v>11.478382999999999</v>
      </c>
      <c r="AL107" s="844">
        <v>11.747921</v>
      </c>
      <c r="AM107" s="844">
        <v>11.953430000000001</v>
      </c>
      <c r="AN107" s="844">
        <v>12.263629999999999</v>
      </c>
      <c r="AO107" s="844">
        <v>12.368285999999999</v>
      </c>
      <c r="AP107" s="844">
        <v>12.459205000000001</v>
      </c>
      <c r="AQ107" s="844">
        <v>12.755896</v>
      </c>
      <c r="AR107" s="844">
        <v>13.077387</v>
      </c>
      <c r="AS107" s="840"/>
      <c r="AT107" s="840"/>
      <c r="AU107" s="840"/>
      <c r="AV107" s="840"/>
      <c r="AW107" s="840"/>
      <c r="AX107" s="840"/>
      <c r="AY107" s="840"/>
      <c r="AZ107" s="840"/>
      <c r="BA107" s="840"/>
      <c r="BB107" s="840"/>
      <c r="BC107" s="840"/>
      <c r="BD107" s="840"/>
      <c r="BE107" s="840"/>
      <c r="BF107" s="840"/>
      <c r="BG107" s="840"/>
      <c r="BH107" s="840"/>
      <c r="BI107" s="840"/>
      <c r="BJ107" s="840"/>
      <c r="BK107" s="840"/>
      <c r="BL107" s="840"/>
      <c r="BM107" s="840"/>
      <c r="BN107" s="840"/>
      <c r="BO107" s="840"/>
      <c r="BP107" s="840"/>
      <c r="BQ107" s="840"/>
      <c r="BR107" s="840"/>
      <c r="BS107" s="840"/>
      <c r="BT107" s="840"/>
      <c r="BU107" s="840"/>
      <c r="BV107" s="842"/>
    </row>
    <row r="108" spans="1:104" s="838" customFormat="1" x14ac:dyDescent="0.25">
      <c r="A108" s="843" t="s">
        <v>280</v>
      </c>
      <c r="B108" s="840"/>
      <c r="C108" s="841"/>
      <c r="D108" s="1025"/>
      <c r="E108" s="841"/>
      <c r="F108" s="840"/>
      <c r="G108" s="840"/>
      <c r="H108" s="840"/>
      <c r="I108" s="840"/>
      <c r="J108" s="840"/>
      <c r="K108" s="840"/>
      <c r="L108" s="840"/>
      <c r="M108" s="840"/>
      <c r="N108" s="840"/>
      <c r="O108" s="844">
        <v>5.093718</v>
      </c>
      <c r="P108" s="844">
        <v>3.77142</v>
      </c>
      <c r="Q108" s="844">
        <v>4.594805</v>
      </c>
      <c r="R108" s="844">
        <v>4.7995720000000004</v>
      </c>
      <c r="S108" s="844">
        <v>4.9392990000000001</v>
      </c>
      <c r="T108" s="844">
        <v>5.148549</v>
      </c>
      <c r="U108" s="844">
        <v>5.425808</v>
      </c>
      <c r="V108" s="844">
        <v>5.8458810000000003</v>
      </c>
      <c r="W108" s="844">
        <v>5.9476060000000004</v>
      </c>
      <c r="X108" s="844">
        <v>5.7923239999999998</v>
      </c>
      <c r="Y108" s="844">
        <v>5.9347989999999999</v>
      </c>
      <c r="Z108" s="844">
        <v>5.9545320000000004</v>
      </c>
      <c r="AA108" s="844">
        <v>6.0522600000000004</v>
      </c>
      <c r="AB108" s="844">
        <v>6.2273719999999999</v>
      </c>
      <c r="AC108" s="844">
        <v>6.3209530000000003</v>
      </c>
      <c r="AD108" s="844">
        <v>6.356109</v>
      </c>
      <c r="AE108" s="844">
        <v>6.4293370000000003</v>
      </c>
      <c r="AF108" s="844">
        <v>6.531498</v>
      </c>
      <c r="AG108" s="844">
        <v>6.7357209999999998</v>
      </c>
      <c r="AH108" s="844">
        <v>6.9891050000000003</v>
      </c>
      <c r="AI108" s="844">
        <v>7.1038509999999997</v>
      </c>
      <c r="AJ108" s="844">
        <v>7.224164</v>
      </c>
      <c r="AK108" s="844">
        <v>7.420331</v>
      </c>
      <c r="AL108" s="844">
        <v>7.5726420000000001</v>
      </c>
      <c r="AM108" s="844">
        <v>7.7575940000000001</v>
      </c>
      <c r="AN108" s="844">
        <v>8.0432100000000002</v>
      </c>
      <c r="AO108" s="844">
        <v>8.0942129999999999</v>
      </c>
      <c r="AP108" s="844">
        <v>8.1302479999999999</v>
      </c>
      <c r="AQ108" s="844">
        <v>8.3372609999999998</v>
      </c>
      <c r="AR108" s="844">
        <v>8.5934050000000006</v>
      </c>
      <c r="AS108" s="840"/>
      <c r="AT108" s="840"/>
      <c r="AU108" s="840"/>
      <c r="AV108" s="840"/>
      <c r="AW108" s="840"/>
      <c r="AX108" s="840"/>
      <c r="AY108" s="840"/>
      <c r="AZ108" s="840"/>
      <c r="BA108" s="840"/>
      <c r="BB108" s="840"/>
      <c r="BC108" s="840"/>
      <c r="BD108" s="840"/>
      <c r="BE108" s="840"/>
      <c r="BF108" s="840"/>
      <c r="BG108" s="840"/>
      <c r="BH108" s="840"/>
      <c r="BI108" s="840"/>
      <c r="BJ108" s="840"/>
      <c r="BK108" s="840"/>
      <c r="BL108" s="840"/>
      <c r="BM108" s="840"/>
      <c r="BN108" s="840"/>
      <c r="BO108" s="840"/>
      <c r="BP108" s="840"/>
      <c r="BQ108" s="840"/>
      <c r="BR108" s="840"/>
      <c r="BS108" s="840"/>
      <c r="BT108" s="840"/>
      <c r="BU108" s="840"/>
      <c r="BV108" s="842"/>
    </row>
    <row r="109" spans="1:104" s="838" customFormat="1" x14ac:dyDescent="0.25">
      <c r="A109" s="845" t="str">
        <f>'HyARC Physical Property Data'!$A$74</f>
        <v>Electric Utility Natural Gas</v>
      </c>
      <c r="B109" s="840"/>
      <c r="C109" s="841"/>
      <c r="D109" s="1025"/>
      <c r="E109" s="841"/>
      <c r="F109" s="840"/>
      <c r="G109" s="840"/>
      <c r="H109" s="840"/>
      <c r="I109" s="840"/>
      <c r="J109" s="840"/>
      <c r="K109" s="840"/>
      <c r="L109" s="840"/>
      <c r="M109" s="840"/>
      <c r="N109" s="840"/>
      <c r="O109" s="844">
        <v>4.881901</v>
      </c>
      <c r="P109" s="844">
        <v>3.4378730000000002</v>
      </c>
      <c r="Q109" s="844">
        <v>4.3206319999999998</v>
      </c>
      <c r="R109" s="844">
        <v>4.4694140000000004</v>
      </c>
      <c r="S109" s="844">
        <v>4.4284980000000003</v>
      </c>
      <c r="T109" s="844">
        <v>4.4748020000000004</v>
      </c>
      <c r="U109" s="844">
        <v>4.6905669999999997</v>
      </c>
      <c r="V109" s="844">
        <v>5.0621029999999996</v>
      </c>
      <c r="W109" s="844">
        <v>5.1794200000000004</v>
      </c>
      <c r="X109" s="844">
        <v>5.0744109999999996</v>
      </c>
      <c r="Y109" s="844">
        <v>5.242337</v>
      </c>
      <c r="Z109" s="844">
        <v>5.2943420000000003</v>
      </c>
      <c r="AA109" s="844">
        <v>5.4200609999999996</v>
      </c>
      <c r="AB109" s="844">
        <v>5.622217</v>
      </c>
      <c r="AC109" s="844">
        <v>5.7577170000000004</v>
      </c>
      <c r="AD109" s="844">
        <v>5.8140010000000002</v>
      </c>
      <c r="AE109" s="844">
        <v>5.9051999999999998</v>
      </c>
      <c r="AF109" s="844">
        <v>6.0276690000000004</v>
      </c>
      <c r="AG109" s="844">
        <v>6.2437040000000001</v>
      </c>
      <c r="AH109" s="844">
        <v>6.4934279999999998</v>
      </c>
      <c r="AI109" s="844">
        <v>6.6170710000000001</v>
      </c>
      <c r="AJ109" s="844">
        <v>6.726566</v>
      </c>
      <c r="AK109" s="844">
        <v>6.9305599999999998</v>
      </c>
      <c r="AL109" s="844">
        <v>7.0909170000000001</v>
      </c>
      <c r="AM109" s="844">
        <v>7.286816</v>
      </c>
      <c r="AN109" s="844">
        <v>7.5708000000000002</v>
      </c>
      <c r="AO109" s="844">
        <v>7.630439</v>
      </c>
      <c r="AP109" s="844">
        <v>7.6782940000000002</v>
      </c>
      <c r="AQ109" s="844">
        <v>7.8974500000000001</v>
      </c>
      <c r="AR109" s="844">
        <v>8.1587669999999992</v>
      </c>
      <c r="AS109" s="840"/>
      <c r="AT109" s="840"/>
      <c r="AU109" s="840"/>
      <c r="AV109" s="840"/>
      <c r="AW109" s="840"/>
      <c r="AX109" s="840"/>
      <c r="AY109" s="840"/>
      <c r="AZ109" s="840"/>
      <c r="BA109" s="840"/>
      <c r="BB109" s="840"/>
      <c r="BC109" s="840"/>
      <c r="BD109" s="840"/>
      <c r="BE109" s="840"/>
      <c r="BF109" s="840"/>
      <c r="BG109" s="840"/>
      <c r="BH109" s="840"/>
      <c r="BI109" s="840"/>
      <c r="BJ109" s="840"/>
      <c r="BK109" s="840"/>
      <c r="BL109" s="840"/>
      <c r="BM109" s="840"/>
      <c r="BN109" s="840"/>
      <c r="BO109" s="840"/>
      <c r="BP109" s="840"/>
      <c r="BQ109" s="840"/>
      <c r="BR109" s="840"/>
      <c r="BS109" s="840"/>
      <c r="BT109" s="840"/>
      <c r="BU109" s="840"/>
      <c r="BV109" s="842"/>
    </row>
    <row r="110" spans="1:104" s="838" customFormat="1" x14ac:dyDescent="0.25">
      <c r="A110" s="840" t="s">
        <v>1054</v>
      </c>
      <c r="B110" s="840"/>
      <c r="C110" s="841"/>
      <c r="D110" s="1025"/>
      <c r="E110" s="841"/>
      <c r="F110" s="840"/>
      <c r="G110" s="840"/>
      <c r="H110" s="840"/>
      <c r="I110" s="840"/>
      <c r="J110" s="840"/>
      <c r="K110" s="840"/>
      <c r="L110" s="840"/>
      <c r="M110" s="840"/>
      <c r="N110" s="840"/>
      <c r="O110" s="844"/>
      <c r="P110" s="844"/>
      <c r="Q110" s="844"/>
      <c r="R110" s="844"/>
      <c r="S110" s="844"/>
      <c r="T110" s="844"/>
      <c r="U110" s="844"/>
      <c r="V110" s="844"/>
      <c r="W110" s="844"/>
      <c r="X110" s="844"/>
      <c r="Y110" s="844"/>
      <c r="Z110" s="844"/>
      <c r="AA110" s="844"/>
      <c r="AB110" s="844"/>
      <c r="AC110" s="844"/>
      <c r="AD110" s="844"/>
      <c r="AE110" s="844"/>
      <c r="AF110" s="844"/>
      <c r="AG110" s="844"/>
      <c r="AH110" s="844"/>
      <c r="AI110" s="844"/>
      <c r="AJ110" s="844"/>
      <c r="AK110" s="844"/>
      <c r="AL110" s="844"/>
      <c r="AM110" s="844"/>
      <c r="AN110" s="844"/>
      <c r="AO110" s="844"/>
      <c r="AP110" s="844"/>
      <c r="AQ110" s="844"/>
      <c r="AR110" s="844"/>
      <c r="AS110" s="840"/>
      <c r="AT110" s="840"/>
      <c r="AU110" s="840"/>
      <c r="AV110" s="840"/>
      <c r="AW110" s="840"/>
      <c r="AX110" s="840"/>
      <c r="AY110" s="840"/>
      <c r="AZ110" s="840"/>
      <c r="BA110" s="840"/>
      <c r="BB110" s="840"/>
      <c r="BC110" s="840"/>
      <c r="BD110" s="840"/>
      <c r="BE110" s="840"/>
      <c r="BF110" s="840"/>
      <c r="BG110" s="840"/>
      <c r="BH110" s="840"/>
      <c r="BI110" s="840"/>
      <c r="BJ110" s="840"/>
      <c r="BK110" s="840"/>
      <c r="BL110" s="840"/>
      <c r="BM110" s="840"/>
      <c r="BN110" s="840"/>
      <c r="BO110" s="840"/>
      <c r="BP110" s="840"/>
      <c r="BQ110" s="840"/>
      <c r="BR110" s="840"/>
      <c r="BS110" s="840"/>
      <c r="BT110" s="840"/>
      <c r="BU110" s="840"/>
      <c r="BV110" s="842"/>
    </row>
    <row r="111" spans="1:104" s="838" customFormat="1" x14ac:dyDescent="0.25">
      <c r="A111" s="860" t="s">
        <v>701</v>
      </c>
      <c r="B111" s="840"/>
      <c r="C111" s="841"/>
      <c r="D111" s="1025"/>
      <c r="E111" s="841"/>
      <c r="F111" s="840"/>
      <c r="G111" s="840"/>
      <c r="H111" s="840"/>
      <c r="I111" s="840"/>
      <c r="J111" s="840"/>
      <c r="K111" s="840"/>
      <c r="L111" s="840"/>
      <c r="M111" s="840"/>
      <c r="N111" s="840"/>
      <c r="O111" s="844">
        <v>7.1348120000000002</v>
      </c>
      <c r="P111" s="844">
        <v>7.25</v>
      </c>
      <c r="Q111" s="844">
        <v>7.4339180000000002</v>
      </c>
      <c r="R111" s="844">
        <v>7.5123340000000001</v>
      </c>
      <c r="S111" s="844">
        <v>7.7593930000000002</v>
      </c>
      <c r="T111" s="844">
        <v>7.9480709999999997</v>
      </c>
      <c r="U111" s="844">
        <v>8.0483750000000001</v>
      </c>
      <c r="V111" s="844">
        <v>8.1909299999999998</v>
      </c>
      <c r="W111" s="844">
        <v>8.3009920000000008</v>
      </c>
      <c r="X111" s="844">
        <v>8.4282590000000006</v>
      </c>
      <c r="Y111" s="844">
        <v>8.5261879999999994</v>
      </c>
      <c r="Z111" s="844">
        <v>8.6333680000000008</v>
      </c>
      <c r="AA111" s="844">
        <v>8.7384330000000006</v>
      </c>
      <c r="AB111" s="844">
        <v>8.8454820000000005</v>
      </c>
      <c r="AC111" s="844">
        <v>8.9517559999999996</v>
      </c>
      <c r="AD111" s="844">
        <v>9.0441529999999997</v>
      </c>
      <c r="AE111" s="844">
        <v>9.1489940000000001</v>
      </c>
      <c r="AF111" s="844">
        <v>9.2665970000000009</v>
      </c>
      <c r="AG111" s="844">
        <v>9.3802029999999998</v>
      </c>
      <c r="AH111" s="844">
        <v>9.5131180000000004</v>
      </c>
      <c r="AI111" s="844">
        <v>9.5927720000000001</v>
      </c>
      <c r="AJ111" s="844">
        <v>9.6736090000000008</v>
      </c>
      <c r="AK111" s="844">
        <v>9.7592280000000002</v>
      </c>
      <c r="AL111" s="844">
        <v>9.8373989999999996</v>
      </c>
      <c r="AM111" s="844">
        <v>9.9349030000000003</v>
      </c>
      <c r="AN111" s="844">
        <v>10.012817</v>
      </c>
      <c r="AO111" s="844">
        <v>10.10066</v>
      </c>
      <c r="AP111" s="844">
        <v>10.107113</v>
      </c>
      <c r="AQ111" s="844">
        <v>10.135842</v>
      </c>
      <c r="AR111" s="844">
        <v>10.197044999999999</v>
      </c>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840"/>
      <c r="BT111" s="840"/>
      <c r="BU111" s="840"/>
      <c r="BV111" s="842"/>
    </row>
    <row r="112" spans="1:104" s="838" customFormat="1" x14ac:dyDescent="0.25">
      <c r="A112" s="860" t="s">
        <v>702</v>
      </c>
      <c r="B112" s="840"/>
      <c r="C112" s="841"/>
      <c r="D112" s="1025"/>
      <c r="E112" s="841"/>
      <c r="F112" s="840"/>
      <c r="G112" s="840"/>
      <c r="H112" s="840"/>
      <c r="I112" s="840"/>
      <c r="J112" s="840"/>
      <c r="K112" s="840"/>
      <c r="L112" s="840"/>
      <c r="M112" s="840"/>
      <c r="N112" s="840"/>
      <c r="O112" s="844">
        <v>3.3073760000000001</v>
      </c>
      <c r="P112" s="844">
        <v>3.2396150000000001</v>
      </c>
      <c r="Q112" s="844">
        <v>3.3150900000000001</v>
      </c>
      <c r="R112" s="844">
        <v>3.2817340000000002</v>
      </c>
      <c r="S112" s="844">
        <v>3.3761420000000002</v>
      </c>
      <c r="T112" s="844">
        <v>3.437208</v>
      </c>
      <c r="U112" s="844">
        <v>3.4609869999999998</v>
      </c>
      <c r="V112" s="844">
        <v>3.5206819999999999</v>
      </c>
      <c r="W112" s="844">
        <v>3.5610849999999998</v>
      </c>
      <c r="X112" s="844">
        <v>3.5932520000000001</v>
      </c>
      <c r="Y112" s="844">
        <v>3.6143869999999998</v>
      </c>
      <c r="Z112" s="844">
        <v>3.6395840000000002</v>
      </c>
      <c r="AA112" s="844">
        <v>3.6651829999999999</v>
      </c>
      <c r="AB112" s="844">
        <v>3.697009</v>
      </c>
      <c r="AC112" s="844">
        <v>3.7274949999999998</v>
      </c>
      <c r="AD112" s="844">
        <v>3.7560980000000002</v>
      </c>
      <c r="AE112" s="844">
        <v>3.7847550000000001</v>
      </c>
      <c r="AF112" s="844">
        <v>3.8163930000000001</v>
      </c>
      <c r="AG112" s="844">
        <v>3.8450039999999999</v>
      </c>
      <c r="AH112" s="844">
        <v>3.8844850000000002</v>
      </c>
      <c r="AI112" s="844">
        <v>3.9155440000000001</v>
      </c>
      <c r="AJ112" s="844">
        <v>3.944798</v>
      </c>
      <c r="AK112" s="844">
        <v>3.9761479999999998</v>
      </c>
      <c r="AL112" s="844">
        <v>4.0004489999999997</v>
      </c>
      <c r="AM112" s="844">
        <v>4.0294249999999998</v>
      </c>
      <c r="AN112" s="844">
        <v>4.0600360000000002</v>
      </c>
      <c r="AO112" s="844">
        <v>4.0903939999999999</v>
      </c>
      <c r="AP112" s="844">
        <v>4.1171660000000001</v>
      </c>
      <c r="AQ112" s="844">
        <v>4.1493070000000003</v>
      </c>
      <c r="AR112" s="844">
        <v>4.1898999999999997</v>
      </c>
      <c r="AS112" s="840"/>
      <c r="AT112" s="840"/>
      <c r="AU112" s="840"/>
      <c r="AV112" s="840"/>
      <c r="AW112" s="840"/>
      <c r="AX112" s="840"/>
      <c r="AY112" s="840"/>
      <c r="AZ112" s="840"/>
      <c r="BA112" s="840"/>
      <c r="BB112" s="840"/>
      <c r="BC112" s="840"/>
      <c r="BD112" s="840"/>
      <c r="BE112" s="840"/>
      <c r="BF112" s="840"/>
      <c r="BG112" s="840"/>
      <c r="BH112" s="840"/>
      <c r="BI112" s="840"/>
      <c r="BJ112" s="840"/>
      <c r="BK112" s="840"/>
      <c r="BL112" s="840"/>
      <c r="BM112" s="840"/>
      <c r="BN112" s="840"/>
      <c r="BO112" s="840"/>
      <c r="BP112" s="840"/>
      <c r="BQ112" s="840"/>
      <c r="BR112" s="840"/>
      <c r="BS112" s="840"/>
      <c r="BT112" s="840"/>
      <c r="BU112" s="840"/>
      <c r="BV112" s="842"/>
    </row>
    <row r="113" spans="1:74" s="838" customFormat="1" x14ac:dyDescent="0.25">
      <c r="A113" s="843" t="s">
        <v>1060</v>
      </c>
      <c r="B113" s="840"/>
      <c r="C113" s="841"/>
      <c r="D113" s="1025"/>
      <c r="E113" s="841"/>
      <c r="F113" s="840"/>
      <c r="G113" s="840"/>
      <c r="H113" s="840"/>
      <c r="I113" s="840"/>
      <c r="J113" s="840"/>
      <c r="K113" s="840"/>
      <c r="L113" s="840"/>
      <c r="M113" s="840"/>
      <c r="N113" s="840"/>
      <c r="O113" s="844">
        <v>2.4223750000000002</v>
      </c>
      <c r="P113" s="844">
        <v>2.39</v>
      </c>
      <c r="Q113" s="844">
        <v>2.37385</v>
      </c>
      <c r="R113" s="844">
        <v>2.329834</v>
      </c>
      <c r="S113" s="844">
        <v>2.4039359999999999</v>
      </c>
      <c r="T113" s="844">
        <v>2.422212</v>
      </c>
      <c r="U113" s="844">
        <v>2.4863749999999998</v>
      </c>
      <c r="V113" s="844">
        <v>2.5503130000000001</v>
      </c>
      <c r="W113" s="844">
        <v>2.589102</v>
      </c>
      <c r="X113" s="844">
        <v>2.6113439999999999</v>
      </c>
      <c r="Y113" s="844">
        <v>2.6429999999999998</v>
      </c>
      <c r="Z113" s="844">
        <v>2.675691</v>
      </c>
      <c r="AA113" s="844">
        <v>2.7024710000000001</v>
      </c>
      <c r="AB113" s="844">
        <v>2.7390279999999998</v>
      </c>
      <c r="AC113" s="844">
        <v>2.7738589999999999</v>
      </c>
      <c r="AD113" s="844">
        <v>2.807261</v>
      </c>
      <c r="AE113" s="844">
        <v>2.8368190000000002</v>
      </c>
      <c r="AF113" s="844">
        <v>2.8649870000000002</v>
      </c>
      <c r="AG113" s="844">
        <v>2.8913859999999998</v>
      </c>
      <c r="AH113" s="844">
        <v>2.9256030000000002</v>
      </c>
      <c r="AI113" s="844">
        <v>2.9494180000000001</v>
      </c>
      <c r="AJ113" s="844">
        <v>2.9743849999999998</v>
      </c>
      <c r="AK113" s="844">
        <v>3.0006210000000002</v>
      </c>
      <c r="AL113" s="844">
        <v>3.0244930000000001</v>
      </c>
      <c r="AM113" s="844">
        <v>3.050074</v>
      </c>
      <c r="AN113" s="844">
        <v>3.076149</v>
      </c>
      <c r="AO113" s="844">
        <v>3.099027</v>
      </c>
      <c r="AP113" s="844">
        <v>3.1208209999999998</v>
      </c>
      <c r="AQ113" s="844">
        <v>3.153797</v>
      </c>
      <c r="AR113" s="844">
        <v>3.1896749999999998</v>
      </c>
      <c r="AS113" s="840"/>
      <c r="AT113" s="840"/>
      <c r="AU113" s="840"/>
      <c r="AV113" s="840"/>
      <c r="AW113" s="840"/>
      <c r="AX113" s="840"/>
      <c r="AY113" s="840"/>
      <c r="AZ113" s="840"/>
      <c r="BA113" s="840"/>
      <c r="BB113" s="840"/>
      <c r="BC113" s="840"/>
      <c r="BD113" s="840"/>
      <c r="BE113" s="840"/>
      <c r="BF113" s="840"/>
      <c r="BG113" s="840"/>
      <c r="BH113" s="840"/>
      <c r="BI113" s="840"/>
      <c r="BJ113" s="840"/>
      <c r="BK113" s="840"/>
      <c r="BL113" s="840"/>
      <c r="BM113" s="840"/>
      <c r="BN113" s="840"/>
      <c r="BO113" s="840"/>
      <c r="BP113" s="840"/>
      <c r="BQ113" s="840"/>
      <c r="BR113" s="840"/>
      <c r="BS113" s="840"/>
      <c r="BT113" s="840"/>
      <c r="BU113" s="840"/>
      <c r="BV113" s="842"/>
    </row>
    <row r="114" spans="1:74" s="838" customFormat="1" x14ac:dyDescent="0.25">
      <c r="A114" s="843" t="s">
        <v>668</v>
      </c>
      <c r="B114" s="840"/>
      <c r="C114" s="841"/>
      <c r="D114" s="1025"/>
      <c r="E114" s="841"/>
      <c r="F114" s="840"/>
      <c r="G114" s="840"/>
      <c r="H114" s="840"/>
      <c r="I114" s="840"/>
      <c r="J114" s="840"/>
      <c r="K114" s="840"/>
      <c r="L114" s="840"/>
      <c r="M114" s="840"/>
      <c r="N114" s="840"/>
      <c r="O114" s="844">
        <v>30.531154999999998</v>
      </c>
      <c r="P114" s="844">
        <v>29.553346999999999</v>
      </c>
      <c r="Q114" s="844">
        <v>29.462689999999998</v>
      </c>
      <c r="R114" s="844">
        <v>29.619807999999999</v>
      </c>
      <c r="S114" s="844">
        <v>29.992000999999998</v>
      </c>
      <c r="T114" s="844">
        <v>30.137812</v>
      </c>
      <c r="U114" s="844">
        <v>30.368880999999998</v>
      </c>
      <c r="V114" s="844">
        <v>30.723389000000001</v>
      </c>
      <c r="W114" s="844">
        <v>31.014326000000001</v>
      </c>
      <c r="X114" s="844">
        <v>30.799534000000001</v>
      </c>
      <c r="Y114" s="844">
        <v>30.631943</v>
      </c>
      <c r="Z114" s="844">
        <v>30.294862999999999</v>
      </c>
      <c r="AA114" s="844">
        <v>30.159492</v>
      </c>
      <c r="AB114" s="844">
        <v>30.497467</v>
      </c>
      <c r="AC114" s="844">
        <v>30.549484</v>
      </c>
      <c r="AD114" s="844">
        <v>30.628119000000002</v>
      </c>
      <c r="AE114" s="844">
        <v>30.831617000000001</v>
      </c>
      <c r="AF114" s="844">
        <v>30.906943999999999</v>
      </c>
      <c r="AG114" s="844">
        <v>31.016119</v>
      </c>
      <c r="AH114" s="844">
        <v>31.259630000000001</v>
      </c>
      <c r="AI114" s="844">
        <v>31.506346000000001</v>
      </c>
      <c r="AJ114" s="844">
        <v>31.548763000000001</v>
      </c>
      <c r="AK114" s="844">
        <v>31.537307999999999</v>
      </c>
      <c r="AL114" s="844">
        <v>31.727125000000001</v>
      </c>
      <c r="AM114" s="844">
        <v>31.983875000000001</v>
      </c>
      <c r="AN114" s="844">
        <v>32.252009999999999</v>
      </c>
      <c r="AO114" s="844">
        <v>32.456364000000001</v>
      </c>
      <c r="AP114" s="844">
        <v>32.526015999999998</v>
      </c>
      <c r="AQ114" s="844">
        <v>32.747635000000002</v>
      </c>
      <c r="AR114" s="844">
        <v>33.007354999999997</v>
      </c>
      <c r="AS114" s="840"/>
      <c r="AT114" s="840"/>
      <c r="AU114" s="840"/>
      <c r="AV114" s="840"/>
      <c r="AW114" s="840"/>
      <c r="AX114" s="840"/>
      <c r="AY114" s="840"/>
      <c r="AZ114" s="840"/>
      <c r="BA114" s="840"/>
      <c r="BB114" s="840"/>
      <c r="BC114" s="840"/>
      <c r="BD114" s="840"/>
      <c r="BE114" s="840"/>
      <c r="BF114" s="840"/>
      <c r="BG114" s="840"/>
      <c r="BH114" s="840"/>
      <c r="BI114" s="840"/>
      <c r="BJ114" s="840"/>
      <c r="BK114" s="840"/>
      <c r="BL114" s="840"/>
      <c r="BM114" s="840"/>
      <c r="BN114" s="840"/>
      <c r="BO114" s="840"/>
      <c r="BP114" s="840"/>
      <c r="BQ114" s="840"/>
      <c r="BR114" s="840"/>
      <c r="BS114" s="840"/>
      <c r="BT114" s="840"/>
      <c r="BU114" s="840"/>
      <c r="BV114" s="842"/>
    </row>
    <row r="115" spans="1:74" s="838" customFormat="1" x14ac:dyDescent="0.25">
      <c r="A115" s="843" t="s">
        <v>683</v>
      </c>
      <c r="B115" s="840"/>
      <c r="C115" s="841"/>
      <c r="D115" s="1025"/>
      <c r="E115" s="841"/>
      <c r="F115" s="840"/>
      <c r="G115" s="840"/>
      <c r="H115" s="840"/>
      <c r="I115" s="840"/>
      <c r="J115" s="840"/>
      <c r="K115" s="840"/>
      <c r="L115" s="840"/>
      <c r="M115" s="840"/>
      <c r="N115" s="840"/>
      <c r="O115" s="844">
        <v>20.348036</v>
      </c>
      <c r="P115" s="844">
        <v>19.495602000000002</v>
      </c>
      <c r="Q115" s="844">
        <v>20.081951</v>
      </c>
      <c r="R115" s="844">
        <v>19.872589000000001</v>
      </c>
      <c r="S115" s="844">
        <v>20.106300000000001</v>
      </c>
      <c r="T115" s="844">
        <v>20.110336</v>
      </c>
      <c r="U115" s="844">
        <v>20.286434</v>
      </c>
      <c r="V115" s="844">
        <v>20.591933999999998</v>
      </c>
      <c r="W115" s="844">
        <v>20.859487999999999</v>
      </c>
      <c r="X115" s="844">
        <v>20.769625000000001</v>
      </c>
      <c r="Y115" s="844">
        <v>20.751276000000001</v>
      </c>
      <c r="Z115" s="844">
        <v>20.654140000000002</v>
      </c>
      <c r="AA115" s="844">
        <v>20.663025000000001</v>
      </c>
      <c r="AB115" s="844">
        <v>20.946209</v>
      </c>
      <c r="AC115" s="844">
        <v>21.079236999999999</v>
      </c>
      <c r="AD115" s="844">
        <v>21.236912</v>
      </c>
      <c r="AE115" s="844">
        <v>21.461658</v>
      </c>
      <c r="AF115" s="844">
        <v>21.586451</v>
      </c>
      <c r="AG115" s="844">
        <v>21.737777999999999</v>
      </c>
      <c r="AH115" s="844">
        <v>21.988303999999999</v>
      </c>
      <c r="AI115" s="844">
        <v>22.237325999999999</v>
      </c>
      <c r="AJ115" s="844">
        <v>22.342414999999999</v>
      </c>
      <c r="AK115" s="844">
        <v>22.437189</v>
      </c>
      <c r="AL115" s="844">
        <v>22.654578999999998</v>
      </c>
      <c r="AM115" s="844">
        <v>22.911854000000002</v>
      </c>
      <c r="AN115" s="844">
        <v>23.191139</v>
      </c>
      <c r="AO115" s="844">
        <v>23.409314999999999</v>
      </c>
      <c r="AP115" s="844">
        <v>23.521646</v>
      </c>
      <c r="AQ115" s="844">
        <v>23.76399</v>
      </c>
      <c r="AR115" s="844">
        <v>24.052772999999998</v>
      </c>
      <c r="AS115" s="840"/>
      <c r="AT115" s="840"/>
      <c r="AU115" s="840"/>
      <c r="AV115" s="840"/>
      <c r="AW115" s="840"/>
      <c r="AX115" s="840"/>
      <c r="AY115" s="840"/>
      <c r="AZ115" s="840"/>
      <c r="BA115" s="840"/>
      <c r="BB115" s="840"/>
      <c r="BC115" s="840"/>
      <c r="BD115" s="840"/>
      <c r="BE115" s="840"/>
      <c r="BF115" s="840"/>
      <c r="BG115" s="840"/>
      <c r="BH115" s="840"/>
      <c r="BI115" s="840"/>
      <c r="BJ115" s="840"/>
      <c r="BK115" s="840"/>
      <c r="BL115" s="840"/>
      <c r="BM115" s="840"/>
      <c r="BN115" s="840"/>
      <c r="BO115" s="840"/>
      <c r="BP115" s="840"/>
      <c r="BQ115" s="840"/>
      <c r="BR115" s="840"/>
      <c r="BS115" s="840"/>
      <c r="BT115" s="840"/>
      <c r="BU115" s="840"/>
      <c r="BV115" s="842"/>
    </row>
    <row r="116" spans="1:74" s="838" customFormat="1" ht="13.8" thickBot="1" x14ac:dyDescent="0.3">
      <c r="A116" s="847" t="s">
        <v>669</v>
      </c>
      <c r="B116" s="848"/>
      <c r="C116" s="849"/>
      <c r="D116" s="849"/>
      <c r="E116" s="849"/>
      <c r="F116" s="848"/>
      <c r="G116" s="848"/>
      <c r="H116" s="848"/>
      <c r="I116" s="848"/>
      <c r="J116" s="848"/>
      <c r="K116" s="848"/>
      <c r="L116" s="848"/>
      <c r="M116" s="848"/>
      <c r="N116" s="848"/>
      <c r="O116" s="850">
        <v>34.952885000000002</v>
      </c>
      <c r="P116" s="850">
        <v>34.831184</v>
      </c>
      <c r="Q116" s="850">
        <v>34.015979999999999</v>
      </c>
      <c r="R116" s="850">
        <v>34.409668000000003</v>
      </c>
      <c r="S116" s="850">
        <v>34.941752999999999</v>
      </c>
      <c r="T116" s="850">
        <v>35.163139000000001</v>
      </c>
      <c r="U116" s="850">
        <v>35.519157</v>
      </c>
      <c r="V116" s="850">
        <v>35.913296000000003</v>
      </c>
      <c r="W116" s="850">
        <v>36.178234000000003</v>
      </c>
      <c r="X116" s="850">
        <v>36.146892999999999</v>
      </c>
      <c r="Y116" s="850">
        <v>36.061802</v>
      </c>
      <c r="Z116" s="850">
        <v>35.804130999999998</v>
      </c>
      <c r="AA116" s="850">
        <v>35.695621000000003</v>
      </c>
      <c r="AB116" s="850">
        <v>36.040774999999996</v>
      </c>
      <c r="AC116" s="850">
        <v>36.141415000000002</v>
      </c>
      <c r="AD116" s="850">
        <v>36.246937000000003</v>
      </c>
      <c r="AE116" s="850">
        <v>36.470740999999997</v>
      </c>
      <c r="AF116" s="850">
        <v>36.579631999999997</v>
      </c>
      <c r="AG116" s="850">
        <v>36.725307000000001</v>
      </c>
      <c r="AH116" s="850">
        <v>36.981831</v>
      </c>
      <c r="AI116" s="850">
        <v>37.256236999999999</v>
      </c>
      <c r="AJ116" s="850">
        <v>37.335673999999997</v>
      </c>
      <c r="AK116" s="850">
        <v>37.369007000000003</v>
      </c>
      <c r="AL116" s="850">
        <v>37.567386999999997</v>
      </c>
      <c r="AM116" s="850">
        <v>37.817901999999997</v>
      </c>
      <c r="AN116" s="850">
        <v>38.082256000000001</v>
      </c>
      <c r="AO116" s="850">
        <v>38.298912000000001</v>
      </c>
      <c r="AP116" s="850">
        <v>38.369354000000001</v>
      </c>
      <c r="AQ116" s="850">
        <v>38.582217999999997</v>
      </c>
      <c r="AR116" s="850">
        <v>38.834609999999998</v>
      </c>
      <c r="AS116" s="848"/>
      <c r="AT116" s="848"/>
      <c r="AU116" s="848"/>
      <c r="AV116" s="848"/>
      <c r="AW116" s="848"/>
      <c r="AX116" s="848"/>
      <c r="AY116" s="848"/>
      <c r="AZ116" s="848"/>
      <c r="BA116" s="848"/>
      <c r="BB116" s="848"/>
      <c r="BC116" s="848"/>
      <c r="BD116" s="848"/>
      <c r="BE116" s="848"/>
      <c r="BF116" s="848"/>
      <c r="BG116" s="848"/>
      <c r="BH116" s="848"/>
      <c r="BI116" s="848"/>
      <c r="BJ116" s="848"/>
      <c r="BK116" s="848"/>
      <c r="BL116" s="848"/>
      <c r="BM116" s="848"/>
      <c r="BN116" s="848"/>
      <c r="BO116" s="848"/>
      <c r="BP116" s="848"/>
      <c r="BQ116" s="848"/>
      <c r="BR116" s="848"/>
      <c r="BS116" s="848"/>
      <c r="BT116" s="848"/>
      <c r="BU116" s="848"/>
      <c r="BV116" s="851"/>
    </row>
    <row r="129" spans="1:104" ht="13.8" thickBot="1" x14ac:dyDescent="0.3"/>
    <row r="130" spans="1:104" x14ac:dyDescent="0.25">
      <c r="A130" s="1054" t="s">
        <v>1187</v>
      </c>
      <c r="B130" s="1055" t="s">
        <v>1186</v>
      </c>
      <c r="C130" s="1055"/>
      <c r="D130" s="1056"/>
      <c r="E130" s="1055"/>
      <c r="F130" s="802"/>
      <c r="G130" s="802"/>
      <c r="H130" s="802"/>
      <c r="I130" s="802"/>
      <c r="J130" s="802"/>
      <c r="K130" s="802"/>
      <c r="L130" s="802"/>
      <c r="M130" s="802"/>
      <c r="N130" s="802"/>
      <c r="O130" s="802"/>
      <c r="P130" s="802"/>
      <c r="Q130" s="802"/>
      <c r="R130" s="802"/>
      <c r="S130" s="802"/>
      <c r="T130" s="802"/>
      <c r="U130" s="802"/>
      <c r="V130" s="802"/>
      <c r="W130" s="802"/>
      <c r="X130" s="802"/>
      <c r="Y130" s="802"/>
      <c r="Z130" s="802"/>
      <c r="AA130" s="802"/>
      <c r="AB130" s="802"/>
      <c r="AC130" s="802"/>
      <c r="AD130" s="802"/>
      <c r="AE130" s="802"/>
      <c r="AF130" s="802"/>
      <c r="AG130" s="802"/>
      <c r="AH130" s="802"/>
      <c r="AI130" s="802"/>
      <c r="AJ130" s="802"/>
      <c r="AK130" s="802"/>
      <c r="AL130" s="802"/>
      <c r="AM130" s="802"/>
      <c r="AN130" s="802"/>
      <c r="AO130" s="802"/>
      <c r="AP130" s="802"/>
      <c r="AQ130" s="802"/>
      <c r="AR130" s="802"/>
      <c r="AS130" s="1057"/>
      <c r="AT130" s="1057"/>
      <c r="AU130" s="1057"/>
      <c r="AV130" s="1057"/>
      <c r="AW130" s="1057"/>
      <c r="AX130" s="1057"/>
      <c r="AY130" s="1057"/>
      <c r="AZ130" s="1057"/>
      <c r="BA130" s="1057"/>
      <c r="BB130" s="1058" t="s">
        <v>1188</v>
      </c>
      <c r="BC130" s="1059"/>
      <c r="BD130" s="1059"/>
      <c r="BE130" s="1059"/>
      <c r="BF130" s="1059"/>
      <c r="BG130" s="1059"/>
      <c r="BH130" s="1059"/>
      <c r="BI130" s="1059"/>
      <c r="BJ130" s="1059"/>
      <c r="BK130" s="1059"/>
      <c r="BL130" s="1059"/>
      <c r="BM130" s="1059"/>
      <c r="BN130" s="1059"/>
      <c r="BO130" s="1059"/>
      <c r="BP130" s="1059"/>
      <c r="BQ130" s="1059"/>
      <c r="BR130" s="1059"/>
      <c r="BS130" s="1059"/>
      <c r="BT130" s="1059"/>
      <c r="BU130" s="1059"/>
      <c r="BV130" s="1059"/>
      <c r="BW130" s="1059"/>
      <c r="BX130" s="1059"/>
      <c r="BY130" s="1059"/>
      <c r="BZ130" s="1059"/>
      <c r="CA130" s="1059"/>
      <c r="CB130" s="1059"/>
      <c r="CC130" s="1059"/>
      <c r="CD130" s="1059"/>
      <c r="CE130" s="1059"/>
      <c r="CF130" s="1059"/>
      <c r="CG130" s="1059"/>
      <c r="CH130" s="1059"/>
      <c r="CI130" s="1059"/>
      <c r="CJ130" s="1059"/>
      <c r="CK130" s="1059"/>
      <c r="CL130" s="1059"/>
      <c r="CM130" s="1059"/>
      <c r="CN130" s="1059"/>
      <c r="CO130" s="1059"/>
      <c r="CP130" s="1059"/>
      <c r="CQ130" s="1059"/>
      <c r="CR130" s="1059"/>
      <c r="CS130" s="1059"/>
      <c r="CT130" s="1059"/>
      <c r="CU130" s="1059"/>
      <c r="CV130" s="1059"/>
      <c r="CW130" s="1059"/>
      <c r="CX130" s="1059"/>
      <c r="CY130" s="1059"/>
      <c r="CZ130" s="1060"/>
    </row>
    <row r="131" spans="1:104" ht="40.200000000000003" thickBot="1" x14ac:dyDescent="0.3">
      <c r="A131" s="1061" t="s">
        <v>1057</v>
      </c>
      <c r="B131" s="908" t="s">
        <v>663</v>
      </c>
      <c r="C131" s="908" t="s">
        <v>664</v>
      </c>
      <c r="D131" s="1028" t="s">
        <v>675</v>
      </c>
      <c r="E131" s="908" t="s">
        <v>676</v>
      </c>
      <c r="F131" s="909" t="s">
        <v>665</v>
      </c>
      <c r="G131" s="909" t="s">
        <v>677</v>
      </c>
      <c r="H131" s="742">
        <v>2004</v>
      </c>
      <c r="I131" s="742">
        <f>+H131+1</f>
        <v>2005</v>
      </c>
      <c r="J131" s="742">
        <f t="shared" ref="J131:BU131" si="265">+I131+1</f>
        <v>2006</v>
      </c>
      <c r="K131" s="742">
        <f t="shared" si="265"/>
        <v>2007</v>
      </c>
      <c r="L131" s="742">
        <f t="shared" si="265"/>
        <v>2008</v>
      </c>
      <c r="M131" s="742">
        <f t="shared" si="265"/>
        <v>2009</v>
      </c>
      <c r="N131" s="742">
        <f t="shared" si="265"/>
        <v>2010</v>
      </c>
      <c r="O131" s="742">
        <f t="shared" si="265"/>
        <v>2011</v>
      </c>
      <c r="P131" s="742">
        <f t="shared" si="265"/>
        <v>2012</v>
      </c>
      <c r="Q131" s="742">
        <f t="shared" si="265"/>
        <v>2013</v>
      </c>
      <c r="R131" s="742">
        <f t="shared" si="265"/>
        <v>2014</v>
      </c>
      <c r="S131" s="742">
        <f t="shared" si="265"/>
        <v>2015</v>
      </c>
      <c r="T131" s="742">
        <f t="shared" si="265"/>
        <v>2016</v>
      </c>
      <c r="U131" s="742">
        <f t="shared" si="265"/>
        <v>2017</v>
      </c>
      <c r="V131" s="742">
        <f t="shared" si="265"/>
        <v>2018</v>
      </c>
      <c r="W131" s="742">
        <f t="shared" si="265"/>
        <v>2019</v>
      </c>
      <c r="X131" s="742">
        <f t="shared" si="265"/>
        <v>2020</v>
      </c>
      <c r="Y131" s="742">
        <f t="shared" si="265"/>
        <v>2021</v>
      </c>
      <c r="Z131" s="742">
        <f t="shared" si="265"/>
        <v>2022</v>
      </c>
      <c r="AA131" s="742">
        <f t="shared" si="265"/>
        <v>2023</v>
      </c>
      <c r="AB131" s="742">
        <f t="shared" si="265"/>
        <v>2024</v>
      </c>
      <c r="AC131" s="742">
        <f t="shared" si="265"/>
        <v>2025</v>
      </c>
      <c r="AD131" s="742">
        <f t="shared" si="265"/>
        <v>2026</v>
      </c>
      <c r="AE131" s="742">
        <f t="shared" si="265"/>
        <v>2027</v>
      </c>
      <c r="AF131" s="742">
        <f t="shared" si="265"/>
        <v>2028</v>
      </c>
      <c r="AG131" s="742">
        <f t="shared" si="265"/>
        <v>2029</v>
      </c>
      <c r="AH131" s="742">
        <f t="shared" si="265"/>
        <v>2030</v>
      </c>
      <c r="AI131" s="742">
        <f t="shared" si="265"/>
        <v>2031</v>
      </c>
      <c r="AJ131" s="742">
        <f t="shared" si="265"/>
        <v>2032</v>
      </c>
      <c r="AK131" s="742">
        <f t="shared" si="265"/>
        <v>2033</v>
      </c>
      <c r="AL131" s="742">
        <f t="shared" si="265"/>
        <v>2034</v>
      </c>
      <c r="AM131" s="742">
        <f t="shared" si="265"/>
        <v>2035</v>
      </c>
      <c r="AN131" s="742">
        <f t="shared" si="265"/>
        <v>2036</v>
      </c>
      <c r="AO131" s="742">
        <f t="shared" si="265"/>
        <v>2037</v>
      </c>
      <c r="AP131" s="742">
        <f t="shared" si="265"/>
        <v>2038</v>
      </c>
      <c r="AQ131" s="742">
        <f t="shared" si="265"/>
        <v>2039</v>
      </c>
      <c r="AR131" s="742">
        <f t="shared" si="265"/>
        <v>2040</v>
      </c>
      <c r="AS131" s="742">
        <f t="shared" si="265"/>
        <v>2041</v>
      </c>
      <c r="AT131" s="742">
        <f t="shared" si="265"/>
        <v>2042</v>
      </c>
      <c r="AU131" s="742">
        <f t="shared" si="265"/>
        <v>2043</v>
      </c>
      <c r="AV131" s="742">
        <f t="shared" si="265"/>
        <v>2044</v>
      </c>
      <c r="AW131" s="742">
        <f t="shared" si="265"/>
        <v>2045</v>
      </c>
      <c r="AX131" s="742">
        <f t="shared" si="265"/>
        <v>2046</v>
      </c>
      <c r="AY131" s="742">
        <f t="shared" si="265"/>
        <v>2047</v>
      </c>
      <c r="AZ131" s="742">
        <f t="shared" si="265"/>
        <v>2048</v>
      </c>
      <c r="BA131" s="742">
        <f t="shared" si="265"/>
        <v>2049</v>
      </c>
      <c r="BB131" s="742">
        <f t="shared" si="265"/>
        <v>2050</v>
      </c>
      <c r="BC131" s="742">
        <f t="shared" si="265"/>
        <v>2051</v>
      </c>
      <c r="BD131" s="742">
        <f t="shared" si="265"/>
        <v>2052</v>
      </c>
      <c r="BE131" s="742">
        <f t="shared" si="265"/>
        <v>2053</v>
      </c>
      <c r="BF131" s="742">
        <f t="shared" si="265"/>
        <v>2054</v>
      </c>
      <c r="BG131" s="742">
        <f t="shared" si="265"/>
        <v>2055</v>
      </c>
      <c r="BH131" s="742">
        <f t="shared" si="265"/>
        <v>2056</v>
      </c>
      <c r="BI131" s="742">
        <f t="shared" si="265"/>
        <v>2057</v>
      </c>
      <c r="BJ131" s="742">
        <f t="shared" si="265"/>
        <v>2058</v>
      </c>
      <c r="BK131" s="742">
        <f t="shared" si="265"/>
        <v>2059</v>
      </c>
      <c r="BL131" s="742">
        <f t="shared" si="265"/>
        <v>2060</v>
      </c>
      <c r="BM131" s="742">
        <f t="shared" si="265"/>
        <v>2061</v>
      </c>
      <c r="BN131" s="742">
        <f t="shared" si="265"/>
        <v>2062</v>
      </c>
      <c r="BO131" s="742">
        <f t="shared" si="265"/>
        <v>2063</v>
      </c>
      <c r="BP131" s="742">
        <f t="shared" si="265"/>
        <v>2064</v>
      </c>
      <c r="BQ131" s="742">
        <f t="shared" si="265"/>
        <v>2065</v>
      </c>
      <c r="BR131" s="742">
        <f t="shared" si="265"/>
        <v>2066</v>
      </c>
      <c r="BS131" s="742">
        <f t="shared" si="265"/>
        <v>2067</v>
      </c>
      <c r="BT131" s="742">
        <f t="shared" si="265"/>
        <v>2068</v>
      </c>
      <c r="BU131" s="742">
        <f t="shared" si="265"/>
        <v>2069</v>
      </c>
      <c r="BV131" s="742">
        <f t="shared" ref="BV131:CZ131" si="266">+BU131+1</f>
        <v>2070</v>
      </c>
      <c r="BW131" s="742">
        <f t="shared" si="266"/>
        <v>2071</v>
      </c>
      <c r="BX131" s="742">
        <f t="shared" si="266"/>
        <v>2072</v>
      </c>
      <c r="BY131" s="742">
        <f t="shared" si="266"/>
        <v>2073</v>
      </c>
      <c r="BZ131" s="742">
        <f t="shared" si="266"/>
        <v>2074</v>
      </c>
      <c r="CA131" s="742">
        <f t="shared" si="266"/>
        <v>2075</v>
      </c>
      <c r="CB131" s="742">
        <f t="shared" si="266"/>
        <v>2076</v>
      </c>
      <c r="CC131" s="742">
        <f t="shared" si="266"/>
        <v>2077</v>
      </c>
      <c r="CD131" s="742">
        <f t="shared" si="266"/>
        <v>2078</v>
      </c>
      <c r="CE131" s="742">
        <f t="shared" si="266"/>
        <v>2079</v>
      </c>
      <c r="CF131" s="742">
        <f t="shared" si="266"/>
        <v>2080</v>
      </c>
      <c r="CG131" s="742">
        <f t="shared" si="266"/>
        <v>2081</v>
      </c>
      <c r="CH131" s="742">
        <f t="shared" si="266"/>
        <v>2082</v>
      </c>
      <c r="CI131" s="742">
        <f t="shared" si="266"/>
        <v>2083</v>
      </c>
      <c r="CJ131" s="742">
        <f t="shared" si="266"/>
        <v>2084</v>
      </c>
      <c r="CK131" s="742">
        <f t="shared" si="266"/>
        <v>2085</v>
      </c>
      <c r="CL131" s="742">
        <f t="shared" si="266"/>
        <v>2086</v>
      </c>
      <c r="CM131" s="742">
        <f t="shared" si="266"/>
        <v>2087</v>
      </c>
      <c r="CN131" s="742">
        <f t="shared" si="266"/>
        <v>2088</v>
      </c>
      <c r="CO131" s="742">
        <f t="shared" si="266"/>
        <v>2089</v>
      </c>
      <c r="CP131" s="742">
        <f t="shared" si="266"/>
        <v>2090</v>
      </c>
      <c r="CQ131" s="742">
        <f t="shared" si="266"/>
        <v>2091</v>
      </c>
      <c r="CR131" s="742">
        <f t="shared" si="266"/>
        <v>2092</v>
      </c>
      <c r="CS131" s="742">
        <f t="shared" si="266"/>
        <v>2093</v>
      </c>
      <c r="CT131" s="742">
        <f t="shared" si="266"/>
        <v>2094</v>
      </c>
      <c r="CU131" s="742">
        <f t="shared" si="266"/>
        <v>2095</v>
      </c>
      <c r="CV131" s="742">
        <f t="shared" si="266"/>
        <v>2096</v>
      </c>
      <c r="CW131" s="742">
        <f t="shared" si="266"/>
        <v>2097</v>
      </c>
      <c r="CX131" s="742">
        <f t="shared" si="266"/>
        <v>2098</v>
      </c>
      <c r="CY131" s="742">
        <f t="shared" si="266"/>
        <v>2099</v>
      </c>
      <c r="CZ131" s="1062">
        <f t="shared" si="266"/>
        <v>2100</v>
      </c>
    </row>
    <row r="132" spans="1:104" ht="13.8" thickBot="1" x14ac:dyDescent="0.3">
      <c r="A132" s="1063" t="s">
        <v>1063</v>
      </c>
      <c r="B132" s="724"/>
      <c r="C132" s="724"/>
      <c r="D132" s="1029"/>
      <c r="E132" s="724"/>
      <c r="F132" s="724"/>
      <c r="G132" s="724"/>
      <c r="H132" s="802"/>
      <c r="I132" s="802"/>
      <c r="J132" s="802"/>
      <c r="K132" s="802"/>
      <c r="L132" s="802"/>
      <c r="M132" s="802"/>
      <c r="N132" s="802"/>
      <c r="O132" s="802"/>
      <c r="P132" s="802"/>
      <c r="Q132" s="802"/>
      <c r="R132" s="802"/>
      <c r="S132" s="802"/>
      <c r="T132" s="802"/>
      <c r="U132" s="802"/>
      <c r="V132" s="802"/>
      <c r="W132" s="802"/>
      <c r="X132" s="802"/>
      <c r="Y132" s="802"/>
      <c r="Z132" s="802"/>
      <c r="AA132" s="802"/>
      <c r="AB132" s="802"/>
      <c r="AC132" s="802"/>
      <c r="AD132" s="802"/>
      <c r="AE132" s="802"/>
      <c r="AF132" s="802"/>
      <c r="AG132" s="802"/>
      <c r="AH132" s="802"/>
      <c r="AI132" s="802"/>
      <c r="AJ132" s="802"/>
      <c r="AK132" s="802"/>
      <c r="AL132" s="802"/>
      <c r="AM132" s="802"/>
      <c r="AN132" s="802"/>
      <c r="AO132" s="802"/>
      <c r="AP132" s="802"/>
      <c r="AQ132" s="802"/>
      <c r="AR132" s="802"/>
      <c r="AS132" s="802"/>
      <c r="AT132" s="802"/>
      <c r="AU132" s="802"/>
      <c r="AV132" s="802"/>
      <c r="AW132" s="802"/>
      <c r="AX132" s="802"/>
      <c r="AY132" s="802"/>
      <c r="AZ132" s="802"/>
      <c r="BA132" s="802"/>
      <c r="BB132" s="802"/>
      <c r="BC132" s="802"/>
      <c r="BD132" s="802"/>
      <c r="BE132" s="802"/>
      <c r="BF132" s="802"/>
      <c r="BG132" s="802"/>
      <c r="BH132" s="802"/>
      <c r="BI132" s="802"/>
      <c r="BJ132" s="802"/>
      <c r="BK132" s="802"/>
      <c r="BL132" s="802"/>
      <c r="BM132" s="802"/>
      <c r="BN132" s="802"/>
      <c r="BO132" s="802"/>
      <c r="BP132" s="802"/>
      <c r="BQ132" s="802"/>
      <c r="BR132" s="802"/>
      <c r="BS132" s="802"/>
      <c r="BT132" s="802"/>
      <c r="BU132" s="802"/>
      <c r="BV132" s="802"/>
      <c r="BW132" s="802"/>
      <c r="BX132" s="802"/>
      <c r="BY132" s="802"/>
      <c r="BZ132" s="802"/>
      <c r="CA132" s="802"/>
      <c r="CB132" s="802"/>
      <c r="CC132" s="802"/>
      <c r="CD132" s="802"/>
      <c r="CE132" s="802"/>
      <c r="CF132" s="802"/>
      <c r="CG132" s="802"/>
      <c r="CH132" s="802"/>
      <c r="CI132" s="802"/>
      <c r="CJ132" s="802"/>
      <c r="CK132" s="802"/>
      <c r="CL132" s="802"/>
      <c r="CM132" s="802"/>
      <c r="CN132" s="802"/>
      <c r="CO132" s="802"/>
      <c r="CP132" s="802"/>
      <c r="CQ132" s="802"/>
      <c r="CR132" s="802"/>
      <c r="CS132" s="802"/>
      <c r="CT132" s="802"/>
      <c r="CU132" s="802"/>
      <c r="CV132" s="802"/>
      <c r="CW132" s="802"/>
      <c r="CX132" s="802"/>
      <c r="CY132" s="802"/>
      <c r="CZ132" s="1064"/>
    </row>
    <row r="133" spans="1:104" x14ac:dyDescent="0.25">
      <c r="A133" s="1065" t="s">
        <v>666</v>
      </c>
      <c r="B133" s="254">
        <v>2016</v>
      </c>
      <c r="C133" s="727">
        <f t="shared" ref="C133:C141" si="267">VLOOKUP(ref_year,DeflatorTable,2,FALSE)/VLOOKUP(B133,DeflatorTable,2,FALSE)</f>
        <v>1</v>
      </c>
      <c r="D133" s="1030" t="s">
        <v>843</v>
      </c>
      <c r="E133" s="727" t="s">
        <v>1031</v>
      </c>
      <c r="F133" s="254">
        <v>47.141269049911173</v>
      </c>
      <c r="G133" s="254">
        <v>52.224661236371581</v>
      </c>
      <c r="H133" s="853">
        <v>13.604875014867702</v>
      </c>
      <c r="I133" s="853">
        <v>15.571757228276402</v>
      </c>
      <c r="J133" s="853">
        <v>16.331995797204218</v>
      </c>
      <c r="K133" s="853">
        <v>15.155672177020728</v>
      </c>
      <c r="L133" s="853">
        <v>15.783516201764996</v>
      </c>
      <c r="M133" s="853">
        <v>13.69149010361817</v>
      </c>
      <c r="N133" s="853">
        <v>12.691188457250465</v>
      </c>
      <c r="O133" s="802">
        <v>12.04142243701838</v>
      </c>
      <c r="P133" s="802">
        <v>11.415954621928984</v>
      </c>
      <c r="Q133" s="802">
        <v>10.886628367710442</v>
      </c>
      <c r="R133" s="802">
        <v>11.368469484946878</v>
      </c>
      <c r="S133" s="802">
        <v>9.7183315387998359</v>
      </c>
      <c r="T133" s="802">
        <v>9.390001099467705</v>
      </c>
      <c r="U133" s="802">
        <v>10.023002570479671</v>
      </c>
      <c r="V133" s="802">
        <v>10.033707215541167</v>
      </c>
      <c r="W133" s="802">
        <v>10.158951752324048</v>
      </c>
      <c r="X133" s="802">
        <v>10.289627280447673</v>
      </c>
      <c r="Y133" s="802">
        <v>10.38663350570965</v>
      </c>
      <c r="Z133" s="802">
        <v>10.458822090960101</v>
      </c>
      <c r="AA133" s="802">
        <v>10.541361785535555</v>
      </c>
      <c r="AB133" s="802">
        <v>10.671303703310535</v>
      </c>
      <c r="AC133" s="802">
        <v>10.821196220864106</v>
      </c>
      <c r="AD133" s="802">
        <v>10.961130973142659</v>
      </c>
      <c r="AE133" s="802">
        <v>11.387951919139837</v>
      </c>
      <c r="AF133" s="802">
        <v>11.524366479125279</v>
      </c>
      <c r="AG133" s="802">
        <v>11.653679994237272</v>
      </c>
      <c r="AH133" s="802">
        <v>11.727599293307653</v>
      </c>
      <c r="AI133" s="802">
        <v>11.827238554162054</v>
      </c>
      <c r="AJ133" s="802">
        <v>11.877874728924342</v>
      </c>
      <c r="AK133" s="802">
        <v>11.891573527850655</v>
      </c>
      <c r="AL133" s="802">
        <v>11.9827791131466</v>
      </c>
      <c r="AM133" s="802">
        <v>12.163475682807357</v>
      </c>
      <c r="AN133" s="802">
        <v>12.259449735369497</v>
      </c>
      <c r="AO133" s="802">
        <v>12.356256919064013</v>
      </c>
      <c r="AP133" s="802">
        <v>12.41256198723101</v>
      </c>
      <c r="AQ133" s="802">
        <v>12.490714236969412</v>
      </c>
      <c r="AR133" s="802">
        <v>12.496378391289182</v>
      </c>
      <c r="AS133" s="802">
        <v>12.55376491863939</v>
      </c>
      <c r="AT133" s="802">
        <v>12.651412816002184</v>
      </c>
      <c r="AU133" s="802">
        <v>12.770777096192051</v>
      </c>
      <c r="AV133" s="802">
        <v>12.886454368298935</v>
      </c>
      <c r="AW133" s="802">
        <v>13.010888521557151</v>
      </c>
      <c r="AX133" s="802">
        <v>13.118997475015544</v>
      </c>
      <c r="AY133" s="802">
        <v>13.217679440712152</v>
      </c>
      <c r="AZ133" s="802">
        <v>13.363983523149482</v>
      </c>
      <c r="BA133" s="802">
        <v>13.453606254075613</v>
      </c>
      <c r="BB133" s="802">
        <v>13.593337225701765</v>
      </c>
      <c r="BC133" s="802">
        <v>13.668907227280409</v>
      </c>
      <c r="BD133" s="802">
        <v>13.744897348292845</v>
      </c>
      <c r="BE133" s="802">
        <v>13.821309924326409</v>
      </c>
      <c r="BF133" s="802">
        <v>13.898147303952761</v>
      </c>
      <c r="BG133" s="802">
        <v>13.975411848800078</v>
      </c>
      <c r="BH133" s="802">
        <v>14.050424531225174</v>
      </c>
      <c r="BI133" s="802">
        <v>14.12583984239463</v>
      </c>
      <c r="BJ133" s="802">
        <v>14.201659943408417</v>
      </c>
      <c r="BK133" s="802">
        <v>14.277887006966159</v>
      </c>
      <c r="BL133" s="802">
        <v>14.354523217429389</v>
      </c>
      <c r="BM133" s="802">
        <v>14.422221698840277</v>
      </c>
      <c r="BN133" s="802">
        <v>14.490239458315362</v>
      </c>
      <c r="BO133" s="802">
        <v>14.558578001626712</v>
      </c>
      <c r="BP133" s="802">
        <v>14.627238841647882</v>
      </c>
      <c r="BQ133" s="802">
        <v>14.696223498387408</v>
      </c>
      <c r="BR133" s="802">
        <v>14.75529333521281</v>
      </c>
      <c r="BS133" s="802">
        <v>14.814600596681556</v>
      </c>
      <c r="BT133" s="802">
        <v>14.874146237095607</v>
      </c>
      <c r="BU133" s="802">
        <v>14.933931214592636</v>
      </c>
      <c r="BV133" s="802">
        <v>14.993956491161448</v>
      </c>
      <c r="BW133" s="802">
        <v>15.043740835540882</v>
      </c>
      <c r="BX133" s="802">
        <v>15.093690478582264</v>
      </c>
      <c r="BY133" s="802">
        <v>15.143805969125756</v>
      </c>
      <c r="BZ133" s="802">
        <v>15.19408785783383</v>
      </c>
      <c r="CA133" s="802">
        <v>15.244536697197322</v>
      </c>
      <c r="CB133" s="802">
        <v>15.277067444573643</v>
      </c>
      <c r="CC133" s="802">
        <v>15.309667610230484</v>
      </c>
      <c r="CD133" s="802">
        <v>15.342337342301477</v>
      </c>
      <c r="CE133" s="802">
        <v>15.375076789236356</v>
      </c>
      <c r="CF133" s="802">
        <v>15.407886099801638</v>
      </c>
      <c r="CG133" s="802">
        <v>15.41853907481957</v>
      </c>
      <c r="CH133" s="802">
        <v>15.42919941527855</v>
      </c>
      <c r="CI133" s="802">
        <v>15.439867126271025</v>
      </c>
      <c r="CJ133" s="802">
        <v>15.450542212892964</v>
      </c>
      <c r="CK133" s="802">
        <v>15.461224680243861</v>
      </c>
      <c r="CL133" s="802">
        <v>15.464845562477739</v>
      </c>
      <c r="CM133" s="802">
        <v>15.468467292690251</v>
      </c>
      <c r="CN133" s="802">
        <v>15.472089871079984</v>
      </c>
      <c r="CO133" s="802">
        <v>15.475713297845573</v>
      </c>
      <c r="CP133" s="802">
        <v>15.479337573185701</v>
      </c>
      <c r="CQ133" s="802">
        <v>15.484830510437597</v>
      </c>
      <c r="CR133" s="802">
        <v>15.490325396891745</v>
      </c>
      <c r="CS133" s="802">
        <v>15.49582223323983</v>
      </c>
      <c r="CT133" s="802">
        <v>15.501321020173785</v>
      </c>
      <c r="CU133" s="802">
        <v>15.506821758385787</v>
      </c>
      <c r="CV133" s="802">
        <v>15.515287417782641</v>
      </c>
      <c r="CW133" s="802">
        <v>15.523757698847955</v>
      </c>
      <c r="CX133" s="802">
        <v>15.532232604104841</v>
      </c>
      <c r="CY133" s="802">
        <v>15.540712136077792</v>
      </c>
      <c r="CZ133" s="1064">
        <v>15.549196297292674</v>
      </c>
    </row>
    <row r="134" spans="1:104" x14ac:dyDescent="0.25">
      <c r="A134" s="1065" t="s">
        <v>1058</v>
      </c>
      <c r="B134" s="254">
        <v>2016</v>
      </c>
      <c r="C134" s="727">
        <f t="shared" si="267"/>
        <v>1</v>
      </c>
      <c r="D134" s="1030" t="s">
        <v>843</v>
      </c>
      <c r="E134" s="727" t="s">
        <v>1031</v>
      </c>
      <c r="F134" s="254">
        <v>47.141269049911173</v>
      </c>
      <c r="G134" s="254">
        <v>52.224661236371581</v>
      </c>
      <c r="H134" s="854">
        <v>11.934322920018829</v>
      </c>
      <c r="I134" s="854">
        <v>13.90423046997279</v>
      </c>
      <c r="J134" s="854">
        <v>14.274140536522257</v>
      </c>
      <c r="K134" s="854">
        <v>13.139550648884942</v>
      </c>
      <c r="L134" s="854">
        <v>13.897221248926272</v>
      </c>
      <c r="M134" s="854">
        <v>11.345666428533674</v>
      </c>
      <c r="N134" s="854">
        <v>10.551848524158197</v>
      </c>
      <c r="O134" s="254">
        <v>9.7270239269114924</v>
      </c>
      <c r="P134" s="254">
        <v>8.6825570363966911</v>
      </c>
      <c r="Q134" s="254">
        <v>8.5236392646415098</v>
      </c>
      <c r="R134" s="254">
        <v>9.2232797097563566</v>
      </c>
      <c r="S134" s="254">
        <v>7.6085885488542795</v>
      </c>
      <c r="T134" s="254">
        <v>6.813801352724405</v>
      </c>
      <c r="U134" s="254">
        <v>7.4731047451509687</v>
      </c>
      <c r="V134" s="254">
        <v>7.9843107853990691</v>
      </c>
      <c r="W134" s="254">
        <v>8.5650780622071245</v>
      </c>
      <c r="X134" s="254">
        <v>9.1477570858798014</v>
      </c>
      <c r="Y134" s="254">
        <v>9.2514909161219876</v>
      </c>
      <c r="Z134" s="254">
        <v>9.3094669856386769</v>
      </c>
      <c r="AA134" s="254">
        <v>9.3761326413005577</v>
      </c>
      <c r="AB134" s="254">
        <v>9.4891655040111615</v>
      </c>
      <c r="AC134" s="254">
        <v>9.6143446414218783</v>
      </c>
      <c r="AD134" s="254">
        <v>9.7258827967425425</v>
      </c>
      <c r="AE134" s="254">
        <v>10.087086372666475</v>
      </c>
      <c r="AF134" s="254">
        <v>10.198695614261233</v>
      </c>
      <c r="AG134" s="254">
        <v>10.304737378868989</v>
      </c>
      <c r="AH134" s="254">
        <v>10.357640731866367</v>
      </c>
      <c r="AI134" s="254">
        <v>10.427655972763532</v>
      </c>
      <c r="AJ134" s="254">
        <v>10.453569289213085</v>
      </c>
      <c r="AK134" s="254">
        <v>10.441948105124277</v>
      </c>
      <c r="AL134" s="254">
        <v>10.506270757192036</v>
      </c>
      <c r="AM134" s="254">
        <v>10.658282593530579</v>
      </c>
      <c r="AN134" s="254">
        <v>10.722901912315555</v>
      </c>
      <c r="AO134" s="254">
        <v>10.786351624937444</v>
      </c>
      <c r="AP134" s="254">
        <v>10.817805879498341</v>
      </c>
      <c r="AQ134" s="254">
        <v>10.86596540847121</v>
      </c>
      <c r="AR134" s="254">
        <v>10.838793391061706</v>
      </c>
      <c r="AS134" s="254">
        <v>10.868085675073171</v>
      </c>
      <c r="AT134" s="254">
        <v>10.937640276914211</v>
      </c>
      <c r="AU134" s="254">
        <v>11.027299024885883</v>
      </c>
      <c r="AV134" s="254">
        <v>11.114692490256441</v>
      </c>
      <c r="AW134" s="254">
        <v>11.212257927541287</v>
      </c>
      <c r="AX134" s="254">
        <v>11.293368314098968</v>
      </c>
      <c r="AY134" s="254">
        <v>11.35816487466068</v>
      </c>
      <c r="AZ134" s="254">
        <v>11.46581792814789</v>
      </c>
      <c r="BA134" s="254">
        <v>11.521194135666732</v>
      </c>
      <c r="BB134" s="254">
        <v>11.628119265707223</v>
      </c>
      <c r="BC134" s="254">
        <v>11.692763949840026</v>
      </c>
      <c r="BD134" s="254">
        <v>11.757768015837698</v>
      </c>
      <c r="BE134" s="254">
        <v>11.823133461626696</v>
      </c>
      <c r="BF134" s="254">
        <v>11.888862296240635</v>
      </c>
      <c r="BG134" s="254">
        <v>11.954956539882032</v>
      </c>
      <c r="BH134" s="254">
        <v>12.019124477688386</v>
      </c>
      <c r="BI134" s="254">
        <v>12.083636835336717</v>
      </c>
      <c r="BJ134" s="254">
        <v>12.148495461492134</v>
      </c>
      <c r="BK134" s="254">
        <v>12.213702214742405</v>
      </c>
      <c r="BL134" s="254">
        <v>12.279258963651227</v>
      </c>
      <c r="BM134" s="254">
        <v>12.337170130194249</v>
      </c>
      <c r="BN134" s="254">
        <v>12.395354416085945</v>
      </c>
      <c r="BO134" s="254">
        <v>12.453813109405683</v>
      </c>
      <c r="BP134" s="254">
        <v>12.512547504307637</v>
      </c>
      <c r="BQ134" s="254">
        <v>12.571558901049444</v>
      </c>
      <c r="BR134" s="254">
        <v>12.622088884688262</v>
      </c>
      <c r="BS134" s="254">
        <v>12.672821967979766</v>
      </c>
      <c r="BT134" s="254">
        <v>12.723758967260437</v>
      </c>
      <c r="BU134" s="254">
        <v>12.774900702147928</v>
      </c>
      <c r="BV134" s="254">
        <v>12.826247995554251</v>
      </c>
      <c r="BW134" s="254">
        <v>12.868834910334423</v>
      </c>
      <c r="BX134" s="254">
        <v>12.911563226193937</v>
      </c>
      <c r="BY134" s="254">
        <v>12.954433412625956</v>
      </c>
      <c r="BZ134" s="254">
        <v>12.997445940682496</v>
      </c>
      <c r="CA134" s="254">
        <v>13.040601282979605</v>
      </c>
      <c r="CB134" s="254">
        <v>13.06842899033459</v>
      </c>
      <c r="CC134" s="254">
        <v>13.096316080020177</v>
      </c>
      <c r="CD134" s="254">
        <v>13.124262678753999</v>
      </c>
      <c r="CE134" s="254">
        <v>13.152268913524093</v>
      </c>
      <c r="CF134" s="254">
        <v>13.180334911589481</v>
      </c>
      <c r="CG134" s="254">
        <v>13.189447763127433</v>
      </c>
      <c r="CH134" s="254">
        <v>13.198566915268799</v>
      </c>
      <c r="CI134" s="254">
        <v>13.207692372369801</v>
      </c>
      <c r="CJ134" s="254">
        <v>13.216824138789674</v>
      </c>
      <c r="CK134" s="254">
        <v>13.225962218890665</v>
      </c>
      <c r="CL134" s="254">
        <v>13.22905962240266</v>
      </c>
      <c r="CM134" s="254">
        <v>13.232157751299196</v>
      </c>
      <c r="CN134" s="254">
        <v>13.23525660575015</v>
      </c>
      <c r="CO134" s="254">
        <v>13.23835618592544</v>
      </c>
      <c r="CP134" s="254">
        <v>13.241456491995026</v>
      </c>
      <c r="CQ134" s="254">
        <v>13.246155303510076</v>
      </c>
      <c r="CR134" s="254">
        <v>13.250855782427021</v>
      </c>
      <c r="CS134" s="254">
        <v>13.255557929337549</v>
      </c>
      <c r="CT134" s="254">
        <v>13.260261744833558</v>
      </c>
      <c r="CU134" s="254">
        <v>13.264967229507157</v>
      </c>
      <c r="CV134" s="254">
        <v>13.272208990341527</v>
      </c>
      <c r="CW134" s="254">
        <v>13.279454704679821</v>
      </c>
      <c r="CX134" s="254">
        <v>13.286704374680379</v>
      </c>
      <c r="CY134" s="254">
        <v>13.293958002502723</v>
      </c>
      <c r="CZ134" s="424">
        <v>13.30121559030755</v>
      </c>
    </row>
    <row r="135" spans="1:104" x14ac:dyDescent="0.25">
      <c r="A135" s="1065" t="s">
        <v>280</v>
      </c>
      <c r="B135" s="254">
        <v>2016</v>
      </c>
      <c r="C135" s="727">
        <f t="shared" si="267"/>
        <v>1</v>
      </c>
      <c r="D135" s="1030" t="s">
        <v>843</v>
      </c>
      <c r="E135" s="727" t="s">
        <v>1031</v>
      </c>
      <c r="F135" s="254">
        <v>47.141269049911173</v>
      </c>
      <c r="G135" s="254">
        <v>52.224661236371581</v>
      </c>
      <c r="H135" s="854">
        <v>8.2641705904266125</v>
      </c>
      <c r="I135" s="854">
        <v>10.495609596381577</v>
      </c>
      <c r="J135" s="854">
        <v>9.3614571685358463</v>
      </c>
      <c r="K135" s="854">
        <v>8.8987432965993278</v>
      </c>
      <c r="L135" s="854">
        <v>10.965509816201024</v>
      </c>
      <c r="M135" s="854">
        <v>6.0111731674040234</v>
      </c>
      <c r="N135" s="854">
        <v>6.1171751211856922</v>
      </c>
      <c r="O135" s="254">
        <v>5.6004077154944953</v>
      </c>
      <c r="P135" s="254">
        <v>4.1590520124961925</v>
      </c>
      <c r="Q135" s="254">
        <v>4.894763142071362</v>
      </c>
      <c r="R135" s="254">
        <v>5.8241384234641265</v>
      </c>
      <c r="S135" s="254">
        <v>3.5390282601113117</v>
      </c>
      <c r="T135" s="254">
        <v>3.3168400539876552</v>
      </c>
      <c r="U135" s="254">
        <v>3.8686572087168831</v>
      </c>
      <c r="V135" s="254">
        <v>4.230424735748624</v>
      </c>
      <c r="W135" s="254">
        <v>4.6374903322667231</v>
      </c>
      <c r="X135" s="254">
        <v>5.0398775041324821</v>
      </c>
      <c r="Y135" s="254">
        <v>5.0452222441273262</v>
      </c>
      <c r="Z135" s="254">
        <v>4.9894479534735598</v>
      </c>
      <c r="AA135" s="254">
        <v>5.0008757828968315</v>
      </c>
      <c r="AB135" s="254">
        <v>5.0866427943161305</v>
      </c>
      <c r="AC135" s="254">
        <v>5.1985543895300337</v>
      </c>
      <c r="AD135" s="254">
        <v>5.3142743134013735</v>
      </c>
      <c r="AE135" s="254">
        <v>5.4069765017212355</v>
      </c>
      <c r="AF135" s="254">
        <v>5.498883471588238</v>
      </c>
      <c r="AG135" s="254">
        <v>5.5761078084954727</v>
      </c>
      <c r="AH135" s="254">
        <v>5.5953977798334869</v>
      </c>
      <c r="AI135" s="254">
        <v>5.6194116710392619</v>
      </c>
      <c r="AJ135" s="254">
        <v>5.6053299540498323</v>
      </c>
      <c r="AK135" s="254">
        <v>5.5496627667157004</v>
      </c>
      <c r="AL135" s="254">
        <v>5.5482476759527453</v>
      </c>
      <c r="AM135" s="254">
        <v>5.6344516310034729</v>
      </c>
      <c r="AN135" s="254">
        <v>5.6381945602887429</v>
      </c>
      <c r="AO135" s="254">
        <v>5.6485162872871211</v>
      </c>
      <c r="AP135" s="254">
        <v>5.6430123140383071</v>
      </c>
      <c r="AQ135" s="254">
        <v>5.6644386648670784</v>
      </c>
      <c r="AR135" s="254">
        <v>5.6215300420072483</v>
      </c>
      <c r="AS135" s="254">
        <v>5.6260767200982693</v>
      </c>
      <c r="AT135" s="254">
        <v>5.6802473044084865</v>
      </c>
      <c r="AU135" s="254">
        <v>5.7631623345111542</v>
      </c>
      <c r="AV135" s="254">
        <v>5.819991545472468</v>
      </c>
      <c r="AW135" s="254">
        <v>5.8947240715184783</v>
      </c>
      <c r="AX135" s="254">
        <v>5.9518546882819487</v>
      </c>
      <c r="AY135" s="254">
        <v>6.0145186606208574</v>
      </c>
      <c r="AZ135" s="254">
        <v>6.1247620979360331</v>
      </c>
      <c r="BA135" s="254">
        <v>6.1606322318436177</v>
      </c>
      <c r="BB135" s="254">
        <v>6.238633778680942</v>
      </c>
      <c r="BC135" s="254">
        <v>6.2733164733478626</v>
      </c>
      <c r="BD135" s="254">
        <v>6.3081919809530058</v>
      </c>
      <c r="BE135" s="254">
        <v>6.3432613734093088</v>
      </c>
      <c r="BF135" s="254">
        <v>6.3785257285888406</v>
      </c>
      <c r="BG135" s="254">
        <v>6.4139861303559274</v>
      </c>
      <c r="BH135" s="254">
        <v>6.4484130445592944</v>
      </c>
      <c r="BI135" s="254">
        <v>6.4830247443854354</v>
      </c>
      <c r="BJ135" s="254">
        <v>6.5178222216666768</v>
      </c>
      <c r="BK135" s="254">
        <v>6.5528064735589808</v>
      </c>
      <c r="BL135" s="254">
        <v>6.5879785025705191</v>
      </c>
      <c r="BM135" s="254">
        <v>6.6190485794679574</v>
      </c>
      <c r="BN135" s="254">
        <v>6.6502651883672899</v>
      </c>
      <c r="BO135" s="254">
        <v>6.6816290203394662</v>
      </c>
      <c r="BP135" s="254">
        <v>6.7131407697146503</v>
      </c>
      <c r="BQ135" s="254">
        <v>6.7448011340975915</v>
      </c>
      <c r="BR135" s="254">
        <v>6.7719111125525773</v>
      </c>
      <c r="BS135" s="254">
        <v>6.7991300565526132</v>
      </c>
      <c r="BT135" s="254">
        <v>6.8264584040725946</v>
      </c>
      <c r="BU135" s="254">
        <v>6.8538965948478108</v>
      </c>
      <c r="BV135" s="254">
        <v>6.8814450703810159</v>
      </c>
      <c r="BW135" s="254">
        <v>6.904293491437457</v>
      </c>
      <c r="BX135" s="254">
        <v>6.9272177759701634</v>
      </c>
      <c r="BY135" s="254">
        <v>6.9502181758681845</v>
      </c>
      <c r="BZ135" s="254">
        <v>6.9732949438569127</v>
      </c>
      <c r="CA135" s="254">
        <v>6.996448333500866</v>
      </c>
      <c r="CB135" s="254">
        <v>7.0113782521851409</v>
      </c>
      <c r="CC135" s="254">
        <v>7.0263400302445289</v>
      </c>
      <c r="CD135" s="254">
        <v>7.0413337356646508</v>
      </c>
      <c r="CE135" s="254">
        <v>7.0563594365762032</v>
      </c>
      <c r="CF135" s="254">
        <v>7.0714172012552687</v>
      </c>
      <c r="CG135" s="254">
        <v>7.0763063619291211</v>
      </c>
      <c r="CH135" s="254">
        <v>7.0811989029567863</v>
      </c>
      <c r="CI135" s="254">
        <v>7.0860948266754322</v>
      </c>
      <c r="CJ135" s="254">
        <v>7.090994135423843</v>
      </c>
      <c r="CK135" s="254">
        <v>7.0958968315424205</v>
      </c>
      <c r="CL135" s="254">
        <v>7.0975586278944007</v>
      </c>
      <c r="CM135" s="254">
        <v>7.0992208134244059</v>
      </c>
      <c r="CN135" s="254">
        <v>7.1008833882235782</v>
      </c>
      <c r="CO135" s="254">
        <v>7.1025463523830812</v>
      </c>
      <c r="CP135" s="254">
        <v>7.1042097059940996</v>
      </c>
      <c r="CQ135" s="254">
        <v>7.1067306780935082</v>
      </c>
      <c r="CR135" s="254">
        <v>7.1092525447752264</v>
      </c>
      <c r="CS135" s="254">
        <v>7.1117753063567024</v>
      </c>
      <c r="CT135" s="254">
        <v>7.1142989631554965</v>
      </c>
      <c r="CU135" s="254">
        <v>7.1168235154892816</v>
      </c>
      <c r="CV135" s="254">
        <v>7.1207088122192239</v>
      </c>
      <c r="CW135" s="254">
        <v>7.1245962300542702</v>
      </c>
      <c r="CX135" s="254">
        <v>7.1284857701523974</v>
      </c>
      <c r="CY135" s="254">
        <v>7.1323774336722154</v>
      </c>
      <c r="CZ135" s="424">
        <v>7.1362712217729669</v>
      </c>
    </row>
    <row r="136" spans="1:104" x14ac:dyDescent="0.25">
      <c r="A136" s="1065" t="s">
        <v>1059</v>
      </c>
      <c r="B136" s="254">
        <v>2016</v>
      </c>
      <c r="C136" s="727">
        <f t="shared" si="267"/>
        <v>1</v>
      </c>
      <c r="D136" s="1030" t="s">
        <v>843</v>
      </c>
      <c r="E136" s="727" t="s">
        <v>1031</v>
      </c>
      <c r="F136" s="254">
        <v>47.141269049911173</v>
      </c>
      <c r="G136" s="254">
        <v>52.224661236371581</v>
      </c>
      <c r="H136" s="854">
        <v>8.4160389626855991</v>
      </c>
      <c r="I136" s="854">
        <v>10.630483084185546</v>
      </c>
      <c r="J136" s="854">
        <v>10.241695834954719</v>
      </c>
      <c r="K136" s="854">
        <v>9.4549147526367854</v>
      </c>
      <c r="L136" s="854">
        <v>10.431438353650302</v>
      </c>
      <c r="M136" s="854">
        <v>7.3081429877632402</v>
      </c>
      <c r="N136" s="854">
        <v>6.8860004096407268</v>
      </c>
      <c r="O136" s="254">
        <v>6.1462564207083838</v>
      </c>
      <c r="P136" s="254">
        <v>5.0701845410069568</v>
      </c>
      <c r="Q136" s="254">
        <v>5.147940545971605</v>
      </c>
      <c r="R136" s="254">
        <v>5.9174075441245835</v>
      </c>
      <c r="S136" s="254">
        <v>4.3672641892083037</v>
      </c>
      <c r="T136" s="254">
        <v>3.755553639162041</v>
      </c>
      <c r="U136" s="254">
        <v>3.3468214009493336</v>
      </c>
      <c r="V136" s="254">
        <v>3.6078009129373227</v>
      </c>
      <c r="W136" s="254">
        <v>3.9595869792693468</v>
      </c>
      <c r="X136" s="254">
        <v>4.2992239274502966</v>
      </c>
      <c r="Y136" s="254">
        <v>4.3362295461094007</v>
      </c>
      <c r="Z136" s="254">
        <v>4.2972619462853157</v>
      </c>
      <c r="AA136" s="254">
        <v>4.3209431537283329</v>
      </c>
      <c r="AB136" s="254">
        <v>4.4388231525151278</v>
      </c>
      <c r="AC136" s="254">
        <v>4.5598555906037213</v>
      </c>
      <c r="AD136" s="254">
        <v>4.6705511366221319</v>
      </c>
      <c r="AE136" s="254">
        <v>4.7905826799714895</v>
      </c>
      <c r="AF136" s="254">
        <v>4.8909868291351355</v>
      </c>
      <c r="AG136" s="254">
        <v>4.9795195705251665</v>
      </c>
      <c r="AH136" s="254">
        <v>5.0140428564929254</v>
      </c>
      <c r="AI136" s="254">
        <v>5.034241784322349</v>
      </c>
      <c r="AJ136" s="254">
        <v>5.0303794300966009</v>
      </c>
      <c r="AK136" s="254">
        <v>4.9817061843162831</v>
      </c>
      <c r="AL136" s="254">
        <v>5.005816752854825</v>
      </c>
      <c r="AM136" s="254">
        <v>5.1117353012541518</v>
      </c>
      <c r="AN136" s="254">
        <v>5.1218001698488047</v>
      </c>
      <c r="AO136" s="254">
        <v>5.1563490468752367</v>
      </c>
      <c r="AP136" s="254">
        <v>5.1654177598155924</v>
      </c>
      <c r="AQ136" s="254">
        <v>5.1952502995101684</v>
      </c>
      <c r="AR136" s="254">
        <v>5.1548078964528896</v>
      </c>
      <c r="AS136" s="254">
        <v>5.1691436283950809</v>
      </c>
      <c r="AT136" s="254">
        <v>5.2239208155775625</v>
      </c>
      <c r="AU136" s="254">
        <v>5.3036701369405987</v>
      </c>
      <c r="AV136" s="254">
        <v>5.3698761013633396</v>
      </c>
      <c r="AW136" s="254">
        <v>5.4477553798092231</v>
      </c>
      <c r="AX136" s="254">
        <v>5.5105548899774046</v>
      </c>
      <c r="AY136" s="254">
        <v>5.5735610242489493</v>
      </c>
      <c r="AZ136" s="254">
        <v>5.6745566112130543</v>
      </c>
      <c r="BA136" s="254">
        <v>5.7069198222653581</v>
      </c>
      <c r="BB136" s="254">
        <v>5.8107835034348891</v>
      </c>
      <c r="BC136" s="254">
        <v>5.8430876323795795</v>
      </c>
      <c r="BD136" s="254">
        <v>5.8755713510037442</v>
      </c>
      <c r="BE136" s="254">
        <v>5.9082356577077126</v>
      </c>
      <c r="BF136" s="254">
        <v>5.9410815564422617</v>
      </c>
      <c r="BG136" s="254">
        <v>5.974110056739474</v>
      </c>
      <c r="BH136" s="254">
        <v>6.006175946840397</v>
      </c>
      <c r="BI136" s="254">
        <v>6.0384139498247791</v>
      </c>
      <c r="BJ136" s="254">
        <v>6.0708249895043265</v>
      </c>
      <c r="BK136" s="254">
        <v>6.1034099946492821</v>
      </c>
      <c r="BL136" s="254">
        <v>6.1361698990150408</v>
      </c>
      <c r="BM136" s="254">
        <v>6.1651091662794615</v>
      </c>
      <c r="BN136" s="254">
        <v>6.1941849162690321</v>
      </c>
      <c r="BO136" s="254">
        <v>6.2233977926605295</v>
      </c>
      <c r="BP136" s="254">
        <v>6.2527484421664239</v>
      </c>
      <c r="BQ136" s="254">
        <v>6.2822375145491964</v>
      </c>
      <c r="BR136" s="254">
        <v>6.3074882699506478</v>
      </c>
      <c r="BS136" s="254">
        <v>6.3328405179567433</v>
      </c>
      <c r="BT136" s="254">
        <v>6.3582946665057261</v>
      </c>
      <c r="BU136" s="254">
        <v>6.3838511251755019</v>
      </c>
      <c r="BV136" s="254">
        <v>6.4095103051902287</v>
      </c>
      <c r="BW136" s="254">
        <v>6.4307917640583545</v>
      </c>
      <c r="BX136" s="254">
        <v>6.4521438836275307</v>
      </c>
      <c r="BY136" s="254">
        <v>6.473566898512062</v>
      </c>
      <c r="BZ136" s="254">
        <v>6.4950610441052419</v>
      </c>
      <c r="CA136" s="254">
        <v>6.5166265565819383</v>
      </c>
      <c r="CB136" s="254">
        <v>6.5305325700258869</v>
      </c>
      <c r="CC136" s="254">
        <v>6.5444682579046409</v>
      </c>
      <c r="CD136" s="254">
        <v>6.5584336835413142</v>
      </c>
      <c r="CE136" s="254">
        <v>6.5724289103941489</v>
      </c>
      <c r="CF136" s="254">
        <v>6.5864540020568016</v>
      </c>
      <c r="CG136" s="254">
        <v>6.5910078603528843</v>
      </c>
      <c r="CH136" s="254">
        <v>6.5955648671755291</v>
      </c>
      <c r="CI136" s="254">
        <v>6.6001250247016205</v>
      </c>
      <c r="CJ136" s="254">
        <v>6.6046883351095476</v>
      </c>
      <c r="CK136" s="254">
        <v>6.6092548005792047</v>
      </c>
      <c r="CL136" s="254">
        <v>6.6108026296665843</v>
      </c>
      <c r="CM136" s="254">
        <v>6.6123508212418631</v>
      </c>
      <c r="CN136" s="254">
        <v>6.6138993753899316</v>
      </c>
      <c r="CO136" s="254">
        <v>6.6154482921957012</v>
      </c>
      <c r="CP136" s="254">
        <v>6.6169975717441041</v>
      </c>
      <c r="CQ136" s="254">
        <v>6.6193456536491393</v>
      </c>
      <c r="CR136" s="254">
        <v>6.6216945687853457</v>
      </c>
      <c r="CS136" s="254">
        <v>6.6240443174483996</v>
      </c>
      <c r="CT136" s="254">
        <v>6.6263948999340831</v>
      </c>
      <c r="CU136" s="254">
        <v>6.6287463165382841</v>
      </c>
      <c r="CV136" s="254">
        <v>6.6323651566473876</v>
      </c>
      <c r="CW136" s="254">
        <v>6.6359859723945851</v>
      </c>
      <c r="CX136" s="254">
        <v>6.6396087648584388</v>
      </c>
      <c r="CY136" s="254">
        <v>6.6432335351180996</v>
      </c>
      <c r="CZ136" s="424">
        <v>6.6468602842533091</v>
      </c>
    </row>
    <row r="137" spans="1:104" x14ac:dyDescent="0.25">
      <c r="A137" s="807" t="s">
        <v>1054</v>
      </c>
      <c r="B137" s="254">
        <v>2016</v>
      </c>
      <c r="C137" s="727">
        <f t="shared" si="267"/>
        <v>1</v>
      </c>
      <c r="D137" s="1032" t="s">
        <v>265</v>
      </c>
      <c r="E137" s="727" t="s">
        <v>1031</v>
      </c>
      <c r="F137" s="254">
        <v>19.551069237418005</v>
      </c>
      <c r="G137" s="254">
        <v>20.588656379262464</v>
      </c>
      <c r="H137" s="854">
        <v>5.0967849132778742</v>
      </c>
      <c r="I137" s="854">
        <v>5.0967849132778742</v>
      </c>
      <c r="J137" s="854">
        <v>5.0967849132778742</v>
      </c>
      <c r="K137" s="854">
        <v>5.0967849132778742</v>
      </c>
      <c r="L137" s="854">
        <v>5.0967849132778742</v>
      </c>
      <c r="M137" s="854">
        <v>5.0967849132778742</v>
      </c>
      <c r="N137" s="854">
        <v>5.0967849132778742</v>
      </c>
      <c r="O137" s="254">
        <v>5.0967849132778742</v>
      </c>
      <c r="P137" s="254">
        <v>5.0967849132778742</v>
      </c>
      <c r="Q137" s="254">
        <v>5.0967849132778742</v>
      </c>
      <c r="R137" s="254">
        <v>5.0967849132778742</v>
      </c>
      <c r="S137" s="254">
        <v>5.0967849132778742</v>
      </c>
      <c r="T137" s="254">
        <v>5.0967849132778742</v>
      </c>
      <c r="U137" s="254">
        <v>5.0967849132778742</v>
      </c>
      <c r="V137" s="254">
        <v>5.0967849132778742</v>
      </c>
      <c r="W137" s="254">
        <v>5.0967849132778742</v>
      </c>
      <c r="X137" s="254">
        <v>5.0967849132778742</v>
      </c>
      <c r="Y137" s="254">
        <v>5.0967849132778742</v>
      </c>
      <c r="Z137" s="254">
        <v>5.0967849132778742</v>
      </c>
      <c r="AA137" s="254">
        <v>5.0967849132778742</v>
      </c>
      <c r="AB137" s="254">
        <v>5.0967849132778742</v>
      </c>
      <c r="AC137" s="254">
        <v>5.0967849132778742</v>
      </c>
      <c r="AD137" s="254">
        <v>5.0967849132778742</v>
      </c>
      <c r="AE137" s="254">
        <v>5.0967849132778742</v>
      </c>
      <c r="AF137" s="254">
        <v>5.0967849132778742</v>
      </c>
      <c r="AG137" s="254">
        <v>5.0967849132778742</v>
      </c>
      <c r="AH137" s="254">
        <v>5.0967849132778742</v>
      </c>
      <c r="AI137" s="254">
        <v>5.0967849132778742</v>
      </c>
      <c r="AJ137" s="254">
        <v>5.0967849132778742</v>
      </c>
      <c r="AK137" s="254">
        <v>5.0967849132778742</v>
      </c>
      <c r="AL137" s="254">
        <v>5.0967849132778742</v>
      </c>
      <c r="AM137" s="254">
        <v>5.0967849132778742</v>
      </c>
      <c r="AN137" s="254">
        <v>5.0967849132778742</v>
      </c>
      <c r="AO137" s="254">
        <v>5.0967849132778742</v>
      </c>
      <c r="AP137" s="254">
        <v>5.0967849132778742</v>
      </c>
      <c r="AQ137" s="254">
        <v>5.0967849132778742</v>
      </c>
      <c r="AR137" s="254">
        <v>5.0967849132778742</v>
      </c>
      <c r="AS137" s="254">
        <v>5.0967849132778742</v>
      </c>
      <c r="AT137" s="254">
        <v>5.0967849132778742</v>
      </c>
      <c r="AU137" s="254">
        <v>5.0967849132778742</v>
      </c>
      <c r="AV137" s="254">
        <v>5.0967849132778742</v>
      </c>
      <c r="AW137" s="254">
        <v>5.0967849132778742</v>
      </c>
      <c r="AX137" s="254">
        <v>5.0967849132778742</v>
      </c>
      <c r="AY137" s="254">
        <v>5.0967849132778742</v>
      </c>
      <c r="AZ137" s="254">
        <v>5.0967849132778742</v>
      </c>
      <c r="BA137" s="254">
        <v>5.0967849132778742</v>
      </c>
      <c r="BB137" s="254">
        <v>5.0967849132778742</v>
      </c>
      <c r="BC137" s="254">
        <v>5.1179587571540939</v>
      </c>
      <c r="BD137" s="254">
        <v>5.1392205646528959</v>
      </c>
      <c r="BE137" s="254">
        <v>5.1605707012062227</v>
      </c>
      <c r="BF137" s="254">
        <v>5.1820095337641501</v>
      </c>
      <c r="BG137" s="254">
        <v>5.2035374308011946</v>
      </c>
      <c r="BH137" s="254">
        <v>5.2223240063357927</v>
      </c>
      <c r="BI137" s="254">
        <v>5.2411784079262249</v>
      </c>
      <c r="BJ137" s="254">
        <v>5.2601008804480855</v>
      </c>
      <c r="BK137" s="254">
        <v>5.2790916696610548</v>
      </c>
      <c r="BL137" s="254">
        <v>5.2981510222120916</v>
      </c>
      <c r="BM137" s="254">
        <v>5.3113630812048802</v>
      </c>
      <c r="BN137" s="254">
        <v>5.3246080872582748</v>
      </c>
      <c r="BO137" s="254">
        <v>5.3378861225327325</v>
      </c>
      <c r="BP137" s="254">
        <v>5.3511972693935945</v>
      </c>
      <c r="BQ137" s="254">
        <v>5.3645416104115968</v>
      </c>
      <c r="BR137" s="254">
        <v>5.3779717491778074</v>
      </c>
      <c r="BS137" s="254">
        <v>5.3914355103185612</v>
      </c>
      <c r="BT137" s="254">
        <v>5.4049329780075288</v>
      </c>
      <c r="BU137" s="254">
        <v>5.4184642366291094</v>
      </c>
      <c r="BV137" s="254">
        <v>5.4320293707789578</v>
      </c>
      <c r="BW137" s="254">
        <v>5.4450858323773135</v>
      </c>
      <c r="BX137" s="254">
        <v>5.458173676572823</v>
      </c>
      <c r="BY137" s="254">
        <v>5.471292978796904</v>
      </c>
      <c r="BZ137" s="254">
        <v>5.4844438146622805</v>
      </c>
      <c r="CA137" s="254">
        <v>5.4976262599634209</v>
      </c>
      <c r="CB137" s="254">
        <v>5.509165721372697</v>
      </c>
      <c r="CC137" s="254">
        <v>5.5207294039936956</v>
      </c>
      <c r="CD137" s="254">
        <v>5.5323173586664938</v>
      </c>
      <c r="CE137" s="254">
        <v>5.5439296363378796</v>
      </c>
      <c r="CF137" s="254">
        <v>5.5555662880615797</v>
      </c>
      <c r="CG137" s="254">
        <v>5.5698816197819898</v>
      </c>
      <c r="CH137" s="254">
        <v>5.5842338386011479</v>
      </c>
      <c r="CI137" s="254">
        <v>5.598623039568059</v>
      </c>
      <c r="CJ137" s="254">
        <v>5.6130493179766479</v>
      </c>
      <c r="CK137" s="254">
        <v>5.6275127693663878</v>
      </c>
      <c r="CL137" s="254">
        <v>5.6395580019552014</v>
      </c>
      <c r="CM137" s="254">
        <v>5.6516290163830023</v>
      </c>
      <c r="CN137" s="254">
        <v>5.6637258678337163</v>
      </c>
      <c r="CO137" s="254">
        <v>5.6758486116093856</v>
      </c>
      <c r="CP137" s="254">
        <v>5.6879973031304223</v>
      </c>
      <c r="CQ137" s="254">
        <v>5.6991168854631553</v>
      </c>
      <c r="CR137" s="254">
        <v>5.7102582056949531</v>
      </c>
      <c r="CS137" s="254">
        <v>5.7214213063216786</v>
      </c>
      <c r="CT137" s="254">
        <v>5.732606229922272</v>
      </c>
      <c r="CU137" s="254">
        <v>5.7438130191589121</v>
      </c>
      <c r="CV137" s="254">
        <v>5.7570440466225028</v>
      </c>
      <c r="CW137" s="254">
        <v>5.7703055521130002</v>
      </c>
      <c r="CX137" s="254">
        <v>5.7835976058373566</v>
      </c>
      <c r="CY137" s="254">
        <v>5.796920278164249</v>
      </c>
      <c r="CZ137" s="424">
        <v>5.8102736396244499</v>
      </c>
    </row>
    <row r="138" spans="1:104" x14ac:dyDescent="0.25">
      <c r="A138" s="1066" t="s">
        <v>1060</v>
      </c>
      <c r="B138" s="254">
        <v>2016</v>
      </c>
      <c r="C138" s="727">
        <f t="shared" si="267"/>
        <v>1</v>
      </c>
      <c r="D138" s="1032" t="s">
        <v>265</v>
      </c>
      <c r="E138" s="748" t="s">
        <v>1025</v>
      </c>
      <c r="F138" s="254">
        <v>22.7322030001394</v>
      </c>
      <c r="G138" s="254">
        <v>23.967615189707661</v>
      </c>
      <c r="H138" s="854" t="e">
        <v>#N/A</v>
      </c>
      <c r="I138" s="854" t="e">
        <v>#N/A</v>
      </c>
      <c r="J138" s="854" t="e">
        <v>#N/A</v>
      </c>
      <c r="K138" s="854" t="e">
        <v>#N/A</v>
      </c>
      <c r="L138" s="854">
        <v>2.2148742453355847</v>
      </c>
      <c r="M138" s="854">
        <v>2.3408877437334223</v>
      </c>
      <c r="N138" s="854">
        <v>2.3629142410275352</v>
      </c>
      <c r="O138" s="254">
        <v>2.4181318326423913</v>
      </c>
      <c r="P138" s="254">
        <v>2.3501923436687169</v>
      </c>
      <c r="Q138" s="254">
        <v>2.2749877363600257</v>
      </c>
      <c r="R138" s="254">
        <v>2.2671813119268305</v>
      </c>
      <c r="S138" s="254">
        <v>2.0920368648072634</v>
      </c>
      <c r="T138" s="254">
        <v>1.9706687398025258</v>
      </c>
      <c r="U138" s="254">
        <v>2.067600203211962</v>
      </c>
      <c r="V138" s="254">
        <v>2.1142782942327232</v>
      </c>
      <c r="W138" s="254">
        <v>2.1573963846468813</v>
      </c>
      <c r="X138" s="254">
        <v>2.1900363582596567</v>
      </c>
      <c r="Y138" s="254">
        <v>2.1929897559939948</v>
      </c>
      <c r="Z138" s="254">
        <v>2.2028650611910647</v>
      </c>
      <c r="AA138" s="254">
        <v>2.2090827406317772</v>
      </c>
      <c r="AB138" s="254">
        <v>2.2092997907220093</v>
      </c>
      <c r="AC138" s="254">
        <v>2.2079918032786887</v>
      </c>
      <c r="AD138" s="254">
        <v>2.2065492258230841</v>
      </c>
      <c r="AE138" s="254">
        <v>2.1995552842692714</v>
      </c>
      <c r="AF138" s="254">
        <v>2.1903510334996437</v>
      </c>
      <c r="AG138" s="254">
        <v>2.1795345460335755</v>
      </c>
      <c r="AH138" s="254">
        <v>2.1771697426487315</v>
      </c>
      <c r="AI138" s="254">
        <v>2.177831318906295</v>
      </c>
      <c r="AJ138" s="254">
        <v>2.1809505846135182</v>
      </c>
      <c r="AK138" s="254">
        <v>2.1861806387528246</v>
      </c>
      <c r="AL138" s="254">
        <v>2.1973402359685172</v>
      </c>
      <c r="AM138" s="254">
        <v>2.2020565733003745</v>
      </c>
      <c r="AN138" s="254">
        <v>2.2177912831167257</v>
      </c>
      <c r="AO138" s="254">
        <v>2.2206593773221517</v>
      </c>
      <c r="AP138" s="254">
        <v>2.2289385587115755</v>
      </c>
      <c r="AQ138" s="254">
        <v>2.2351116907538557</v>
      </c>
      <c r="AR138" s="254">
        <v>2.2481536525075447</v>
      </c>
      <c r="AS138" s="254">
        <v>2.2492673374683427</v>
      </c>
      <c r="AT138" s="254">
        <v>2.2496910116619402</v>
      </c>
      <c r="AU138" s="254">
        <v>2.2544263053335558</v>
      </c>
      <c r="AV138" s="254">
        <v>2.2540196918457411</v>
      </c>
      <c r="AW138" s="254">
        <v>2.2546357728878843</v>
      </c>
      <c r="AX138" s="254">
        <v>2.2490256441364247</v>
      </c>
      <c r="AY138" s="254">
        <v>2.2531477002168603</v>
      </c>
      <c r="AZ138" s="254">
        <v>2.2540841434009193</v>
      </c>
      <c r="BA138" s="254">
        <v>2.2596705767276806</v>
      </c>
      <c r="BB138" s="254">
        <v>2.2620458060993922</v>
      </c>
      <c r="BC138" s="254">
        <v>2.2703711301923084</v>
      </c>
      <c r="BD138" s="254">
        <v>2.2787270951418623</v>
      </c>
      <c r="BE138" s="254">
        <v>2.2871138137198912</v>
      </c>
      <c r="BF138" s="254">
        <v>2.2955313991132824</v>
      </c>
      <c r="BG138" s="254">
        <v>2.3039799649255008</v>
      </c>
      <c r="BH138" s="254">
        <v>2.3125787529279784</v>
      </c>
      <c r="BI138" s="254">
        <v>2.3212096328567045</v>
      </c>
      <c r="BJ138" s="254">
        <v>2.3298727244834101</v>
      </c>
      <c r="BK138" s="254">
        <v>2.338568148026833</v>
      </c>
      <c r="BL138" s="254">
        <v>2.3472960241543843</v>
      </c>
      <c r="BM138" s="254">
        <v>2.3559838582312191</v>
      </c>
      <c r="BN138" s="254">
        <v>2.3647038478010849</v>
      </c>
      <c r="BO138" s="254">
        <v>2.3734561118781943</v>
      </c>
      <c r="BP138" s="254">
        <v>2.3822407699172565</v>
      </c>
      <c r="BQ138" s="254">
        <v>2.3910579418151077</v>
      </c>
      <c r="BR138" s="254">
        <v>2.3997099382358895</v>
      </c>
      <c r="BS138" s="254">
        <v>2.4083932417365861</v>
      </c>
      <c r="BT138" s="254">
        <v>2.4171079656012542</v>
      </c>
      <c r="BU138" s="254">
        <v>2.4258542235238663</v>
      </c>
      <c r="BV138" s="254">
        <v>2.434632129609795</v>
      </c>
      <c r="BW138" s="254">
        <v>2.4428635118796533</v>
      </c>
      <c r="BX138" s="254">
        <v>2.4511227240845761</v>
      </c>
      <c r="BY138" s="254">
        <v>2.4594098603163279</v>
      </c>
      <c r="BZ138" s="254">
        <v>2.467725014984794</v>
      </c>
      <c r="CA138" s="254">
        <v>2.476068282819055</v>
      </c>
      <c r="CB138" s="254">
        <v>2.4831576550549128</v>
      </c>
      <c r="CC138" s="254">
        <v>2.4902673252765117</v>
      </c>
      <c r="CD138" s="254">
        <v>2.4973973516001715</v>
      </c>
      <c r="CE138" s="254">
        <v>2.5045477923086086</v>
      </c>
      <c r="CF138" s="254">
        <v>2.5117187058514112</v>
      </c>
      <c r="CG138" s="254">
        <v>2.5171937058097216</v>
      </c>
      <c r="CH138" s="254">
        <v>2.5226806400759916</v>
      </c>
      <c r="CI138" s="254">
        <v>2.5281795346644143</v>
      </c>
      <c r="CJ138" s="254">
        <v>2.5336904156458884</v>
      </c>
      <c r="CK138" s="254">
        <v>2.539213309148141</v>
      </c>
      <c r="CL138" s="254">
        <v>2.5429573704375228</v>
      </c>
      <c r="CM138" s="254">
        <v>2.5467069523323964</v>
      </c>
      <c r="CN138" s="254">
        <v>2.5504620629728754</v>
      </c>
      <c r="CO138" s="254">
        <v>2.554222710511076</v>
      </c>
      <c r="CP138" s="254">
        <v>2.5579889031111347</v>
      </c>
      <c r="CQ138" s="254">
        <v>2.5592501421168059</v>
      </c>
      <c r="CR138" s="254">
        <v>2.5605120029875006</v>
      </c>
      <c r="CS138" s="254">
        <v>2.5617744860298348</v>
      </c>
      <c r="CT138" s="254">
        <v>2.5630375915505756</v>
      </c>
      <c r="CU138" s="254">
        <v>2.564301319856642</v>
      </c>
      <c r="CV138" s="254">
        <v>2.5624850697467836</v>
      </c>
      <c r="CW138" s="254">
        <v>2.5606701060553489</v>
      </c>
      <c r="CX138" s="254">
        <v>2.5588564278711901</v>
      </c>
      <c r="CY138" s="254">
        <v>2.5570440342838041</v>
      </c>
      <c r="CZ138" s="424">
        <v>2.555232924383334</v>
      </c>
    </row>
    <row r="139" spans="1:104" x14ac:dyDescent="0.25">
      <c r="A139" s="807" t="s">
        <v>668</v>
      </c>
      <c r="B139" s="254">
        <v>2016</v>
      </c>
      <c r="C139" s="727">
        <f t="shared" si="267"/>
        <v>1</v>
      </c>
      <c r="D139" s="1020" t="s">
        <v>293</v>
      </c>
      <c r="E139" s="727" t="s">
        <v>1044</v>
      </c>
      <c r="F139" s="731"/>
      <c r="G139" s="727"/>
      <c r="H139" s="854">
        <v>28.373013628420669</v>
      </c>
      <c r="I139" s="854">
        <v>29.17093293229123</v>
      </c>
      <c r="J139" s="854">
        <v>30.878569780545078</v>
      </c>
      <c r="K139" s="854">
        <v>30.682595180991225</v>
      </c>
      <c r="L139" s="854">
        <v>31.992353762541459</v>
      </c>
      <c r="M139" s="854">
        <v>31.4429334181984</v>
      </c>
      <c r="N139" s="854">
        <v>31.156600892671783</v>
      </c>
      <c r="O139" s="254">
        <v>30.676058322376605</v>
      </c>
      <c r="P139" s="254">
        <v>29.679126186318804</v>
      </c>
      <c r="Q139" s="254">
        <v>29.700131988890092</v>
      </c>
      <c r="R139" s="254">
        <v>30.54196479432273</v>
      </c>
      <c r="S139" s="254">
        <v>29.932211922183079</v>
      </c>
      <c r="T139" s="254">
        <v>28.972214109999999</v>
      </c>
      <c r="U139" s="254">
        <v>29.128232055928784</v>
      </c>
      <c r="V139" s="254">
        <v>28.995688380521983</v>
      </c>
      <c r="W139" s="254">
        <v>29.39475155821113</v>
      </c>
      <c r="X139" s="254">
        <v>29.885964346916182</v>
      </c>
      <c r="Y139" s="254">
        <v>30.089071101439163</v>
      </c>
      <c r="Z139" s="254">
        <v>31.081689502737298</v>
      </c>
      <c r="AA139" s="254">
        <v>31.400245105473072</v>
      </c>
      <c r="AB139" s="254">
        <v>31.337976372818122</v>
      </c>
      <c r="AC139" s="254">
        <v>31.854564117923594</v>
      </c>
      <c r="AD139" s="254">
        <v>32.189964324168578</v>
      </c>
      <c r="AE139" s="254">
        <v>32.274661250208517</v>
      </c>
      <c r="AF139" s="254">
        <v>32.347049824843424</v>
      </c>
      <c r="AG139" s="254">
        <v>32.398275541772193</v>
      </c>
      <c r="AH139" s="254">
        <v>32.473329377777105</v>
      </c>
      <c r="AI139" s="254">
        <v>32.424485524938959</v>
      </c>
      <c r="AJ139" s="254">
        <v>32.33705604252286</v>
      </c>
      <c r="AK139" s="254">
        <v>32.213589610409308</v>
      </c>
      <c r="AL139" s="254">
        <v>32.123147965605618</v>
      </c>
      <c r="AM139" s="254">
        <v>32.189031672252469</v>
      </c>
      <c r="AN139" s="254">
        <v>32.20134665837643</v>
      </c>
      <c r="AO139" s="254">
        <v>32.137342472816606</v>
      </c>
      <c r="AP139" s="254">
        <v>32.106067355666433</v>
      </c>
      <c r="AQ139" s="254">
        <v>32.055398007309563</v>
      </c>
      <c r="AR139" s="254">
        <v>31.985796962436115</v>
      </c>
      <c r="AS139" s="254">
        <v>31.883579639374592</v>
      </c>
      <c r="AT139" s="254">
        <v>31.88043762605966</v>
      </c>
      <c r="AU139" s="254">
        <v>31.921825950470875</v>
      </c>
      <c r="AV139" s="254">
        <v>31.967798865652629</v>
      </c>
      <c r="AW139" s="254">
        <v>32.011030694105337</v>
      </c>
      <c r="AX139" s="254">
        <v>32.04019407500644</v>
      </c>
      <c r="AY139" s="254">
        <v>32.084258086774547</v>
      </c>
      <c r="AZ139" s="254">
        <v>32.12290532445671</v>
      </c>
      <c r="BA139" s="254">
        <v>32.1438833578502</v>
      </c>
      <c r="BB139" s="254">
        <v>32.210559439498944</v>
      </c>
      <c r="BC139" s="254">
        <v>32.212518425109167</v>
      </c>
      <c r="BD139" s="254">
        <v>32.214477529861206</v>
      </c>
      <c r="BE139" s="254">
        <v>32.216436753762309</v>
      </c>
      <c r="BF139" s="254">
        <v>32.218396096819724</v>
      </c>
      <c r="BG139" s="254">
        <v>32.220355559040698</v>
      </c>
      <c r="BH139" s="254">
        <v>32.225068562587758</v>
      </c>
      <c r="BI139" s="254">
        <v>32.229782255525173</v>
      </c>
      <c r="BJ139" s="254">
        <v>32.234496637953782</v>
      </c>
      <c r="BK139" s="254">
        <v>32.239211709974448</v>
      </c>
      <c r="BL139" s="254">
        <v>32.243927471688032</v>
      </c>
      <c r="BM139" s="254">
        <v>32.234738373564198</v>
      </c>
      <c r="BN139" s="254">
        <v>32.225551894213289</v>
      </c>
      <c r="BO139" s="254">
        <v>32.216368032888994</v>
      </c>
      <c r="BP139" s="254">
        <v>32.207186788845206</v>
      </c>
      <c r="BQ139" s="254">
        <v>32.198008161336034</v>
      </c>
      <c r="BR139" s="254">
        <v>32.188328675270981</v>
      </c>
      <c r="BS139" s="254">
        <v>32.178652099089362</v>
      </c>
      <c r="BT139" s="254">
        <v>32.168978431916393</v>
      </c>
      <c r="BU139" s="254">
        <v>32.15930767287756</v>
      </c>
      <c r="BV139" s="254">
        <v>32.14963982109861</v>
      </c>
      <c r="BW139" s="254">
        <v>32.135484213462775</v>
      </c>
      <c r="BX139" s="254">
        <v>32.121334838594358</v>
      </c>
      <c r="BY139" s="254">
        <v>32.107191693749044</v>
      </c>
      <c r="BZ139" s="254">
        <v>32.093054776183735</v>
      </c>
      <c r="CA139" s="254">
        <v>32.078924083156537</v>
      </c>
      <c r="CB139" s="254">
        <v>32.05322936592912</v>
      </c>
      <c r="CC139" s="254">
        <v>32.027555229768936</v>
      </c>
      <c r="CD139" s="254">
        <v>32.001901658190874</v>
      </c>
      <c r="CE139" s="254">
        <v>31.976268634723027</v>
      </c>
      <c r="CF139" s="254">
        <v>31.950656142906677</v>
      </c>
      <c r="CG139" s="254">
        <v>31.915373500092528</v>
      </c>
      <c r="CH139" s="254">
        <v>31.880129819385399</v>
      </c>
      <c r="CI139" s="254">
        <v>31.844925057760001</v>
      </c>
      <c r="CJ139" s="254">
        <v>31.809759172238564</v>
      </c>
      <c r="CK139" s="254">
        <v>31.774632119890772</v>
      </c>
      <c r="CL139" s="254">
        <v>31.736335048107414</v>
      </c>
      <c r="CM139" s="254">
        <v>31.698084134709202</v>
      </c>
      <c r="CN139" s="254">
        <v>31.659879324062725</v>
      </c>
      <c r="CO139" s="254">
        <v>31.621720560601634</v>
      </c>
      <c r="CP139" s="254">
        <v>31.583607788826551</v>
      </c>
      <c r="CQ139" s="254">
        <v>31.539463246970023</v>
      </c>
      <c r="CR139" s="254">
        <v>31.495380406125889</v>
      </c>
      <c r="CS139" s="254">
        <v>31.451359180054389</v>
      </c>
      <c r="CT139" s="254">
        <v>31.407399482636293</v>
      </c>
      <c r="CU139" s="254">
        <v>31.363501227872742</v>
      </c>
      <c r="CV139" s="254">
        <v>31.320648715953933</v>
      </c>
      <c r="CW139" s="254">
        <v>31.277854754187555</v>
      </c>
      <c r="CX139" s="254">
        <v>31.235119262575491</v>
      </c>
      <c r="CY139" s="254">
        <v>31.192442161228929</v>
      </c>
      <c r="CZ139" s="424">
        <v>31.1498233703682</v>
      </c>
    </row>
    <row r="140" spans="1:104" x14ac:dyDescent="0.25">
      <c r="A140" s="807" t="s">
        <v>683</v>
      </c>
      <c r="B140" s="254">
        <v>2016</v>
      </c>
      <c r="C140" s="727">
        <f t="shared" si="267"/>
        <v>1</v>
      </c>
      <c r="D140" s="1020" t="s">
        <v>293</v>
      </c>
      <c r="E140" s="727" t="s">
        <v>1044</v>
      </c>
      <c r="F140" s="738"/>
      <c r="G140" s="1053"/>
      <c r="H140" s="854">
        <v>18.232352698801531</v>
      </c>
      <c r="I140" s="854">
        <v>19.279059481202857</v>
      </c>
      <c r="J140" s="854">
        <v>20.106975671052609</v>
      </c>
      <c r="K140" s="854">
        <v>20.31728323383771</v>
      </c>
      <c r="L140" s="854">
        <v>21.702415417864383</v>
      </c>
      <c r="M140" s="854">
        <v>21.137326303769196</v>
      </c>
      <c r="N140" s="854">
        <v>20.699724047437488</v>
      </c>
      <c r="O140" s="254">
        <v>20.430734156114106</v>
      </c>
      <c r="P140" s="254">
        <v>19.619402543384187</v>
      </c>
      <c r="Q140" s="254">
        <v>19.94482547791937</v>
      </c>
      <c r="R140" s="254">
        <v>20.190684361237558</v>
      </c>
      <c r="S140" s="254">
        <v>19.439058682545589</v>
      </c>
      <c r="T140" s="254">
        <v>18.777772519999996</v>
      </c>
      <c r="U140" s="254">
        <v>19.537493744407882</v>
      </c>
      <c r="V140" s="254">
        <v>19.094688812726531</v>
      </c>
      <c r="W140" s="254">
        <v>19.340880484069093</v>
      </c>
      <c r="X140" s="254">
        <v>19.700726786066333</v>
      </c>
      <c r="Y140" s="254">
        <v>19.809231927025674</v>
      </c>
      <c r="Z140" s="254">
        <v>20.448628319255093</v>
      </c>
      <c r="AA140" s="254">
        <v>20.513438149254636</v>
      </c>
      <c r="AB140" s="254">
        <v>20.459361398826221</v>
      </c>
      <c r="AC140" s="254">
        <v>20.950622526197662</v>
      </c>
      <c r="AD140" s="254">
        <v>21.163384692376518</v>
      </c>
      <c r="AE140" s="254">
        <v>21.285322295688569</v>
      </c>
      <c r="AF140" s="254">
        <v>21.423623959296947</v>
      </c>
      <c r="AG140" s="254">
        <v>21.53228264660833</v>
      </c>
      <c r="AH140" s="254">
        <v>21.607771530610695</v>
      </c>
      <c r="AI140" s="254">
        <v>21.635145433038627</v>
      </c>
      <c r="AJ140" s="254">
        <v>21.585785019942069</v>
      </c>
      <c r="AK140" s="254">
        <v>21.508628925857963</v>
      </c>
      <c r="AL140" s="254">
        <v>21.446118499871098</v>
      </c>
      <c r="AM140" s="254">
        <v>21.521952389257063</v>
      </c>
      <c r="AN140" s="254">
        <v>21.600204159779199</v>
      </c>
      <c r="AO140" s="254">
        <v>21.583872325260458</v>
      </c>
      <c r="AP140" s="254">
        <v>21.588666383585327</v>
      </c>
      <c r="AQ140" s="254">
        <v>21.605374501448264</v>
      </c>
      <c r="AR140" s="254">
        <v>21.554715579078266</v>
      </c>
      <c r="AS140" s="254">
        <v>21.491324631109631</v>
      </c>
      <c r="AT140" s="254">
        <v>21.516251270074765</v>
      </c>
      <c r="AU140" s="254">
        <v>21.58191413536343</v>
      </c>
      <c r="AV140" s="254">
        <v>21.663232093841465</v>
      </c>
      <c r="AW140" s="254">
        <v>21.742367229796333</v>
      </c>
      <c r="AX140" s="254">
        <v>21.822824570449338</v>
      </c>
      <c r="AY140" s="254">
        <v>21.895024529503647</v>
      </c>
      <c r="AZ140" s="254">
        <v>21.976239175929997</v>
      </c>
      <c r="BA140" s="254">
        <v>22.046603213478718</v>
      </c>
      <c r="BB140" s="254">
        <v>22.114819497732821</v>
      </c>
      <c r="BC140" s="254">
        <v>22.13487665280584</v>
      </c>
      <c r="BD140" s="254">
        <v>22.15495199882406</v>
      </c>
      <c r="BE140" s="254">
        <v>22.175045552285859</v>
      </c>
      <c r="BF140" s="254">
        <v>22.195157329704575</v>
      </c>
      <c r="BG140" s="254">
        <v>22.215287347608523</v>
      </c>
      <c r="BH140" s="254">
        <v>22.237407284551185</v>
      </c>
      <c r="BI140" s="254">
        <v>22.259549246489641</v>
      </c>
      <c r="BJ140" s="254">
        <v>22.281713255354351</v>
      </c>
      <c r="BK140" s="254">
        <v>22.303899333097611</v>
      </c>
      <c r="BL140" s="254">
        <v>22.326107501693581</v>
      </c>
      <c r="BM140" s="254">
        <v>22.336823207612067</v>
      </c>
      <c r="BN140" s="254">
        <v>22.347544056673097</v>
      </c>
      <c r="BO140" s="254">
        <v>22.358270051345187</v>
      </c>
      <c r="BP140" s="254">
        <v>22.369001194098043</v>
      </c>
      <c r="BQ140" s="254">
        <v>22.379737487402554</v>
      </c>
      <c r="BR140" s="254">
        <v>22.390100389733625</v>
      </c>
      <c r="BS140" s="254">
        <v>22.400468090590362</v>
      </c>
      <c r="BT140" s="254">
        <v>22.410840592194713</v>
      </c>
      <c r="BU140" s="254">
        <v>22.421217896769658</v>
      </c>
      <c r="BV140" s="254">
        <v>22.431600006539206</v>
      </c>
      <c r="BW140" s="254">
        <v>22.438377931004013</v>
      </c>
      <c r="BX140" s="254">
        <v>22.44515790348412</v>
      </c>
      <c r="BY140" s="254">
        <v>22.451939924598356</v>
      </c>
      <c r="BZ140" s="254">
        <v>22.458723994965737</v>
      </c>
      <c r="CA140" s="254">
        <v>22.465510115205461</v>
      </c>
      <c r="CB140" s="254">
        <v>22.462969438648798</v>
      </c>
      <c r="CC140" s="254">
        <v>22.46042904942313</v>
      </c>
      <c r="CD140" s="254">
        <v>22.45788894749596</v>
      </c>
      <c r="CE140" s="254">
        <v>22.455349132834797</v>
      </c>
      <c r="CF140" s="254">
        <v>22.452809605407158</v>
      </c>
      <c r="CG140" s="254">
        <v>22.442624812220661</v>
      </c>
      <c r="CH140" s="254">
        <v>22.432444638946507</v>
      </c>
      <c r="CI140" s="254">
        <v>22.422269083489063</v>
      </c>
      <c r="CJ140" s="254">
        <v>22.412098143753649</v>
      </c>
      <c r="CK140" s="254">
        <v>22.401931817646531</v>
      </c>
      <c r="CL140" s="254">
        <v>22.389459823741635</v>
      </c>
      <c r="CM140" s="254">
        <v>22.376994773462549</v>
      </c>
      <c r="CN140" s="254">
        <v>22.364536662943497</v>
      </c>
      <c r="CO140" s="254">
        <v>22.352085488320853</v>
      </c>
      <c r="CP140" s="254">
        <v>22.339641245733144</v>
      </c>
      <c r="CQ140" s="254">
        <v>22.322592014179389</v>
      </c>
      <c r="CR140" s="254">
        <v>22.305555794307125</v>
      </c>
      <c r="CS140" s="254">
        <v>22.288532576186064</v>
      </c>
      <c r="CT140" s="254">
        <v>22.271522349893491</v>
      </c>
      <c r="CU140" s="254">
        <v>22.254525105514261</v>
      </c>
      <c r="CV140" s="254">
        <v>22.238544472899552</v>
      </c>
      <c r="CW140" s="254">
        <v>22.222575315731635</v>
      </c>
      <c r="CX140" s="254">
        <v>22.206617625770171</v>
      </c>
      <c r="CY140" s="254">
        <v>22.190671394780733</v>
      </c>
      <c r="CZ140" s="424">
        <v>22.174736614534808</v>
      </c>
    </row>
    <row r="141" spans="1:104" ht="13.8" thickBot="1" x14ac:dyDescent="0.3">
      <c r="A141" s="1067" t="s">
        <v>669</v>
      </c>
      <c r="B141" s="419">
        <v>2016</v>
      </c>
      <c r="C141" s="1068">
        <f t="shared" si="267"/>
        <v>1</v>
      </c>
      <c r="D141" s="1069" t="s">
        <v>293</v>
      </c>
      <c r="E141" s="1068" t="s">
        <v>1044</v>
      </c>
      <c r="F141" s="1070"/>
      <c r="G141" s="827"/>
      <c r="H141" s="1071">
        <v>31.081820315099751</v>
      </c>
      <c r="I141" s="1071">
        <v>31.795307521355493</v>
      </c>
      <c r="J141" s="1071">
        <v>33.946842042036877</v>
      </c>
      <c r="K141" s="1071">
        <v>33.862138723062856</v>
      </c>
      <c r="L141" s="1071">
        <v>35.110516897292094</v>
      </c>
      <c r="M141" s="1071">
        <v>35.620882248372396</v>
      </c>
      <c r="N141" s="1071">
        <v>35.284315436843215</v>
      </c>
      <c r="O141" s="419">
        <v>35.109707376782602</v>
      </c>
      <c r="P141" s="419">
        <v>34.944303180720262</v>
      </c>
      <c r="Q141" s="419">
        <v>35.113313940081568</v>
      </c>
      <c r="R141" s="419">
        <v>35.603854676435802</v>
      </c>
      <c r="S141" s="419">
        <v>35.586699324775935</v>
      </c>
      <c r="T141" s="419">
        <v>34.861101349999998</v>
      </c>
      <c r="U141" s="419">
        <v>34.664653819323334</v>
      </c>
      <c r="V141" s="419">
        <v>34.410290069910978</v>
      </c>
      <c r="W141" s="419">
        <v>34.908531869398402</v>
      </c>
      <c r="X141" s="419">
        <v>35.616671532127199</v>
      </c>
      <c r="Y141" s="419">
        <v>35.947520321196222</v>
      </c>
      <c r="Z141" s="419">
        <v>36.987705865849776</v>
      </c>
      <c r="AA141" s="419">
        <v>37.546039262370911</v>
      </c>
      <c r="AB141" s="419">
        <v>37.510823122184988</v>
      </c>
      <c r="AC141" s="419">
        <v>38.008797637281816</v>
      </c>
      <c r="AD141" s="419">
        <v>38.419808048103611</v>
      </c>
      <c r="AE141" s="419">
        <v>38.480927078752217</v>
      </c>
      <c r="AF141" s="419">
        <v>38.529894147798792</v>
      </c>
      <c r="AG141" s="419">
        <v>38.610432052895767</v>
      </c>
      <c r="AH141" s="419">
        <v>38.669048846696292</v>
      </c>
      <c r="AI141" s="419">
        <v>38.631731396248163</v>
      </c>
      <c r="AJ141" s="419">
        <v>38.567872226687491</v>
      </c>
      <c r="AK141" s="419">
        <v>38.465126969563705</v>
      </c>
      <c r="AL141" s="419">
        <v>38.413723063041203</v>
      </c>
      <c r="AM141" s="419">
        <v>38.515467425425761</v>
      </c>
      <c r="AN141" s="419">
        <v>38.527084818246614</v>
      </c>
      <c r="AO141" s="419">
        <v>38.521472793861179</v>
      </c>
      <c r="AP141" s="419">
        <v>38.546973809920992</v>
      </c>
      <c r="AQ141" s="419">
        <v>38.560691565187064</v>
      </c>
      <c r="AR141" s="419">
        <v>38.568356561168315</v>
      </c>
      <c r="AS141" s="419">
        <v>38.569368829711408</v>
      </c>
      <c r="AT141" s="419">
        <v>38.651143635977618</v>
      </c>
      <c r="AU141" s="419">
        <v>38.781520601750053</v>
      </c>
      <c r="AV141" s="419">
        <v>38.929117506558889</v>
      </c>
      <c r="AW141" s="419">
        <v>39.08758776785308</v>
      </c>
      <c r="AX141" s="419">
        <v>39.228047610742941</v>
      </c>
      <c r="AY141" s="419">
        <v>39.393119417357944</v>
      </c>
      <c r="AZ141" s="419">
        <v>39.595269824540118</v>
      </c>
      <c r="BA141" s="419">
        <v>39.769550621009692</v>
      </c>
      <c r="BB141" s="419">
        <v>39.980674011616443</v>
      </c>
      <c r="BC141" s="419">
        <v>39.983105560972888</v>
      </c>
      <c r="BD141" s="419">
        <v>39.985537258211586</v>
      </c>
      <c r="BE141" s="419">
        <v>39.987969103341534</v>
      </c>
      <c r="BF141" s="419">
        <v>39.990401096371727</v>
      </c>
      <c r="BG141" s="419">
        <v>39.99283323731116</v>
      </c>
      <c r="BH141" s="419">
        <v>39.998683153044055</v>
      </c>
      <c r="BI141" s="419">
        <v>40.00453392446812</v>
      </c>
      <c r="BJ141" s="419">
        <v>40.010385551708517</v>
      </c>
      <c r="BK141" s="419">
        <v>40.016238034890421</v>
      </c>
      <c r="BL141" s="419">
        <v>40.022091374139045</v>
      </c>
      <c r="BM141" s="419">
        <v>40.01068560090993</v>
      </c>
      <c r="BN141" s="419">
        <v>39.999283078177193</v>
      </c>
      <c r="BO141" s="419">
        <v>39.987883805014484</v>
      </c>
      <c r="BP141" s="419">
        <v>39.976487780495717</v>
      </c>
      <c r="BQ141" s="419">
        <v>39.965095003695069</v>
      </c>
      <c r="BR141" s="419">
        <v>39.953080546830584</v>
      </c>
      <c r="BS141" s="419">
        <v>39.941069701797218</v>
      </c>
      <c r="BT141" s="419">
        <v>39.929062467509169</v>
      </c>
      <c r="BU141" s="419">
        <v>39.917058842880955</v>
      </c>
      <c r="BV141" s="419">
        <v>39.905058826827435</v>
      </c>
      <c r="BW141" s="419">
        <v>39.887488478960996</v>
      </c>
      <c r="BX141" s="419">
        <v>39.869925867384971</v>
      </c>
      <c r="BY141" s="419">
        <v>39.852370988693046</v>
      </c>
      <c r="BZ141" s="419">
        <v>39.8348238394804</v>
      </c>
      <c r="CA141" s="419">
        <v>39.817284416343718</v>
      </c>
      <c r="CB141" s="419">
        <v>39.785391393336162</v>
      </c>
      <c r="CC141" s="419">
        <v>39.75352391614198</v>
      </c>
      <c r="CD141" s="419">
        <v>39.721681964299371</v>
      </c>
      <c r="CE141" s="419">
        <v>39.689865517362925</v>
      </c>
      <c r="CF141" s="419">
        <v>39.658074554903607</v>
      </c>
      <c r="CG141" s="419">
        <v>39.614280722534119</v>
      </c>
      <c r="CH141" s="419">
        <v>39.57053525105394</v>
      </c>
      <c r="CI141" s="419">
        <v>39.526838087058842</v>
      </c>
      <c r="CJ141" s="419">
        <v>39.48318917720357</v>
      </c>
      <c r="CK141" s="419">
        <v>39.439588468201791</v>
      </c>
      <c r="CL141" s="419">
        <v>39.392053039782866</v>
      </c>
      <c r="CM141" s="419">
        <v>39.344574904480901</v>
      </c>
      <c r="CN141" s="419">
        <v>39.297153993242112</v>
      </c>
      <c r="CO141" s="419">
        <v>39.249790237095944</v>
      </c>
      <c r="CP141" s="419">
        <v>39.202483567154964</v>
      </c>
      <c r="CQ141" s="419">
        <v>39.147690090479308</v>
      </c>
      <c r="CR141" s="419">
        <v>39.092973198877175</v>
      </c>
      <c r="CS141" s="419">
        <v>39.038332785305279</v>
      </c>
      <c r="CT141" s="419">
        <v>38.983768742869955</v>
      </c>
      <c r="CU141" s="419">
        <v>38.929280964826951</v>
      </c>
      <c r="CV141" s="419">
        <v>38.876091192919297</v>
      </c>
      <c r="CW141" s="419">
        <v>38.822974095147039</v>
      </c>
      <c r="CX141" s="419">
        <v>38.769929572214203</v>
      </c>
      <c r="CY141" s="419">
        <v>38.716957524960492</v>
      </c>
      <c r="CZ141" s="420">
        <v>38.66405785436109</v>
      </c>
    </row>
    <row r="202" spans="1:2" ht="13.8" x14ac:dyDescent="0.25">
      <c r="A202" s="2"/>
      <c r="B202" s="2"/>
    </row>
    <row r="203" spans="1:2" ht="13.8" x14ac:dyDescent="0.25">
      <c r="A203" s="2"/>
      <c r="B203" s="2"/>
    </row>
    <row r="249" spans="1:29" x14ac:dyDescent="0.25">
      <c r="A249" s="32"/>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3.2" x14ac:dyDescent="0.25"/>
  <cols>
    <col min="1" max="1" width="27.6640625" customWidth="1"/>
    <col min="2" max="2" width="12.6640625" customWidth="1"/>
    <col min="3" max="3" width="19.6640625" customWidth="1"/>
    <col min="4" max="4" width="28.33203125" customWidth="1"/>
    <col min="5" max="5" width="16.5546875" customWidth="1"/>
    <col min="6" max="6" width="11.44140625" customWidth="1"/>
    <col min="7" max="7" width="9.6640625" customWidth="1"/>
    <col min="8" max="8" width="10.33203125" customWidth="1"/>
    <col min="9" max="9" width="10.44140625" customWidth="1"/>
    <col min="10" max="10" width="9.5546875" customWidth="1"/>
    <col min="11" max="12" width="10" customWidth="1"/>
    <col min="13" max="13" width="10.6640625" customWidth="1"/>
    <col min="14" max="14" width="9.5546875" customWidth="1"/>
    <col min="15" max="15" width="10.6640625" customWidth="1"/>
    <col min="16" max="16" width="10.33203125" customWidth="1"/>
    <col min="17" max="17" width="9.554687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44140625" customWidth="1"/>
    <col min="33" max="33" width="9.5546875" customWidth="1"/>
    <col min="34" max="34" width="10" customWidth="1"/>
    <col min="35" max="35" width="9.33203125" customWidth="1"/>
    <col min="36" max="36" width="10" customWidth="1"/>
    <col min="37" max="37" width="10.33203125" customWidth="1"/>
    <col min="38" max="38" width="9.6640625" customWidth="1"/>
    <col min="39" max="39" width="9.5546875" customWidth="1"/>
    <col min="40" max="40" width="9.6640625" customWidth="1"/>
    <col min="41" max="41" width="10.33203125" customWidth="1"/>
    <col min="42" max="44" width="9.6640625" customWidth="1"/>
    <col min="45" max="45" width="9.33203125" customWidth="1"/>
    <col min="46" max="46" width="9.5546875" customWidth="1"/>
    <col min="47" max="47" width="9.6640625" customWidth="1"/>
    <col min="48" max="48" width="10.33203125" customWidth="1"/>
    <col min="49" max="49" width="10.44140625" customWidth="1"/>
    <col min="50" max="50" width="9.5546875" customWidth="1"/>
    <col min="51" max="52" width="9.6640625" customWidth="1"/>
    <col min="53" max="54" width="9.5546875" customWidth="1"/>
    <col min="55" max="55" width="9.6640625" customWidth="1"/>
    <col min="56" max="56" width="9.5546875" customWidth="1"/>
    <col min="57" max="59" width="9.6640625" customWidth="1"/>
    <col min="60" max="60" width="9.5546875" customWidth="1"/>
    <col min="61" max="61" width="9.6640625" customWidth="1"/>
    <col min="62" max="62" width="9.5546875" customWidth="1"/>
    <col min="63" max="63" width="9.6640625" customWidth="1"/>
    <col min="64" max="64" width="10.33203125" customWidth="1"/>
    <col min="65" max="65" width="9.6640625" customWidth="1"/>
    <col min="66" max="66" width="10.33203125" customWidth="1"/>
    <col min="67" max="67" width="9.5546875" customWidth="1"/>
    <col min="68" max="68" width="9.6640625" customWidth="1"/>
    <col min="69" max="69" width="9.5546875" customWidth="1"/>
    <col min="70" max="70" width="9.6640625" customWidth="1"/>
    <col min="71" max="71" width="10.33203125" customWidth="1"/>
    <col min="72" max="72" width="9.6640625" customWidth="1"/>
    <col min="73" max="74" width="9.5546875" customWidth="1"/>
  </cols>
  <sheetData>
    <row r="1" spans="1:104" ht="54" thickTop="1" thickBot="1" x14ac:dyDescent="0.3">
      <c r="A1" s="221" t="s">
        <v>1023</v>
      </c>
      <c r="B1" s="222" t="s">
        <v>1022</v>
      </c>
      <c r="C1" s="749" t="s">
        <v>663</v>
      </c>
      <c r="D1" s="749" t="s">
        <v>805</v>
      </c>
      <c r="E1" s="223">
        <v>2001</v>
      </c>
      <c r="F1" s="224">
        <v>2002</v>
      </c>
      <c r="G1" s="224">
        <v>2003</v>
      </c>
      <c r="H1" s="224">
        <v>2004</v>
      </c>
      <c r="I1" s="224">
        <v>2005</v>
      </c>
      <c r="J1" s="224">
        <v>2006</v>
      </c>
      <c r="K1" s="224">
        <v>2007</v>
      </c>
      <c r="L1" s="224">
        <v>2008</v>
      </c>
      <c r="M1" s="224">
        <v>2009</v>
      </c>
      <c r="N1" s="224">
        <v>2010</v>
      </c>
      <c r="O1" s="224">
        <v>2011</v>
      </c>
      <c r="P1" s="224">
        <v>2012</v>
      </c>
      <c r="Q1" s="224">
        <v>2013</v>
      </c>
      <c r="R1" s="224">
        <v>2014</v>
      </c>
      <c r="S1" s="224">
        <v>2015</v>
      </c>
      <c r="T1" s="224">
        <v>2016</v>
      </c>
      <c r="U1" s="224">
        <v>2017</v>
      </c>
      <c r="V1" s="224">
        <v>2018</v>
      </c>
      <c r="W1" s="224">
        <v>2019</v>
      </c>
      <c r="X1" s="224">
        <v>2020</v>
      </c>
      <c r="Y1" s="224">
        <v>2021</v>
      </c>
      <c r="Z1" s="224">
        <v>2022</v>
      </c>
      <c r="AA1" s="224">
        <v>2023</v>
      </c>
      <c r="AB1" s="224">
        <v>2024</v>
      </c>
      <c r="AC1" s="224">
        <v>2025</v>
      </c>
      <c r="AD1" s="224">
        <v>2026</v>
      </c>
      <c r="AE1" s="224">
        <v>2027</v>
      </c>
      <c r="AF1" s="224">
        <v>2028</v>
      </c>
      <c r="AG1" s="224">
        <v>2029</v>
      </c>
      <c r="AH1" s="224">
        <v>2030</v>
      </c>
      <c r="AI1" s="224">
        <v>2031</v>
      </c>
      <c r="AJ1" s="224">
        <v>2032</v>
      </c>
      <c r="AK1" s="224">
        <v>2033</v>
      </c>
      <c r="AL1" s="224">
        <v>2034</v>
      </c>
      <c r="AM1" s="224">
        <v>2035</v>
      </c>
      <c r="AN1" s="224">
        <v>2036</v>
      </c>
      <c r="AO1" s="224">
        <v>2037</v>
      </c>
      <c r="AP1" s="224">
        <v>2038</v>
      </c>
      <c r="AQ1" s="224">
        <v>2039</v>
      </c>
      <c r="AR1" s="224">
        <v>2040</v>
      </c>
      <c r="AS1" s="224">
        <v>2041</v>
      </c>
      <c r="AT1" s="224">
        <v>2042</v>
      </c>
      <c r="AU1" s="224">
        <v>2043</v>
      </c>
      <c r="AV1" s="224">
        <v>2044</v>
      </c>
      <c r="AW1" s="224">
        <v>2045</v>
      </c>
      <c r="AX1" s="224">
        <v>2046</v>
      </c>
      <c r="AY1" s="224">
        <v>2047</v>
      </c>
      <c r="AZ1" s="224">
        <v>2048</v>
      </c>
      <c r="BA1" s="224">
        <v>2049</v>
      </c>
      <c r="BB1" s="224">
        <v>2050</v>
      </c>
      <c r="BC1" s="224">
        <v>2051</v>
      </c>
      <c r="BD1" s="224">
        <v>2052</v>
      </c>
      <c r="BE1" s="224">
        <v>2053</v>
      </c>
      <c r="BF1" s="224">
        <v>2054</v>
      </c>
      <c r="BG1" s="224">
        <v>2055</v>
      </c>
      <c r="BH1" s="224">
        <v>2056</v>
      </c>
      <c r="BI1" s="224">
        <v>2057</v>
      </c>
      <c r="BJ1" s="224">
        <v>2058</v>
      </c>
      <c r="BK1" s="224">
        <v>2059</v>
      </c>
      <c r="BL1" s="224">
        <v>2060</v>
      </c>
      <c r="BM1" s="224">
        <v>2061</v>
      </c>
      <c r="BN1" s="224">
        <v>2062</v>
      </c>
      <c r="BO1" s="224">
        <v>2063</v>
      </c>
      <c r="BP1" s="224">
        <v>2064</v>
      </c>
      <c r="BQ1" s="224">
        <v>2065</v>
      </c>
      <c r="BR1" s="224">
        <v>2066</v>
      </c>
      <c r="BS1" s="224">
        <v>2067</v>
      </c>
      <c r="BT1" s="224">
        <v>2068</v>
      </c>
      <c r="BU1" s="224">
        <v>2069</v>
      </c>
      <c r="BV1" s="225">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8" thickTop="1" x14ac:dyDescent="0.25">
      <c r="A2" t="s">
        <v>1018</v>
      </c>
      <c r="B2" s="435" t="s">
        <v>692</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1019</v>
      </c>
      <c r="B3" s="435" t="s">
        <v>692</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1020</v>
      </c>
      <c r="B4" s="435" t="s">
        <v>692</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1021</v>
      </c>
      <c r="B5" s="435" t="s">
        <v>265</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659</v>
      </c>
      <c r="B6" s="435" t="s">
        <v>265</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35" t="s">
        <v>1061</v>
      </c>
      <c r="B7" s="435" t="s">
        <v>265</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35" t="s">
        <v>804</v>
      </c>
      <c r="B8" s="435" t="s">
        <v>265</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3.2" x14ac:dyDescent="0.25"/>
  <cols>
    <col min="1" max="1" width="27.6640625" customWidth="1"/>
    <col min="2" max="2" width="19.6640625" customWidth="1"/>
    <col min="3" max="3" width="16.5546875" customWidth="1"/>
    <col min="4" max="4" width="11.44140625" customWidth="1"/>
    <col min="5" max="5" width="9.6640625" customWidth="1"/>
    <col min="6" max="6" width="10.33203125" customWidth="1"/>
    <col min="7" max="7" width="10.44140625" customWidth="1"/>
    <col min="8" max="8" width="9.5546875" customWidth="1"/>
    <col min="9" max="10" width="10" customWidth="1"/>
    <col min="11" max="11" width="10.6640625" customWidth="1"/>
    <col min="12" max="12" width="9.5546875" customWidth="1"/>
    <col min="13" max="13" width="10.6640625" customWidth="1"/>
    <col min="14" max="14" width="10.33203125" customWidth="1"/>
    <col min="15" max="15" width="9.554687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44140625" customWidth="1"/>
    <col min="31" max="31" width="9.5546875" customWidth="1"/>
    <col min="32" max="32" width="10" customWidth="1"/>
    <col min="33" max="33" width="9.33203125" customWidth="1"/>
    <col min="34" max="34" width="10" customWidth="1"/>
    <col min="35" max="35" width="10.33203125" customWidth="1"/>
    <col min="36" max="36" width="9.6640625" customWidth="1"/>
    <col min="37" max="37" width="9.5546875" customWidth="1"/>
    <col min="38" max="38" width="9.6640625" customWidth="1"/>
    <col min="39" max="39" width="10.33203125" customWidth="1"/>
    <col min="40" max="42" width="9.6640625" customWidth="1"/>
    <col min="43" max="43" width="9.33203125" customWidth="1"/>
    <col min="44" max="44" width="9.5546875" customWidth="1"/>
    <col min="45" max="45" width="9.6640625" customWidth="1"/>
    <col min="46" max="46" width="10.33203125" customWidth="1"/>
    <col min="47" max="47" width="10.44140625" customWidth="1"/>
    <col min="48" max="48" width="9.5546875" customWidth="1"/>
    <col min="49" max="50" width="9.6640625" customWidth="1"/>
    <col min="51" max="52" width="9.5546875" customWidth="1"/>
    <col min="53" max="53" width="9.6640625" customWidth="1"/>
    <col min="54" max="54" width="9.5546875" customWidth="1"/>
    <col min="55" max="57" width="9.6640625" customWidth="1"/>
    <col min="58" max="58" width="9.5546875" customWidth="1"/>
    <col min="59" max="59" width="9.6640625" customWidth="1"/>
    <col min="60" max="60" width="9.5546875" customWidth="1"/>
    <col min="61" max="61" width="9.6640625" customWidth="1"/>
    <col min="62" max="62" width="10.33203125" customWidth="1"/>
    <col min="63" max="63" width="9.6640625" customWidth="1"/>
    <col min="64" max="64" width="10.33203125" customWidth="1"/>
    <col min="65" max="65" width="9.5546875" customWidth="1"/>
    <col min="66" max="66" width="9.6640625" customWidth="1"/>
    <col min="67" max="67" width="9.5546875" customWidth="1"/>
    <col min="68" max="68" width="9.6640625" customWidth="1"/>
    <col min="69" max="69" width="10.33203125" customWidth="1"/>
    <col min="70" max="70" width="9.6640625" customWidth="1"/>
    <col min="71" max="72" width="9.5546875" customWidth="1"/>
    <col min="73" max="73" width="10" customWidth="1"/>
  </cols>
  <sheetData>
    <row r="1" spans="1:72" ht="15.6" x14ac:dyDescent="0.3">
      <c r="A1" s="1584" t="s">
        <v>728</v>
      </c>
      <c r="B1" s="1584"/>
      <c r="C1" s="1584"/>
      <c r="D1" s="1584"/>
      <c r="E1" s="1584"/>
      <c r="F1" s="1584"/>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1584"/>
      <c r="BF1" s="1584"/>
      <c r="BG1" s="1584"/>
      <c r="BH1" s="1584"/>
      <c r="BI1" s="1584"/>
      <c r="BJ1" s="1584"/>
      <c r="BK1" s="1584"/>
      <c r="BL1" s="1584"/>
      <c r="BM1" s="1584"/>
      <c r="BN1" s="1584"/>
      <c r="BO1" s="1584"/>
      <c r="BP1" s="1584"/>
      <c r="BQ1" s="1584"/>
      <c r="BR1" s="1584"/>
      <c r="BS1" s="1584"/>
      <c r="BT1" s="1584"/>
    </row>
    <row r="2" spans="1:72" x14ac:dyDescent="0.25">
      <c r="A2" s="1585" t="s">
        <v>729</v>
      </c>
      <c r="B2" s="1585"/>
      <c r="C2" s="1585"/>
      <c r="D2" s="1585"/>
      <c r="E2" s="1585"/>
      <c r="F2" s="1585"/>
      <c r="G2" s="1585"/>
      <c r="H2" s="1585"/>
      <c r="I2" s="1585"/>
      <c r="J2" s="1585"/>
      <c r="K2" s="1585"/>
      <c r="L2" s="1585"/>
      <c r="M2" s="1585"/>
      <c r="N2" s="1585"/>
      <c r="O2" s="1585"/>
      <c r="P2" s="1585"/>
      <c r="Q2" s="1585"/>
      <c r="R2" s="1585"/>
      <c r="S2" s="1585"/>
      <c r="T2" s="1585"/>
      <c r="U2" s="1585"/>
      <c r="V2" s="1585"/>
      <c r="W2" s="1585"/>
      <c r="X2" s="1585"/>
      <c r="Y2" s="1585"/>
      <c r="Z2" s="1585"/>
      <c r="AA2" s="1585"/>
      <c r="AB2" s="1585"/>
      <c r="AC2" s="1585"/>
      <c r="AD2" s="1585"/>
      <c r="AE2" s="1585"/>
      <c r="AF2" s="1585"/>
      <c r="AG2" s="1585"/>
      <c r="AH2" s="1585"/>
      <c r="AI2" s="1585"/>
      <c r="AJ2" s="1585"/>
      <c r="AK2" s="1585"/>
      <c r="AL2" s="1585"/>
      <c r="AM2" s="1585"/>
      <c r="AN2" s="1585"/>
      <c r="AO2" s="1585"/>
      <c r="AP2" s="1585"/>
      <c r="AQ2" s="1585"/>
      <c r="AR2" s="1585"/>
      <c r="AS2" s="1585"/>
      <c r="AT2" s="1585"/>
      <c r="AU2" s="1585"/>
      <c r="AV2" s="1585"/>
      <c r="AW2" s="1585"/>
      <c r="AX2" s="1585"/>
      <c r="AY2" s="1585"/>
      <c r="AZ2" s="1585"/>
      <c r="BA2" s="1585"/>
      <c r="BB2" s="1585"/>
      <c r="BC2" s="1585"/>
      <c r="BD2" s="1585"/>
      <c r="BE2" s="1585"/>
      <c r="BF2" s="1585"/>
      <c r="BG2" s="1585"/>
      <c r="BH2" s="1585"/>
      <c r="BI2" s="1585"/>
      <c r="BJ2" s="1585"/>
      <c r="BK2" s="1585"/>
      <c r="BL2" s="1585"/>
      <c r="BM2" s="1585"/>
      <c r="BN2" s="1585"/>
      <c r="BO2" s="1585"/>
      <c r="BP2" s="1585"/>
      <c r="BQ2" s="1585"/>
      <c r="BR2" s="1585"/>
      <c r="BS2" s="1585"/>
      <c r="BT2" s="1585"/>
    </row>
    <row r="3" spans="1:72" ht="13.8" thickBot="1" x14ac:dyDescent="0.3">
      <c r="A3" s="1586"/>
      <c r="B3" s="1586"/>
      <c r="C3" s="1586"/>
      <c r="D3" s="1586"/>
      <c r="E3" s="1586"/>
      <c r="F3" s="1586"/>
      <c r="G3" s="1586"/>
      <c r="H3" s="1586"/>
      <c r="I3" s="1586"/>
      <c r="J3" s="1586"/>
      <c r="K3" s="1586"/>
      <c r="L3" s="1586"/>
      <c r="M3" s="1586"/>
      <c r="N3" s="1586"/>
      <c r="O3" s="1586"/>
      <c r="P3" s="1586"/>
      <c r="Q3" s="1586"/>
      <c r="R3" s="1586"/>
      <c r="S3" s="1586"/>
      <c r="T3" s="1586"/>
      <c r="U3" s="1586"/>
      <c r="V3" s="1586"/>
      <c r="W3" s="1586"/>
      <c r="X3" s="1586"/>
      <c r="Y3" s="1586"/>
      <c r="Z3" s="1586"/>
      <c r="AA3" s="1586"/>
      <c r="AB3" s="1586"/>
      <c r="AC3" s="1586"/>
      <c r="AD3" s="1586"/>
      <c r="AE3" s="1586"/>
      <c r="AF3" s="1586"/>
      <c r="AG3" s="1586"/>
      <c r="AH3" s="1586"/>
      <c r="AI3" s="1586"/>
      <c r="AJ3" s="1586"/>
      <c r="AK3" s="1586"/>
      <c r="AL3" s="1586"/>
      <c r="AM3" s="1586"/>
      <c r="AN3" s="1586"/>
      <c r="AO3" s="1586"/>
      <c r="AP3" s="1586"/>
      <c r="AQ3" s="1586"/>
      <c r="AR3" s="1586"/>
      <c r="AS3" s="1586"/>
      <c r="AT3" s="1586"/>
      <c r="AU3" s="1586"/>
      <c r="AV3" s="1586"/>
      <c r="AW3" s="1586"/>
      <c r="AX3" s="1586"/>
      <c r="AY3" s="1586"/>
      <c r="AZ3" s="1586"/>
      <c r="BA3" s="1586"/>
      <c r="BB3" s="1586"/>
      <c r="BC3" s="1586"/>
      <c r="BD3" s="1586"/>
      <c r="BE3" s="1586"/>
      <c r="BF3" s="1586"/>
      <c r="BG3" s="1586"/>
      <c r="BH3" s="1586"/>
      <c r="BI3" s="1586"/>
      <c r="BJ3" s="1586"/>
      <c r="BK3" s="1586"/>
      <c r="BL3" s="1586"/>
      <c r="BM3" s="1586"/>
      <c r="BN3" s="1586"/>
      <c r="BO3" s="1586"/>
      <c r="BP3" s="1586"/>
      <c r="BQ3" s="1586"/>
      <c r="BR3" s="1586"/>
      <c r="BS3" s="1586"/>
      <c r="BT3" s="1586"/>
    </row>
    <row r="4" spans="1:72" x14ac:dyDescent="0.25">
      <c r="A4" s="758"/>
      <c r="B4" s="759" t="s">
        <v>1022</v>
      </c>
      <c r="C4" s="760">
        <v>2001</v>
      </c>
      <c r="D4" s="760">
        <v>2002</v>
      </c>
      <c r="E4" s="760">
        <v>2003</v>
      </c>
      <c r="F4" s="760">
        <v>2004</v>
      </c>
      <c r="G4" s="760">
        <v>2005</v>
      </c>
      <c r="H4" s="760">
        <v>2006</v>
      </c>
      <c r="I4" s="760">
        <v>2007</v>
      </c>
      <c r="J4" s="760">
        <v>2008</v>
      </c>
      <c r="K4" s="760">
        <v>2009</v>
      </c>
      <c r="L4" s="760">
        <v>2010</v>
      </c>
      <c r="M4" s="760">
        <v>2011</v>
      </c>
      <c r="N4" s="760">
        <v>2012</v>
      </c>
      <c r="O4" s="760">
        <v>2013</v>
      </c>
      <c r="P4" s="760">
        <v>2014</v>
      </c>
      <c r="Q4" s="760">
        <v>2015</v>
      </c>
      <c r="R4" s="760">
        <v>2016</v>
      </c>
      <c r="S4" s="760">
        <v>2017</v>
      </c>
      <c r="T4" s="760">
        <v>2018</v>
      </c>
      <c r="U4" s="760">
        <v>2019</v>
      </c>
      <c r="V4" s="760">
        <v>2020</v>
      </c>
      <c r="W4" s="760">
        <v>2021</v>
      </c>
      <c r="X4" s="760">
        <v>2022</v>
      </c>
      <c r="Y4" s="760">
        <v>2023</v>
      </c>
      <c r="Z4" s="760">
        <v>2024</v>
      </c>
      <c r="AA4" s="760">
        <v>2025</v>
      </c>
      <c r="AB4" s="760">
        <v>2026</v>
      </c>
      <c r="AC4" s="760">
        <v>2027</v>
      </c>
      <c r="AD4" s="760">
        <v>2028</v>
      </c>
      <c r="AE4" s="760">
        <v>2029</v>
      </c>
      <c r="AF4" s="760">
        <v>2030</v>
      </c>
      <c r="AG4" s="760">
        <v>2031</v>
      </c>
      <c r="AH4" s="760">
        <v>2032</v>
      </c>
      <c r="AI4" s="760">
        <v>2033</v>
      </c>
      <c r="AJ4" s="760">
        <v>2034</v>
      </c>
      <c r="AK4" s="760">
        <v>2035</v>
      </c>
      <c r="AL4" s="760">
        <v>2036</v>
      </c>
      <c r="AM4" s="760">
        <v>2037</v>
      </c>
      <c r="AN4" s="760">
        <v>2038</v>
      </c>
      <c r="AO4" s="760">
        <v>2039</v>
      </c>
      <c r="AP4" s="760">
        <v>2040</v>
      </c>
      <c r="AQ4" s="760">
        <v>2041</v>
      </c>
      <c r="AR4" s="760">
        <v>2042</v>
      </c>
      <c r="AS4" s="760">
        <v>2043</v>
      </c>
      <c r="AT4" s="760">
        <v>2044</v>
      </c>
      <c r="AU4" s="760">
        <v>2045</v>
      </c>
      <c r="AV4" s="760">
        <v>2046</v>
      </c>
      <c r="AW4" s="760">
        <v>2047</v>
      </c>
      <c r="AX4" s="760">
        <v>2048</v>
      </c>
      <c r="AY4" s="760">
        <v>2049</v>
      </c>
      <c r="AZ4" s="760">
        <v>2050</v>
      </c>
      <c r="BA4" s="760">
        <v>2051</v>
      </c>
      <c r="BB4" s="760">
        <v>2052</v>
      </c>
      <c r="BC4" s="760">
        <v>2053</v>
      </c>
      <c r="BD4" s="760">
        <v>2054</v>
      </c>
      <c r="BE4" s="760">
        <v>2056</v>
      </c>
      <c r="BF4" s="760">
        <v>2056</v>
      </c>
      <c r="BG4" s="760">
        <v>2057</v>
      </c>
      <c r="BH4" s="760">
        <v>2058</v>
      </c>
      <c r="BI4" s="760">
        <v>2059</v>
      </c>
      <c r="BJ4" s="760">
        <v>2060</v>
      </c>
      <c r="BK4" s="760">
        <v>2061</v>
      </c>
      <c r="BL4" s="760">
        <v>2062</v>
      </c>
      <c r="BM4" s="760">
        <v>2063</v>
      </c>
      <c r="BN4" s="760">
        <v>2064</v>
      </c>
      <c r="BO4" s="760">
        <v>2065</v>
      </c>
      <c r="BP4" s="760">
        <v>2066</v>
      </c>
      <c r="BQ4" s="760">
        <v>2067</v>
      </c>
      <c r="BR4" s="760">
        <v>2068</v>
      </c>
      <c r="BS4" s="760">
        <v>2069</v>
      </c>
      <c r="BT4" s="761">
        <v>2070</v>
      </c>
    </row>
    <row r="5" spans="1:72" x14ac:dyDescent="0.25">
      <c r="A5" s="1587" t="s">
        <v>730</v>
      </c>
      <c r="B5" s="1588"/>
      <c r="C5" s="1588"/>
      <c r="D5" s="1588"/>
      <c r="E5" s="1588"/>
      <c r="F5" s="1588"/>
      <c r="G5" s="1588"/>
      <c r="H5" s="1588"/>
      <c r="I5" s="1588"/>
      <c r="J5" s="1588"/>
      <c r="K5" s="1588"/>
      <c r="L5" s="1588"/>
      <c r="M5" s="1588"/>
      <c r="N5" s="1588"/>
      <c r="O5" s="1588"/>
      <c r="P5" s="1588"/>
      <c r="Q5" s="1588"/>
      <c r="R5" s="1588"/>
      <c r="S5" s="1588"/>
      <c r="T5" s="1588"/>
      <c r="U5" s="1588"/>
      <c r="V5" s="1588"/>
      <c r="W5" s="1588"/>
      <c r="X5" s="1588"/>
      <c r="Y5" s="1588"/>
      <c r="Z5" s="1588"/>
      <c r="AA5" s="1588"/>
      <c r="AB5" s="1588"/>
      <c r="AC5" s="1588"/>
      <c r="AD5" s="1588"/>
      <c r="AE5" s="1588"/>
      <c r="AF5" s="1588"/>
      <c r="AG5" s="1588"/>
      <c r="AH5" s="1588"/>
      <c r="AI5" s="1588"/>
      <c r="AJ5" s="1588"/>
      <c r="AK5" s="1588"/>
      <c r="AL5" s="1588"/>
      <c r="AM5" s="1588"/>
      <c r="AN5" s="1588"/>
      <c r="AO5" s="1588"/>
      <c r="AP5" s="1588"/>
      <c r="AQ5" s="1588"/>
      <c r="AR5" s="1588"/>
      <c r="AS5" s="1588"/>
      <c r="AT5" s="1588"/>
      <c r="AU5" s="1588"/>
      <c r="AV5" s="1588"/>
      <c r="AW5" s="1588"/>
      <c r="AX5" s="1588"/>
      <c r="AY5" s="1588"/>
      <c r="AZ5" s="1588"/>
      <c r="BA5" s="1588"/>
      <c r="BB5" s="1588"/>
      <c r="BC5" s="1588"/>
      <c r="BD5" s="1588"/>
      <c r="BE5" s="1588"/>
      <c r="BF5" s="1588"/>
      <c r="BG5" s="1588"/>
      <c r="BH5" s="1588"/>
      <c r="BI5" s="1588"/>
      <c r="BJ5" s="1588"/>
      <c r="BK5" s="1588"/>
      <c r="BL5" s="1588"/>
      <c r="BM5" s="1588"/>
      <c r="BN5" s="1588"/>
      <c r="BO5" s="1588"/>
      <c r="BP5" s="1588"/>
      <c r="BQ5" s="1588"/>
      <c r="BR5" s="1588"/>
      <c r="BS5" s="1588"/>
      <c r="BT5" s="1589"/>
    </row>
    <row r="6" spans="1:72" x14ac:dyDescent="0.25">
      <c r="A6" s="762" t="s">
        <v>731</v>
      </c>
      <c r="B6" s="763" t="s">
        <v>732</v>
      </c>
      <c r="C6" s="764">
        <v>8.9541000728991982</v>
      </c>
      <c r="D6" s="764">
        <v>6.8979457774252282</v>
      </c>
      <c r="E6" s="764">
        <v>8.4197996967243682</v>
      </c>
      <c r="F6" s="764">
        <v>8.8059982398770913</v>
      </c>
      <c r="G6" s="764">
        <v>8.8656468751295598</v>
      </c>
      <c r="H6" s="764">
        <v>8.2234977371287847</v>
      </c>
      <c r="I6" s="764">
        <v>7.8073426530046319</v>
      </c>
      <c r="J6" s="764">
        <v>7.4325694992857168</v>
      </c>
      <c r="K6" s="764">
        <v>7.297531685739191</v>
      </c>
      <c r="L6" s="764">
        <v>7.1966502441550162</v>
      </c>
      <c r="M6" s="764">
        <v>7.2405429268783017</v>
      </c>
      <c r="N6" s="764">
        <v>7.2944294079294778</v>
      </c>
      <c r="O6" s="764">
        <v>7.4037989917791105</v>
      </c>
      <c r="P6" s="764">
        <v>7.5440859727139706</v>
      </c>
      <c r="Q6" s="764">
        <v>7.6385998163583153</v>
      </c>
      <c r="R6" s="764">
        <v>7.6698249061152577</v>
      </c>
      <c r="S6" s="764">
        <v>7.596507558282819</v>
      </c>
      <c r="T6" s="764">
        <v>7.644327174942454</v>
      </c>
      <c r="U6" s="764">
        <v>7.7875295315148705</v>
      </c>
      <c r="V6" s="764">
        <v>8.0180296178133954</v>
      </c>
      <c r="W6" s="764">
        <v>8.1425457338117244</v>
      </c>
      <c r="X6" s="764">
        <v>8.1602542175436898</v>
      </c>
      <c r="Y6" s="764">
        <v>8.1927349319997838</v>
      </c>
      <c r="Z6" s="764">
        <v>8.2544961582939571</v>
      </c>
      <c r="AA6" s="764">
        <v>8.3511330316651513</v>
      </c>
      <c r="AB6" s="765">
        <v>8.4290329061652454</v>
      </c>
      <c r="AC6" s="765">
        <v>8.5069327806653394</v>
      </c>
      <c r="AD6" s="765">
        <v>8.5848326551654335</v>
      </c>
      <c r="AE6" s="765">
        <v>8.6627325296655275</v>
      </c>
      <c r="AF6" s="765">
        <v>8.7406324041656216</v>
      </c>
      <c r="AG6" s="765">
        <v>8.8185322786657157</v>
      </c>
      <c r="AH6" s="765">
        <v>8.8964321531658097</v>
      </c>
      <c r="AI6" s="765">
        <v>8.9743320276659038</v>
      </c>
      <c r="AJ6" s="765">
        <v>9.0522319021659978</v>
      </c>
      <c r="AK6" s="765">
        <v>9.1301317766660848</v>
      </c>
      <c r="AL6" s="765">
        <v>9.2578200706648097</v>
      </c>
      <c r="AM6" s="765">
        <v>9.3855083646635347</v>
      </c>
      <c r="AN6" s="765">
        <v>9.5131966586622596</v>
      </c>
      <c r="AO6" s="765">
        <v>9.6408849526609846</v>
      </c>
      <c r="AP6" s="765">
        <v>9.7685732466597095</v>
      </c>
      <c r="AQ6" s="765">
        <v>9.8962615406584344</v>
      </c>
      <c r="AR6" s="765">
        <v>10.023949834657159</v>
      </c>
      <c r="AS6" s="765">
        <v>10.151638128655884</v>
      </c>
      <c r="AT6" s="765">
        <v>10.279326422654609</v>
      </c>
      <c r="AU6" s="765">
        <v>10.407014716653334</v>
      </c>
      <c r="AV6" s="765">
        <v>10.534703010652059</v>
      </c>
      <c r="AW6" s="765">
        <v>10.662391304650784</v>
      </c>
      <c r="AX6" s="765">
        <v>10.790079598649509</v>
      </c>
      <c r="AY6" s="765">
        <v>10.917767892648234</v>
      </c>
      <c r="AZ6" s="766">
        <v>11.045456186646948</v>
      </c>
      <c r="BA6" s="765">
        <v>11.066404719719236</v>
      </c>
      <c r="BB6" s="765">
        <v>11.087353252791523</v>
      </c>
      <c r="BC6" s="765">
        <v>11.10830178586381</v>
      </c>
      <c r="BD6" s="765">
        <v>11.129250318936098</v>
      </c>
      <c r="BE6" s="765">
        <v>11.150198852008385</v>
      </c>
      <c r="BF6" s="765">
        <v>11.171147385080673</v>
      </c>
      <c r="BG6" s="765">
        <v>11.19209591815296</v>
      </c>
      <c r="BH6" s="765">
        <v>11.213044451225247</v>
      </c>
      <c r="BI6" s="765">
        <v>11.233992984297535</v>
      </c>
      <c r="BJ6" s="765">
        <v>11.254941517369822</v>
      </c>
      <c r="BK6" s="765">
        <v>11.27589005044211</v>
      </c>
      <c r="BL6" s="765">
        <v>11.296838583514397</v>
      </c>
      <c r="BM6" s="765">
        <v>11.317787116586684</v>
      </c>
      <c r="BN6" s="765">
        <v>11.338735649658972</v>
      </c>
      <c r="BO6" s="766">
        <v>11.359684182731248</v>
      </c>
      <c r="BP6" s="765">
        <v>11.381228672680008</v>
      </c>
      <c r="BQ6" s="765">
        <v>11.402773162628767</v>
      </c>
      <c r="BR6" s="765">
        <v>11.424317652577527</v>
      </c>
      <c r="BS6" s="765">
        <v>11.445862142526286</v>
      </c>
      <c r="BT6" s="767">
        <v>11.467406632475045</v>
      </c>
    </row>
    <row r="7" spans="1:72" x14ac:dyDescent="0.25">
      <c r="A7" s="768" t="s">
        <v>733</v>
      </c>
      <c r="B7" s="763" t="s">
        <v>732</v>
      </c>
      <c r="C7" s="764">
        <v>5.2088497969877503</v>
      </c>
      <c r="D7" s="764">
        <v>4.0515519538015683</v>
      </c>
      <c r="E7" s="764">
        <v>5.7953765594734321</v>
      </c>
      <c r="F7" s="764">
        <v>6.3059286733843276</v>
      </c>
      <c r="G7" s="764">
        <v>6.3351569917966728</v>
      </c>
      <c r="H7" s="764">
        <v>5.6603640970194089</v>
      </c>
      <c r="I7" s="764">
        <v>5.2154936812958672</v>
      </c>
      <c r="J7" s="764">
        <v>4.824472465605103</v>
      </c>
      <c r="K7" s="764">
        <v>4.7214620293311338</v>
      </c>
      <c r="L7" s="764">
        <v>4.5987567766657387</v>
      </c>
      <c r="M7" s="764">
        <v>4.6224680014376371</v>
      </c>
      <c r="N7" s="764">
        <v>4.6768878495918127</v>
      </c>
      <c r="O7" s="764">
        <v>4.7861952984108127</v>
      </c>
      <c r="P7" s="764">
        <v>4.922351045428587</v>
      </c>
      <c r="Q7" s="764">
        <v>5.0173813554475863</v>
      </c>
      <c r="R7" s="764">
        <v>5.0686005039035118</v>
      </c>
      <c r="S7" s="764">
        <v>5.0229759936062797</v>
      </c>
      <c r="T7" s="764">
        <v>5.0914502886106439</v>
      </c>
      <c r="U7" s="764">
        <v>5.2365480121576597</v>
      </c>
      <c r="V7" s="764">
        <v>5.4816269649649545</v>
      </c>
      <c r="W7" s="764">
        <v>5.5841408180740668</v>
      </c>
      <c r="X7" s="764">
        <v>5.5850370537559959</v>
      </c>
      <c r="Y7" s="764">
        <v>5.6052826350589937</v>
      </c>
      <c r="Z7" s="764">
        <v>5.6612136071582997</v>
      </c>
      <c r="AA7" s="764">
        <v>5.7676752715740598</v>
      </c>
      <c r="AB7" s="765">
        <v>5.8539244792759346</v>
      </c>
      <c r="AC7" s="765">
        <v>5.9401736869778095</v>
      </c>
      <c r="AD7" s="765">
        <v>6.0264228946796843</v>
      </c>
      <c r="AE7" s="765">
        <v>6.1126721023815591</v>
      </c>
      <c r="AF7" s="765">
        <v>6.1989213100834339</v>
      </c>
      <c r="AG7" s="765">
        <v>6.2851705177853088</v>
      </c>
      <c r="AH7" s="765">
        <v>6.3714197254871836</v>
      </c>
      <c r="AI7" s="765">
        <v>6.4576689331890584</v>
      </c>
      <c r="AJ7" s="765">
        <v>6.5439181408909333</v>
      </c>
      <c r="AK7" s="765">
        <v>6.6301673485928063</v>
      </c>
      <c r="AL7" s="765">
        <v>6.7228927087931387</v>
      </c>
      <c r="AM7" s="765">
        <v>6.8156180689934711</v>
      </c>
      <c r="AN7" s="765">
        <v>6.9083434291938035</v>
      </c>
      <c r="AO7" s="765">
        <v>7.0010687893941359</v>
      </c>
      <c r="AP7" s="765">
        <v>7.0937941495944683</v>
      </c>
      <c r="AQ7" s="765">
        <v>7.1865195097948007</v>
      </c>
      <c r="AR7" s="765">
        <v>7.2792448699951331</v>
      </c>
      <c r="AS7" s="765">
        <v>7.3719702301954655</v>
      </c>
      <c r="AT7" s="765">
        <v>7.4646955903957979</v>
      </c>
      <c r="AU7" s="765">
        <v>7.5574209505961303</v>
      </c>
      <c r="AV7" s="765">
        <v>7.6501463107964627</v>
      </c>
      <c r="AW7" s="765">
        <v>7.7428716709967951</v>
      </c>
      <c r="AX7" s="765">
        <v>7.8355970311971275</v>
      </c>
      <c r="AY7" s="765">
        <v>7.9283223913974599</v>
      </c>
      <c r="AZ7" s="766">
        <v>8.021047751597786</v>
      </c>
      <c r="BA7" s="765">
        <v>8.0362602680624171</v>
      </c>
      <c r="BB7" s="765">
        <v>8.0514727845270482</v>
      </c>
      <c r="BC7" s="765">
        <v>8.0666853009916792</v>
      </c>
      <c r="BD7" s="765">
        <v>8.0818978174563103</v>
      </c>
      <c r="BE7" s="765">
        <v>8.0971103339209414</v>
      </c>
      <c r="BF7" s="765">
        <v>8.1123228503855724</v>
      </c>
      <c r="BG7" s="765">
        <v>8.1275353668502035</v>
      </c>
      <c r="BH7" s="765">
        <v>8.1427478833148346</v>
      </c>
      <c r="BI7" s="765">
        <v>8.1579603997794656</v>
      </c>
      <c r="BJ7" s="765">
        <v>8.1731729162440967</v>
      </c>
      <c r="BK7" s="765">
        <v>8.1883854327087278</v>
      </c>
      <c r="BL7" s="765">
        <v>8.2035979491733588</v>
      </c>
      <c r="BM7" s="765">
        <v>8.2188104656379899</v>
      </c>
      <c r="BN7" s="765">
        <v>8.234022982102621</v>
      </c>
      <c r="BO7" s="766">
        <v>8.2492354985672645</v>
      </c>
      <c r="BP7" s="765">
        <v>8.2648807901462327</v>
      </c>
      <c r="BQ7" s="765">
        <v>8.2805260817252009</v>
      </c>
      <c r="BR7" s="765">
        <v>8.2961713733041691</v>
      </c>
      <c r="BS7" s="765">
        <v>8.3118166648831373</v>
      </c>
      <c r="BT7" s="767">
        <v>8.3274619564621091</v>
      </c>
    </row>
    <row r="8" spans="1:72" x14ac:dyDescent="0.25">
      <c r="A8" s="768" t="s">
        <v>734</v>
      </c>
      <c r="B8" s="763" t="s">
        <v>732</v>
      </c>
      <c r="C8" s="764">
        <v>5.6269638934579786</v>
      </c>
      <c r="D8" s="764">
        <v>3.8422456293735823</v>
      </c>
      <c r="E8" s="764">
        <v>5.691139826234779</v>
      </c>
      <c r="F8" s="764">
        <v>6.2376343214286925</v>
      </c>
      <c r="G8" s="764">
        <v>6.1731978092553481</v>
      </c>
      <c r="H8" s="764">
        <v>5.4998161252939477</v>
      </c>
      <c r="I8" s="764">
        <v>5.0667498741509744</v>
      </c>
      <c r="J8" s="764">
        <v>4.6999946247856554</v>
      </c>
      <c r="K8" s="764">
        <v>4.5877827360944901</v>
      </c>
      <c r="L8" s="764">
        <v>4.4974766767249967</v>
      </c>
      <c r="M8" s="764">
        <v>4.5471429464952013</v>
      </c>
      <c r="N8" s="764">
        <v>4.6470168064225401</v>
      </c>
      <c r="O8" s="764">
        <v>4.7885290901615907</v>
      </c>
      <c r="P8" s="764">
        <v>4.9298490038457894</v>
      </c>
      <c r="Q8" s="764">
        <v>5.0143193411377212</v>
      </c>
      <c r="R8" s="764">
        <v>5.0431599369588911</v>
      </c>
      <c r="S8" s="764">
        <v>4.9958503246307417</v>
      </c>
      <c r="T8" s="764">
        <v>5.071809156885692</v>
      </c>
      <c r="U8" s="764">
        <v>5.2209958625289659</v>
      </c>
      <c r="V8" s="764">
        <v>5.4542850660827948</v>
      </c>
      <c r="W8" s="764">
        <v>5.5514960671370845</v>
      </c>
      <c r="X8" s="764">
        <v>5.5489887943807661</v>
      </c>
      <c r="Y8" s="764">
        <v>5.5622220646660265</v>
      </c>
      <c r="Z8" s="764">
        <v>5.6263508841676488</v>
      </c>
      <c r="AA8" s="764">
        <v>5.730461856104295</v>
      </c>
      <c r="AB8" s="765">
        <v>5.8123040182474703</v>
      </c>
      <c r="AC8" s="765">
        <v>5.8941461803906456</v>
      </c>
      <c r="AD8" s="765">
        <v>5.9759883425338209</v>
      </c>
      <c r="AE8" s="765">
        <v>6.0578305046769962</v>
      </c>
      <c r="AF8" s="765">
        <v>6.1396726668201715</v>
      </c>
      <c r="AG8" s="765">
        <v>6.2215148289633468</v>
      </c>
      <c r="AH8" s="765">
        <v>6.3033569911065221</v>
      </c>
      <c r="AI8" s="765">
        <v>6.3851991532496974</v>
      </c>
      <c r="AJ8" s="765">
        <v>6.4670413153928727</v>
      </c>
      <c r="AK8" s="765">
        <v>6.5488834775360516</v>
      </c>
      <c r="AL8" s="765">
        <v>6.6404720525202734</v>
      </c>
      <c r="AM8" s="765">
        <v>6.7320606275044952</v>
      </c>
      <c r="AN8" s="765">
        <v>6.823649202488717</v>
      </c>
      <c r="AO8" s="765">
        <v>6.9152377774729388</v>
      </c>
      <c r="AP8" s="765">
        <v>7.0068263524571606</v>
      </c>
      <c r="AQ8" s="765">
        <v>7.0984149274413824</v>
      </c>
      <c r="AR8" s="765">
        <v>7.1900035024256042</v>
      </c>
      <c r="AS8" s="765">
        <v>7.2815920774098259</v>
      </c>
      <c r="AT8" s="765">
        <v>7.3731806523940477</v>
      </c>
      <c r="AU8" s="765">
        <v>7.4647692273782695</v>
      </c>
      <c r="AV8" s="765">
        <v>7.5563578023624913</v>
      </c>
      <c r="AW8" s="765">
        <v>7.6479463773467131</v>
      </c>
      <c r="AX8" s="765">
        <v>7.7395349523309349</v>
      </c>
      <c r="AY8" s="765">
        <v>7.8311235273151567</v>
      </c>
      <c r="AZ8" s="766">
        <v>7.9227121022993829</v>
      </c>
      <c r="BA8" s="765">
        <v>7.9377381178566102</v>
      </c>
      <c r="BB8" s="765">
        <v>7.9527641334138375</v>
      </c>
      <c r="BC8" s="765">
        <v>7.9677901489710647</v>
      </c>
      <c r="BD8" s="765">
        <v>7.982816164528292</v>
      </c>
      <c r="BE8" s="765">
        <v>7.9978421800855193</v>
      </c>
      <c r="BF8" s="765">
        <v>8.0128681956427457</v>
      </c>
      <c r="BG8" s="765">
        <v>8.0278942111999729</v>
      </c>
      <c r="BH8" s="765">
        <v>8.0429202267572002</v>
      </c>
      <c r="BI8" s="765">
        <v>8.0579462423144275</v>
      </c>
      <c r="BJ8" s="765">
        <v>8.0729722578716547</v>
      </c>
      <c r="BK8" s="765">
        <v>8.087998273428882</v>
      </c>
      <c r="BL8" s="765">
        <v>8.1030242889861093</v>
      </c>
      <c r="BM8" s="765">
        <v>8.1180503045433365</v>
      </c>
      <c r="BN8" s="765">
        <v>8.1330763201005638</v>
      </c>
      <c r="BO8" s="766">
        <v>8.1481023356577857</v>
      </c>
      <c r="BP8" s="765">
        <v>8.1635558206357306</v>
      </c>
      <c r="BQ8" s="765">
        <v>8.1790093056136755</v>
      </c>
      <c r="BR8" s="765">
        <v>8.1944627905916203</v>
      </c>
      <c r="BS8" s="765">
        <v>8.2099162755695652</v>
      </c>
      <c r="BT8" s="767">
        <v>8.2253697605475136</v>
      </c>
    </row>
    <row r="9" spans="1:72" x14ac:dyDescent="0.25">
      <c r="A9" s="1587" t="s">
        <v>735</v>
      </c>
      <c r="B9" s="1588"/>
      <c r="C9" s="1588"/>
      <c r="D9" s="1588"/>
      <c r="E9" s="1588"/>
      <c r="F9" s="1588"/>
      <c r="G9" s="1588"/>
      <c r="H9" s="1588"/>
      <c r="I9" s="1588"/>
      <c r="J9" s="1588"/>
      <c r="K9" s="1588"/>
      <c r="L9" s="1588"/>
      <c r="M9" s="1588"/>
      <c r="N9" s="1588"/>
      <c r="O9" s="1588"/>
      <c r="P9" s="1588"/>
      <c r="Q9" s="1588"/>
      <c r="R9" s="1588"/>
      <c r="S9" s="1588"/>
      <c r="T9" s="1588"/>
      <c r="U9" s="1588"/>
      <c r="V9" s="1588"/>
      <c r="W9" s="1588"/>
      <c r="X9" s="1588"/>
      <c r="Y9" s="1588"/>
      <c r="Z9" s="1588"/>
      <c r="AA9" s="1588"/>
      <c r="AB9" s="1588"/>
      <c r="AC9" s="1588"/>
      <c r="AD9" s="1588"/>
      <c r="AE9" s="1588"/>
      <c r="AF9" s="1588"/>
      <c r="AG9" s="1588"/>
      <c r="AH9" s="1588"/>
      <c r="AI9" s="1588"/>
      <c r="AJ9" s="1588"/>
      <c r="AK9" s="1588"/>
      <c r="AL9" s="1588"/>
      <c r="AM9" s="1588"/>
      <c r="AN9" s="1588"/>
      <c r="AO9" s="1588"/>
      <c r="AP9" s="1588"/>
      <c r="AQ9" s="1588"/>
      <c r="AR9" s="1588"/>
      <c r="AS9" s="1588"/>
      <c r="AT9" s="1588"/>
      <c r="AU9" s="1588"/>
      <c r="AV9" s="1588"/>
      <c r="AW9" s="1588"/>
      <c r="AX9" s="1588"/>
      <c r="AY9" s="1588"/>
      <c r="AZ9" s="1588"/>
      <c r="BA9" s="1588"/>
      <c r="BB9" s="1588"/>
      <c r="BC9" s="1588"/>
      <c r="BD9" s="1588"/>
      <c r="BE9" s="1588"/>
      <c r="BF9" s="1588"/>
      <c r="BG9" s="1588"/>
      <c r="BH9" s="1588"/>
      <c r="BI9" s="1588"/>
      <c r="BJ9" s="1588"/>
      <c r="BK9" s="1588"/>
      <c r="BL9" s="1588"/>
      <c r="BM9" s="1588"/>
      <c r="BN9" s="1588"/>
      <c r="BO9" s="1588"/>
      <c r="BP9" s="1588"/>
      <c r="BQ9" s="1588"/>
      <c r="BR9" s="1588"/>
      <c r="BS9" s="1588"/>
      <c r="BT9" s="1589"/>
    </row>
    <row r="10" spans="1:72" x14ac:dyDescent="0.25">
      <c r="A10" s="768" t="s">
        <v>668</v>
      </c>
      <c r="B10" s="763" t="s">
        <v>732</v>
      </c>
      <c r="C10" s="764">
        <v>24.866788774356646</v>
      </c>
      <c r="D10" s="764">
        <v>24.345010037692106</v>
      </c>
      <c r="E10" s="764">
        <v>24.223933219909672</v>
      </c>
      <c r="F10" s="764">
        <v>24.020635352944481</v>
      </c>
      <c r="G10" s="764">
        <v>23.91295186528621</v>
      </c>
      <c r="H10" s="764">
        <v>22.837542614846832</v>
      </c>
      <c r="I10" s="764">
        <v>21.69091966017233</v>
      </c>
      <c r="J10" s="764">
        <v>21.090846376599046</v>
      </c>
      <c r="K10" s="764">
        <v>21.058556043876806</v>
      </c>
      <c r="L10" s="764">
        <v>20.987678365887316</v>
      </c>
      <c r="M10" s="764">
        <v>20.983490961902529</v>
      </c>
      <c r="N10" s="764">
        <v>21.313707333690761</v>
      </c>
      <c r="O10" s="764">
        <v>21.638938984780914</v>
      </c>
      <c r="P10" s="764">
        <v>22.13258341123478</v>
      </c>
      <c r="Q10" s="764">
        <v>22.313049388381657</v>
      </c>
      <c r="R10" s="764">
        <v>22.486876361774936</v>
      </c>
      <c r="S10" s="764">
        <v>22.494946956634521</v>
      </c>
      <c r="T10" s="764">
        <v>22.662665807975912</v>
      </c>
      <c r="U10" s="764">
        <v>22.922821701697636</v>
      </c>
      <c r="V10" s="764">
        <v>23.270139622238439</v>
      </c>
      <c r="W10" s="764">
        <v>23.509686568997985</v>
      </c>
      <c r="X10" s="764">
        <v>23.493712398241108</v>
      </c>
      <c r="Y10" s="764">
        <v>23.423848763951703</v>
      </c>
      <c r="Z10" s="764">
        <v>23.513217827059155</v>
      </c>
      <c r="AA10" s="764">
        <v>23.645542576627872</v>
      </c>
      <c r="AB10" s="765">
        <v>23.786749293232678</v>
      </c>
      <c r="AC10" s="765">
        <v>23.927956009837484</v>
      </c>
      <c r="AD10" s="765">
        <v>24.06916272644229</v>
      </c>
      <c r="AE10" s="765">
        <v>24.210369443047096</v>
      </c>
      <c r="AF10" s="765">
        <v>24.351576159651902</v>
      </c>
      <c r="AG10" s="765">
        <v>24.492782876256708</v>
      </c>
      <c r="AH10" s="765">
        <v>24.633989592861514</v>
      </c>
      <c r="AI10" s="765">
        <v>24.77519630946632</v>
      </c>
      <c r="AJ10" s="765">
        <v>24.916403026071126</v>
      </c>
      <c r="AK10" s="765">
        <v>25.057609742675933</v>
      </c>
      <c r="AL10" s="765">
        <v>25.047759076850095</v>
      </c>
      <c r="AM10" s="765">
        <v>25.037908411024258</v>
      </c>
      <c r="AN10" s="765">
        <v>25.028057745198421</v>
      </c>
      <c r="AO10" s="765">
        <v>25.018207079372583</v>
      </c>
      <c r="AP10" s="765">
        <v>25.008356413546746</v>
      </c>
      <c r="AQ10" s="765">
        <v>24.998505747720909</v>
      </c>
      <c r="AR10" s="765">
        <v>24.988655081895072</v>
      </c>
      <c r="AS10" s="765">
        <v>24.978804416069234</v>
      </c>
      <c r="AT10" s="765">
        <v>24.968953750243397</v>
      </c>
      <c r="AU10" s="765">
        <v>24.95910308441756</v>
      </c>
      <c r="AV10" s="765">
        <v>24.949252418591723</v>
      </c>
      <c r="AW10" s="765">
        <v>24.939401752765885</v>
      </c>
      <c r="AX10" s="765">
        <v>24.929551086940048</v>
      </c>
      <c r="AY10" s="765">
        <v>24.919700421114211</v>
      </c>
      <c r="AZ10" s="766">
        <v>24.90984975528837</v>
      </c>
      <c r="BA10" s="765">
        <v>24.925673674379027</v>
      </c>
      <c r="BB10" s="765">
        <v>24.941497593469684</v>
      </c>
      <c r="BC10" s="765">
        <v>24.957321512560341</v>
      </c>
      <c r="BD10" s="765">
        <v>24.973145431650998</v>
      </c>
      <c r="BE10" s="765">
        <v>24.988969350741655</v>
      </c>
      <c r="BF10" s="765">
        <v>25.004793269832312</v>
      </c>
      <c r="BG10" s="765">
        <v>25.020617188922969</v>
      </c>
      <c r="BH10" s="765">
        <v>25.036441108013626</v>
      </c>
      <c r="BI10" s="765">
        <v>25.052265027104283</v>
      </c>
      <c r="BJ10" s="765">
        <v>25.068088946194941</v>
      </c>
      <c r="BK10" s="765">
        <v>25.083912865285598</v>
      </c>
      <c r="BL10" s="765">
        <v>25.099736784376255</v>
      </c>
      <c r="BM10" s="765">
        <v>25.115560703466912</v>
      </c>
      <c r="BN10" s="765">
        <v>25.131384622557569</v>
      </c>
      <c r="BO10" s="766">
        <v>25.147208541648205</v>
      </c>
      <c r="BP10" s="765">
        <v>25.163183242307905</v>
      </c>
      <c r="BQ10" s="765">
        <v>25.179157942967606</v>
      </c>
      <c r="BR10" s="765">
        <v>25.195132643627307</v>
      </c>
      <c r="BS10" s="765">
        <v>25.211107344287008</v>
      </c>
      <c r="BT10" s="767">
        <v>25.227082044946716</v>
      </c>
    </row>
    <row r="11" spans="1:72" x14ac:dyDescent="0.25">
      <c r="A11" s="768" t="s">
        <v>683</v>
      </c>
      <c r="B11" s="763" t="s">
        <v>732</v>
      </c>
      <c r="C11" s="764">
        <v>16.038863482553147</v>
      </c>
      <c r="D11" s="764">
        <v>15.36037109932807</v>
      </c>
      <c r="E11" s="764">
        <v>15.664056310113844</v>
      </c>
      <c r="F11" s="764">
        <v>16.390134465019642</v>
      </c>
      <c r="G11" s="764">
        <v>16.26049394877451</v>
      </c>
      <c r="H11" s="764">
        <v>15.718549229064077</v>
      </c>
      <c r="I11" s="764">
        <v>15.083546116666987</v>
      </c>
      <c r="J11" s="764">
        <v>14.764544869368896</v>
      </c>
      <c r="K11" s="764">
        <v>14.679648534306921</v>
      </c>
      <c r="L11" s="764">
        <v>14.510741661179726</v>
      </c>
      <c r="M11" s="764">
        <v>14.370329416023063</v>
      </c>
      <c r="N11" s="764">
        <v>14.522587083420669</v>
      </c>
      <c r="O11" s="764">
        <v>14.791267903345901</v>
      </c>
      <c r="P11" s="764">
        <v>15.142176731577413</v>
      </c>
      <c r="Q11" s="764">
        <v>15.304996360023072</v>
      </c>
      <c r="R11" s="764">
        <v>15.443286072533045</v>
      </c>
      <c r="S11" s="764">
        <v>15.485992224711291</v>
      </c>
      <c r="T11" s="764">
        <v>15.663456831338236</v>
      </c>
      <c r="U11" s="764">
        <v>15.910829809476709</v>
      </c>
      <c r="V11" s="764">
        <v>16.241389166634008</v>
      </c>
      <c r="W11" s="764">
        <v>16.419768400912066</v>
      </c>
      <c r="X11" s="764">
        <v>16.405212897174714</v>
      </c>
      <c r="Y11" s="764">
        <v>16.372526888577397</v>
      </c>
      <c r="Z11" s="764">
        <v>16.449089176249931</v>
      </c>
      <c r="AA11" s="764">
        <v>16.568027554817903</v>
      </c>
      <c r="AB11" s="765">
        <v>16.704753726753587</v>
      </c>
      <c r="AC11" s="765">
        <v>16.841479898689272</v>
      </c>
      <c r="AD11" s="765">
        <v>16.978206070624957</v>
      </c>
      <c r="AE11" s="765">
        <v>17.114932242560641</v>
      </c>
      <c r="AF11" s="765">
        <v>17.251658414496326</v>
      </c>
      <c r="AG11" s="765">
        <v>17.388384586432011</v>
      </c>
      <c r="AH11" s="765">
        <v>17.525110758367695</v>
      </c>
      <c r="AI11" s="765">
        <v>17.66183693030338</v>
      </c>
      <c r="AJ11" s="765">
        <v>17.798563102239065</v>
      </c>
      <c r="AK11" s="765">
        <v>17.935289274174743</v>
      </c>
      <c r="AL11" s="765">
        <v>17.928238540168429</v>
      </c>
      <c r="AM11" s="765">
        <v>17.921187806162116</v>
      </c>
      <c r="AN11" s="765">
        <v>17.914137072155803</v>
      </c>
      <c r="AO11" s="765">
        <v>17.90708633814949</v>
      </c>
      <c r="AP11" s="765">
        <v>17.900035604143177</v>
      </c>
      <c r="AQ11" s="765">
        <v>17.892984870136864</v>
      </c>
      <c r="AR11" s="765">
        <v>17.885934136130551</v>
      </c>
      <c r="AS11" s="765">
        <v>17.878883402124238</v>
      </c>
      <c r="AT11" s="765">
        <v>17.871832668117925</v>
      </c>
      <c r="AU11" s="765">
        <v>17.864781934111612</v>
      </c>
      <c r="AV11" s="765">
        <v>17.857731200105299</v>
      </c>
      <c r="AW11" s="765">
        <v>17.850680466098986</v>
      </c>
      <c r="AX11" s="765">
        <v>17.843629732092673</v>
      </c>
      <c r="AY11" s="765">
        <v>17.83657899808636</v>
      </c>
      <c r="AZ11" s="766">
        <v>17.829528264080036</v>
      </c>
      <c r="BA11" s="765">
        <v>17.840854426840831</v>
      </c>
      <c r="BB11" s="765">
        <v>17.852180589601627</v>
      </c>
      <c r="BC11" s="765">
        <v>17.863506752362422</v>
      </c>
      <c r="BD11" s="765">
        <v>17.874832915123218</v>
      </c>
      <c r="BE11" s="765">
        <v>17.886159077884013</v>
      </c>
      <c r="BF11" s="765">
        <v>17.897485240644809</v>
      </c>
      <c r="BG11" s="765">
        <v>17.908811403405604</v>
      </c>
      <c r="BH11" s="765">
        <v>17.9201375661664</v>
      </c>
      <c r="BI11" s="765">
        <v>17.931463728927195</v>
      </c>
      <c r="BJ11" s="765">
        <v>17.94278989168799</v>
      </c>
      <c r="BK11" s="765">
        <v>17.954116054448786</v>
      </c>
      <c r="BL11" s="765">
        <v>17.965442217209581</v>
      </c>
      <c r="BM11" s="765">
        <v>17.976768379970377</v>
      </c>
      <c r="BN11" s="765">
        <v>17.988094542731172</v>
      </c>
      <c r="BO11" s="766">
        <v>17.999420705491971</v>
      </c>
      <c r="BP11" s="765">
        <v>18.010854791996724</v>
      </c>
      <c r="BQ11" s="765">
        <v>18.022288878501477</v>
      </c>
      <c r="BR11" s="765">
        <v>18.033722965006231</v>
      </c>
      <c r="BS11" s="765">
        <v>18.045157051510984</v>
      </c>
      <c r="BT11" s="767">
        <v>18.056591138015737</v>
      </c>
    </row>
    <row r="12" spans="1:72" x14ac:dyDescent="0.25">
      <c r="A12" s="769" t="s">
        <v>736</v>
      </c>
      <c r="B12" s="763"/>
      <c r="C12" s="763"/>
      <c r="D12" s="763"/>
      <c r="E12" s="763"/>
      <c r="F12" s="763"/>
      <c r="G12" s="763"/>
      <c r="H12" s="763"/>
      <c r="I12" s="763"/>
      <c r="J12" s="763"/>
      <c r="K12" s="763"/>
      <c r="L12" s="763"/>
      <c r="M12" s="763"/>
      <c r="N12" s="763"/>
      <c r="O12" s="763"/>
      <c r="P12" s="763"/>
      <c r="Q12" s="763"/>
      <c r="R12" s="763"/>
      <c r="S12" s="763"/>
      <c r="T12" s="763"/>
      <c r="U12" s="763"/>
      <c r="V12" s="763"/>
      <c r="W12" s="763"/>
      <c r="X12" s="763"/>
      <c r="Y12" s="763"/>
      <c r="Z12" s="763"/>
      <c r="AA12" s="763"/>
      <c r="AB12" s="763"/>
      <c r="AC12" s="763"/>
      <c r="AD12" s="763"/>
      <c r="AE12" s="763"/>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70"/>
    </row>
    <row r="13" spans="1:72" x14ac:dyDescent="0.25">
      <c r="A13" s="768" t="s">
        <v>1060</v>
      </c>
      <c r="B13" s="763" t="s">
        <v>732</v>
      </c>
      <c r="C13" s="764">
        <v>1.3268491834774256</v>
      </c>
      <c r="D13" s="764">
        <v>1.32388562245189</v>
      </c>
      <c r="E13" s="764">
        <v>1.3334961719108085</v>
      </c>
      <c r="F13" s="764">
        <v>1.3380821099821107</v>
      </c>
      <c r="G13" s="764">
        <v>1.3443425871291239</v>
      </c>
      <c r="H13" s="764">
        <v>1.3528785733681756</v>
      </c>
      <c r="I13" s="764">
        <v>1.3415886383011697</v>
      </c>
      <c r="J13" s="764">
        <v>1.3403624656065469</v>
      </c>
      <c r="K13" s="764">
        <v>1.330997225248586</v>
      </c>
      <c r="L13" s="764">
        <v>1.3164209684110997</v>
      </c>
      <c r="M13" s="764">
        <v>1.3072140481112184</v>
      </c>
      <c r="N13" s="764">
        <v>1.3019573002491378</v>
      </c>
      <c r="O13" s="764">
        <v>1.2978333982656636</v>
      </c>
      <c r="P13" s="764">
        <v>1.295833644439585</v>
      </c>
      <c r="Q13" s="764">
        <v>1.2953486183904279</v>
      </c>
      <c r="R13" s="764">
        <v>1.2970626753456174</v>
      </c>
      <c r="S13" s="764">
        <v>1.2955796364343368</v>
      </c>
      <c r="T13" s="764">
        <v>1.3002382724914889</v>
      </c>
      <c r="U13" s="764">
        <v>1.3044509032987155</v>
      </c>
      <c r="V13" s="764">
        <v>1.3304805103337984</v>
      </c>
      <c r="W13" s="764">
        <v>1.3397570218680066</v>
      </c>
      <c r="X13" s="764">
        <v>1.3519914094007222</v>
      </c>
      <c r="Y13" s="764">
        <v>1.3569265463442153</v>
      </c>
      <c r="Z13" s="764">
        <v>1.3726611244228613</v>
      </c>
      <c r="AA13" s="764">
        <v>1.3854931266802686</v>
      </c>
      <c r="AB13" s="765">
        <v>1.3951349014789893</v>
      </c>
      <c r="AC13" s="765">
        <v>1.4047766762777101</v>
      </c>
      <c r="AD13" s="765">
        <v>1.4144184510764308</v>
      </c>
      <c r="AE13" s="765">
        <v>1.4240602258751516</v>
      </c>
      <c r="AF13" s="765">
        <v>1.4337020006738723</v>
      </c>
      <c r="AG13" s="765">
        <v>1.4433437754725931</v>
      </c>
      <c r="AH13" s="765">
        <v>1.4529855502713138</v>
      </c>
      <c r="AI13" s="765">
        <v>1.4626273250700346</v>
      </c>
      <c r="AJ13" s="765">
        <v>1.4722690998687553</v>
      </c>
      <c r="AK13" s="765">
        <v>1.481910874667477</v>
      </c>
      <c r="AL13" s="765">
        <v>1.4862555877963981</v>
      </c>
      <c r="AM13" s="765">
        <v>1.4906003009253193</v>
      </c>
      <c r="AN13" s="765">
        <v>1.4949450140542404</v>
      </c>
      <c r="AO13" s="765">
        <v>1.4992897271831616</v>
      </c>
      <c r="AP13" s="765">
        <v>1.5036344403120827</v>
      </c>
      <c r="AQ13" s="765">
        <v>1.5079791534410039</v>
      </c>
      <c r="AR13" s="765">
        <v>1.512323866569925</v>
      </c>
      <c r="AS13" s="765">
        <v>1.5166685796988462</v>
      </c>
      <c r="AT13" s="765">
        <v>1.5210132928277673</v>
      </c>
      <c r="AU13" s="765">
        <v>1.5253580059566885</v>
      </c>
      <c r="AV13" s="765">
        <v>1.5297027190856096</v>
      </c>
      <c r="AW13" s="765">
        <v>1.5340474322145308</v>
      </c>
      <c r="AX13" s="765">
        <v>1.5383921453434519</v>
      </c>
      <c r="AY13" s="765">
        <v>1.5427368584723731</v>
      </c>
      <c r="AZ13" s="766">
        <v>1.5470815716012942</v>
      </c>
      <c r="BA13" s="765">
        <v>1.5500157274134729</v>
      </c>
      <c r="BB13" s="765">
        <v>1.5529498832256516</v>
      </c>
      <c r="BC13" s="765">
        <v>1.5558840390378303</v>
      </c>
      <c r="BD13" s="765">
        <v>1.5588181948500091</v>
      </c>
      <c r="BE13" s="765">
        <v>1.5617523506621878</v>
      </c>
      <c r="BF13" s="765">
        <v>1.5646865064743665</v>
      </c>
      <c r="BG13" s="765">
        <v>1.5676206622865452</v>
      </c>
      <c r="BH13" s="765">
        <v>1.5705548180987239</v>
      </c>
      <c r="BI13" s="765">
        <v>1.5734889739109026</v>
      </c>
      <c r="BJ13" s="765">
        <v>1.5764231297230813</v>
      </c>
      <c r="BK13" s="765">
        <v>1.57935728553526</v>
      </c>
      <c r="BL13" s="765">
        <v>1.5822914413474387</v>
      </c>
      <c r="BM13" s="765">
        <v>1.5852255971596174</v>
      </c>
      <c r="BN13" s="765">
        <v>1.5881597529717961</v>
      </c>
      <c r="BO13" s="766">
        <v>1.5910939087839742</v>
      </c>
      <c r="BP13" s="765">
        <v>1.5941115372826113</v>
      </c>
      <c r="BQ13" s="765">
        <v>1.5971291657812485</v>
      </c>
      <c r="BR13" s="765">
        <v>1.6001467942798857</v>
      </c>
      <c r="BS13" s="765">
        <v>1.6031644227785229</v>
      </c>
      <c r="BT13" s="767">
        <v>1.6061820512771605</v>
      </c>
    </row>
    <row r="14" spans="1:72" x14ac:dyDescent="0.25">
      <c r="A14" s="1587" t="s">
        <v>737</v>
      </c>
      <c r="B14" s="1588"/>
      <c r="C14" s="1588"/>
      <c r="D14" s="1588"/>
      <c r="E14" s="1588"/>
      <c r="F14" s="1588"/>
      <c r="G14" s="1588"/>
      <c r="H14" s="1588"/>
      <c r="I14" s="1588"/>
      <c r="J14" s="1588"/>
      <c r="K14" s="1588"/>
      <c r="L14" s="1588"/>
      <c r="M14" s="1588"/>
      <c r="N14" s="1588"/>
      <c r="O14" s="1588"/>
      <c r="P14" s="1588"/>
      <c r="Q14" s="1588"/>
      <c r="R14" s="1588"/>
      <c r="S14" s="1588"/>
      <c r="T14" s="1588"/>
      <c r="U14" s="1588"/>
      <c r="V14" s="1588"/>
      <c r="W14" s="1588"/>
      <c r="X14" s="1588"/>
      <c r="Y14" s="1588"/>
      <c r="Z14" s="1588"/>
      <c r="AA14" s="1588"/>
      <c r="AB14" s="1588"/>
      <c r="AC14" s="1588"/>
      <c r="AD14" s="1588"/>
      <c r="AE14" s="1588"/>
      <c r="AF14" s="1588"/>
      <c r="AG14" s="1588"/>
      <c r="AH14" s="1588"/>
      <c r="AI14" s="1588"/>
      <c r="AJ14" s="1588"/>
      <c r="AK14" s="1588"/>
      <c r="AL14" s="1588"/>
      <c r="AM14" s="1588"/>
      <c r="AN14" s="1588"/>
      <c r="AO14" s="1588"/>
      <c r="AP14" s="1588"/>
      <c r="AQ14" s="1588"/>
      <c r="AR14" s="1588"/>
      <c r="AS14" s="1588"/>
      <c r="AT14" s="1588"/>
      <c r="AU14" s="1588"/>
      <c r="AV14" s="1588"/>
      <c r="AW14" s="1588"/>
      <c r="AX14" s="1588"/>
      <c r="AY14" s="1588"/>
      <c r="AZ14" s="1588"/>
      <c r="BA14" s="1588"/>
      <c r="BB14" s="1588"/>
      <c r="BC14" s="1588"/>
      <c r="BD14" s="1588"/>
      <c r="BE14" s="1588"/>
      <c r="BF14" s="1588"/>
      <c r="BG14" s="1588"/>
      <c r="BH14" s="1588"/>
      <c r="BI14" s="1588"/>
      <c r="BJ14" s="1588"/>
      <c r="BK14" s="1588"/>
      <c r="BL14" s="1588"/>
      <c r="BM14" s="1588"/>
      <c r="BN14" s="1588"/>
      <c r="BO14" s="1588"/>
      <c r="BP14" s="1588"/>
      <c r="BQ14" s="1588"/>
      <c r="BR14" s="1588"/>
      <c r="BS14" s="1588"/>
      <c r="BT14" s="1589"/>
    </row>
    <row r="15" spans="1:72" ht="23.4" x14ac:dyDescent="0.25">
      <c r="A15" s="762" t="s">
        <v>738</v>
      </c>
      <c r="B15" s="763" t="s">
        <v>732</v>
      </c>
      <c r="C15" s="764">
        <v>10.789461735918687</v>
      </c>
      <c r="D15" s="764">
        <v>9.9590971559848445</v>
      </c>
      <c r="E15" s="764">
        <v>11.383831536994775</v>
      </c>
      <c r="F15" s="764">
        <v>12.531178240506115</v>
      </c>
      <c r="G15" s="764">
        <v>12.036300060884058</v>
      </c>
      <c r="H15" s="764">
        <v>12.613383383121093</v>
      </c>
      <c r="I15" s="764">
        <v>13.01890940036416</v>
      </c>
      <c r="J15" s="764">
        <v>12.908589399085846</v>
      </c>
      <c r="K15" s="764">
        <v>12.946875513724528</v>
      </c>
      <c r="L15" s="764">
        <v>13.039098811599491</v>
      </c>
      <c r="M15" s="764">
        <v>13.088955960183741</v>
      </c>
      <c r="N15" s="764">
        <v>13.133508268392355</v>
      </c>
      <c r="O15" s="764">
        <v>13.038477461293056</v>
      </c>
      <c r="P15" s="764">
        <v>12.989168095138872</v>
      </c>
      <c r="Q15" s="764">
        <v>12.752903866318045</v>
      </c>
      <c r="R15" s="764">
        <v>12.539506322932722</v>
      </c>
      <c r="S15" s="764">
        <v>12.335074118848111</v>
      </c>
      <c r="T15" s="764">
        <v>12.292193988584152</v>
      </c>
      <c r="U15" s="764">
        <v>12.304560350921868</v>
      </c>
      <c r="V15" s="764">
        <v>12.340337204483362</v>
      </c>
      <c r="W15" s="764">
        <v>12.418707870087554</v>
      </c>
      <c r="X15" s="764">
        <v>12.438495640484758</v>
      </c>
      <c r="Y15" s="764">
        <v>12.492141534697302</v>
      </c>
      <c r="Z15" s="764">
        <v>12.624332072599859</v>
      </c>
      <c r="AA15" s="764">
        <v>13.025979869770596</v>
      </c>
      <c r="AB15" s="764">
        <v>13.053872203635709</v>
      </c>
      <c r="AC15" s="764">
        <v>13.081764537500822</v>
      </c>
      <c r="AD15" s="764">
        <v>13.109656871365935</v>
      </c>
      <c r="AE15" s="764">
        <v>13.137549205231048</v>
      </c>
      <c r="AF15" s="764">
        <v>13.165441539096161</v>
      </c>
      <c r="AG15" s="764">
        <v>13.193333872961274</v>
      </c>
      <c r="AH15" s="764">
        <v>13.221226206826387</v>
      </c>
      <c r="AI15" s="764">
        <v>13.2491185406915</v>
      </c>
      <c r="AJ15" s="764">
        <v>13.277010874556613</v>
      </c>
      <c r="AK15" s="764">
        <v>13.304903208421727</v>
      </c>
      <c r="AL15" s="764">
        <v>13.445726499778688</v>
      </c>
      <c r="AM15" s="764">
        <v>13.586549791135649</v>
      </c>
      <c r="AN15" s="764">
        <v>13.72737308249261</v>
      </c>
      <c r="AO15" s="764">
        <v>13.868196373849571</v>
      </c>
      <c r="AP15" s="764">
        <v>14.009019665206532</v>
      </c>
      <c r="AQ15" s="764">
        <v>14.149842956563493</v>
      </c>
      <c r="AR15" s="764">
        <v>14.290666247920454</v>
      </c>
      <c r="AS15" s="764">
        <v>14.431489539277415</v>
      </c>
      <c r="AT15" s="764">
        <v>14.572312830634376</v>
      </c>
      <c r="AU15" s="764">
        <v>14.713136121991337</v>
      </c>
      <c r="AV15" s="764">
        <v>14.853959413348298</v>
      </c>
      <c r="AW15" s="764">
        <v>14.994782704705258</v>
      </c>
      <c r="AX15" s="764">
        <v>15.135605996062219</v>
      </c>
      <c r="AY15" s="764">
        <v>15.27642928741918</v>
      </c>
      <c r="AZ15" s="764">
        <v>15.417252578776129</v>
      </c>
      <c r="BA15" s="764">
        <v>15.505038084680947</v>
      </c>
      <c r="BB15" s="764">
        <v>15.592823590585766</v>
      </c>
      <c r="BC15" s="764">
        <v>15.680609096490585</v>
      </c>
      <c r="BD15" s="764">
        <v>15.768394602395404</v>
      </c>
      <c r="BE15" s="764">
        <v>15.856180108300222</v>
      </c>
      <c r="BF15" s="764">
        <v>15.943965614205041</v>
      </c>
      <c r="BG15" s="764">
        <v>16.03175112010986</v>
      </c>
      <c r="BH15" s="764">
        <v>16.119536626014678</v>
      </c>
      <c r="BI15" s="764">
        <v>16.207322131919497</v>
      </c>
      <c r="BJ15" s="764">
        <v>16.295107637824316</v>
      </c>
      <c r="BK15" s="764">
        <v>16.382893143729135</v>
      </c>
      <c r="BL15" s="764">
        <v>16.470678649633953</v>
      </c>
      <c r="BM15" s="764">
        <v>16.558464155538772</v>
      </c>
      <c r="BN15" s="764">
        <v>16.646249661443591</v>
      </c>
      <c r="BO15" s="764">
        <v>16.734035167348416</v>
      </c>
      <c r="BP15" s="764">
        <v>16.829318405103567</v>
      </c>
      <c r="BQ15" s="764">
        <v>16.924601642858718</v>
      </c>
      <c r="BR15" s="764">
        <v>17.019884880613869</v>
      </c>
      <c r="BS15" s="764">
        <v>17.11516811836902</v>
      </c>
      <c r="BT15" s="771">
        <v>17.210451356124164</v>
      </c>
    </row>
    <row r="16" spans="1:72" x14ac:dyDescent="0.25">
      <c r="A16" s="768" t="s">
        <v>739</v>
      </c>
      <c r="B16" s="763" t="s">
        <v>732</v>
      </c>
      <c r="C16" s="764">
        <v>12.730520250245322</v>
      </c>
      <c r="D16" s="764">
        <v>11.801320287416596</v>
      </c>
      <c r="E16" s="764">
        <v>13.477350603859424</v>
      </c>
      <c r="F16" s="764">
        <v>15.275134761378448</v>
      </c>
      <c r="G16" s="764">
        <v>14.956036086352325</v>
      </c>
      <c r="H16" s="764">
        <v>15.333911517881027</v>
      </c>
      <c r="I16" s="764">
        <v>14.969645149302909</v>
      </c>
      <c r="J16" s="764">
        <v>14.856007634468792</v>
      </c>
      <c r="K16" s="764">
        <v>14.855665643260203</v>
      </c>
      <c r="L16" s="764">
        <v>14.676357863084307</v>
      </c>
      <c r="M16" s="764">
        <v>14.660823111264261</v>
      </c>
      <c r="N16" s="764">
        <v>14.621396694543213</v>
      </c>
      <c r="O16" s="764">
        <v>14.496914877081778</v>
      </c>
      <c r="P16" s="764">
        <v>14.525867813038341</v>
      </c>
      <c r="Q16" s="764">
        <v>14.406443289990676</v>
      </c>
      <c r="R16" s="764">
        <v>14.511791494657368</v>
      </c>
      <c r="S16" s="764">
        <v>14.408484301477108</v>
      </c>
      <c r="T16" s="764">
        <v>14.421367627269808</v>
      </c>
      <c r="U16" s="764">
        <v>14.483474821414545</v>
      </c>
      <c r="V16" s="764">
        <v>14.423047758498246</v>
      </c>
      <c r="W16" s="764">
        <v>14.678410804496627</v>
      </c>
      <c r="X16" s="764">
        <v>14.842794247393387</v>
      </c>
      <c r="Y16" s="764">
        <v>14.985196801851416</v>
      </c>
      <c r="Z16" s="764">
        <v>15.125157698145465</v>
      </c>
      <c r="AA16" s="764">
        <v>15.225733932459173</v>
      </c>
      <c r="AB16" s="765">
        <v>15.312322281050708</v>
      </c>
      <c r="AC16" s="765">
        <v>15.398910629642243</v>
      </c>
      <c r="AD16" s="765">
        <v>15.485498978233778</v>
      </c>
      <c r="AE16" s="765">
        <v>15.572087326825313</v>
      </c>
      <c r="AF16" s="765">
        <v>15.658675675416848</v>
      </c>
      <c r="AG16" s="765">
        <v>15.745264024008383</v>
      </c>
      <c r="AH16" s="765">
        <v>15.831852372599919</v>
      </c>
      <c r="AI16" s="765">
        <v>15.918440721191454</v>
      </c>
      <c r="AJ16" s="765">
        <v>16.005029069782989</v>
      </c>
      <c r="AK16" s="765">
        <v>16.091617418374518</v>
      </c>
      <c r="AL16" s="765">
        <v>16.26193617174043</v>
      </c>
      <c r="AM16" s="765">
        <v>16.432254925106342</v>
      </c>
      <c r="AN16" s="765">
        <v>16.602573678472254</v>
      </c>
      <c r="AO16" s="765">
        <v>16.772892431838166</v>
      </c>
      <c r="AP16" s="765">
        <v>16.943211185204078</v>
      </c>
      <c r="AQ16" s="765">
        <v>17.113529938569989</v>
      </c>
      <c r="AR16" s="765">
        <v>17.283848691935901</v>
      </c>
      <c r="AS16" s="765">
        <v>17.454167445301813</v>
      </c>
      <c r="AT16" s="765">
        <v>17.624486198667725</v>
      </c>
      <c r="AU16" s="765">
        <v>17.794804952033637</v>
      </c>
      <c r="AV16" s="765">
        <v>17.965123705399549</v>
      </c>
      <c r="AW16" s="765">
        <v>18.135442458765461</v>
      </c>
      <c r="AX16" s="765">
        <v>18.305761212131372</v>
      </c>
      <c r="AY16" s="765">
        <v>18.476079965497284</v>
      </c>
      <c r="AZ16" s="764">
        <v>18.646398718863171</v>
      </c>
      <c r="BA16" s="765">
        <v>18.752570913712709</v>
      </c>
      <c r="BB16" s="765">
        <v>18.858743108562248</v>
      </c>
      <c r="BC16" s="765">
        <v>18.964915303411786</v>
      </c>
      <c r="BD16" s="765">
        <v>19.071087498261324</v>
      </c>
      <c r="BE16" s="765">
        <v>19.177259693110862</v>
      </c>
      <c r="BF16" s="765">
        <v>19.283431887960401</v>
      </c>
      <c r="BG16" s="765">
        <v>19.389604082809939</v>
      </c>
      <c r="BH16" s="765">
        <v>19.495776277659477</v>
      </c>
      <c r="BI16" s="765">
        <v>19.601948472509015</v>
      </c>
      <c r="BJ16" s="765">
        <v>19.708120667358553</v>
      </c>
      <c r="BK16" s="765">
        <v>19.814292862208092</v>
      </c>
      <c r="BL16" s="765">
        <v>19.92046505705763</v>
      </c>
      <c r="BM16" s="765">
        <v>20.026637251907168</v>
      </c>
      <c r="BN16" s="765">
        <v>20.132809446756706</v>
      </c>
      <c r="BO16" s="764">
        <v>20.238981641606255</v>
      </c>
      <c r="BP16" s="765">
        <v>20.354221969500514</v>
      </c>
      <c r="BQ16" s="765">
        <v>20.469462297394774</v>
      </c>
      <c r="BR16" s="765">
        <v>20.584702625289033</v>
      </c>
      <c r="BS16" s="765">
        <v>20.699942953183292</v>
      </c>
      <c r="BT16" s="771">
        <v>20.815183281077545</v>
      </c>
    </row>
    <row r="17" spans="1:72" x14ac:dyDescent="0.25">
      <c r="A17" s="768" t="s">
        <v>309</v>
      </c>
      <c r="B17" s="763" t="s">
        <v>732</v>
      </c>
      <c r="C17" s="764">
        <v>15.730049999999999</v>
      </c>
      <c r="D17" s="764">
        <v>15.730049999999999</v>
      </c>
      <c r="E17" s="764">
        <v>15.730049999999999</v>
      </c>
      <c r="F17" s="764">
        <v>15.730049999999999</v>
      </c>
      <c r="G17" s="764">
        <v>15.730049999999999</v>
      </c>
      <c r="H17" s="764">
        <v>15.730049999999999</v>
      </c>
      <c r="I17" s="764">
        <v>15.730049999999999</v>
      </c>
      <c r="J17" s="764">
        <v>15.730049999999999</v>
      </c>
      <c r="K17" s="764">
        <v>15.730049999999999</v>
      </c>
      <c r="L17" s="764">
        <v>15.730049999999999</v>
      </c>
      <c r="M17" s="764">
        <v>15.730049999999999</v>
      </c>
      <c r="N17" s="764">
        <v>15.730049999999999</v>
      </c>
      <c r="O17" s="764">
        <v>15.730049999999999</v>
      </c>
      <c r="P17" s="764">
        <v>15.730049999999999</v>
      </c>
      <c r="Q17" s="764">
        <v>15.730049999999999</v>
      </c>
      <c r="R17" s="764">
        <v>15.730049999999999</v>
      </c>
      <c r="S17" s="764">
        <v>15.730049999999999</v>
      </c>
      <c r="T17" s="764">
        <v>15.730049999999999</v>
      </c>
      <c r="U17" s="764">
        <v>15.730049999999999</v>
      </c>
      <c r="V17" s="764">
        <v>15.730049999999999</v>
      </c>
      <c r="W17" s="764">
        <v>15.730049999999999</v>
      </c>
      <c r="X17" s="764">
        <v>15.730049999999999</v>
      </c>
      <c r="Y17" s="764">
        <v>15.730049999999999</v>
      </c>
      <c r="Z17" s="764">
        <v>15.730049999999999</v>
      </c>
      <c r="AA17" s="764">
        <v>15.730049999999999</v>
      </c>
      <c r="AB17" s="764">
        <v>15.730049999999999</v>
      </c>
      <c r="AC17" s="764">
        <v>15.730049999999999</v>
      </c>
      <c r="AD17" s="764">
        <v>15.730049999999999</v>
      </c>
      <c r="AE17" s="764">
        <v>15.730049999999999</v>
      </c>
      <c r="AF17" s="764">
        <v>15.730049999999999</v>
      </c>
      <c r="AG17" s="764">
        <v>15.730049999999999</v>
      </c>
      <c r="AH17" s="764">
        <v>15.730049999999999</v>
      </c>
      <c r="AI17" s="764">
        <v>15.730049999999999</v>
      </c>
      <c r="AJ17" s="764">
        <v>15.730049999999999</v>
      </c>
      <c r="AK17" s="764">
        <v>15.730049999999999</v>
      </c>
      <c r="AL17" s="764">
        <v>15.730049999999999</v>
      </c>
      <c r="AM17" s="764">
        <v>15.730049999999999</v>
      </c>
      <c r="AN17" s="764">
        <v>15.730049999999999</v>
      </c>
      <c r="AO17" s="764">
        <v>15.730049999999999</v>
      </c>
      <c r="AP17" s="764">
        <v>15.730049999999999</v>
      </c>
      <c r="AQ17" s="764">
        <v>15.730049999999999</v>
      </c>
      <c r="AR17" s="764">
        <v>15.730049999999999</v>
      </c>
      <c r="AS17" s="764">
        <v>15.730049999999999</v>
      </c>
      <c r="AT17" s="764">
        <v>15.730049999999999</v>
      </c>
      <c r="AU17" s="764">
        <v>15.730049999999999</v>
      </c>
      <c r="AV17" s="764">
        <v>15.730049999999999</v>
      </c>
      <c r="AW17" s="764">
        <v>15.730049999999999</v>
      </c>
      <c r="AX17" s="764">
        <v>15.730049999999999</v>
      </c>
      <c r="AY17" s="764">
        <v>15.730049999999999</v>
      </c>
      <c r="AZ17" s="764">
        <v>15.730049999999999</v>
      </c>
      <c r="BA17" s="764">
        <v>15.730049999999999</v>
      </c>
      <c r="BB17" s="764">
        <v>15.730049999999999</v>
      </c>
      <c r="BC17" s="764">
        <v>15.730049999999999</v>
      </c>
      <c r="BD17" s="764">
        <v>15.730049999999999</v>
      </c>
      <c r="BE17" s="764">
        <v>15.730049999999999</v>
      </c>
      <c r="BF17" s="764">
        <v>15.730049999999999</v>
      </c>
      <c r="BG17" s="764">
        <v>15.730049999999999</v>
      </c>
      <c r="BH17" s="764">
        <v>15.730049999999999</v>
      </c>
      <c r="BI17" s="764">
        <v>15.730049999999999</v>
      </c>
      <c r="BJ17" s="764">
        <v>15.730049999999999</v>
      </c>
      <c r="BK17" s="764">
        <v>15.730049999999999</v>
      </c>
      <c r="BL17" s="764">
        <v>15.730049999999999</v>
      </c>
      <c r="BM17" s="764">
        <v>15.730049999999999</v>
      </c>
      <c r="BN17" s="764">
        <v>15.730049999999999</v>
      </c>
      <c r="BO17" s="764">
        <v>15.730049999999999</v>
      </c>
      <c r="BP17" s="764">
        <v>15.730049999999999</v>
      </c>
      <c r="BQ17" s="764">
        <v>15.730049999999999</v>
      </c>
      <c r="BR17" s="764">
        <v>15.730049999999999</v>
      </c>
      <c r="BS17" s="764">
        <v>15.730049999999999</v>
      </c>
      <c r="BT17" s="771">
        <v>15.730049999999999</v>
      </c>
    </row>
    <row r="18" spans="1:72" x14ac:dyDescent="0.25">
      <c r="A18" s="762" t="s">
        <v>308</v>
      </c>
      <c r="B18" s="763" t="s">
        <v>732</v>
      </c>
      <c r="C18" s="764">
        <v>8.7353999999999985</v>
      </c>
      <c r="D18" s="764">
        <v>8.7353999999999985</v>
      </c>
      <c r="E18" s="764">
        <v>8.7353999999999985</v>
      </c>
      <c r="F18" s="764">
        <v>8.7353999999999985</v>
      </c>
      <c r="G18" s="764">
        <v>8.7353999999999985</v>
      </c>
      <c r="H18" s="764">
        <v>8.7353999999999985</v>
      </c>
      <c r="I18" s="764">
        <v>8.7353999999999985</v>
      </c>
      <c r="J18" s="764">
        <v>8.7353999999999985</v>
      </c>
      <c r="K18" s="764">
        <v>8.7353999999999985</v>
      </c>
      <c r="L18" s="764">
        <v>8.7353999999999985</v>
      </c>
      <c r="M18" s="764">
        <v>8.7353999999999985</v>
      </c>
      <c r="N18" s="764">
        <v>8.7353999999999985</v>
      </c>
      <c r="O18" s="764">
        <v>8.7353999999999985</v>
      </c>
      <c r="P18" s="764">
        <v>8.7353999999999985</v>
      </c>
      <c r="Q18" s="764">
        <v>8.7353999999999985</v>
      </c>
      <c r="R18" s="764">
        <v>8.7353999999999985</v>
      </c>
      <c r="S18" s="764">
        <v>8.7353999999999985</v>
      </c>
      <c r="T18" s="764">
        <v>8.7353999999999985</v>
      </c>
      <c r="U18" s="764">
        <v>8.7353999999999985</v>
      </c>
      <c r="V18" s="764">
        <v>8.7353999999999985</v>
      </c>
      <c r="W18" s="764">
        <v>8.7353999999999985</v>
      </c>
      <c r="X18" s="764">
        <v>8.7353999999999985</v>
      </c>
      <c r="Y18" s="764">
        <v>8.7353999999999985</v>
      </c>
      <c r="Z18" s="764">
        <v>8.7353999999999985</v>
      </c>
      <c r="AA18" s="764">
        <v>8.7353999999999985</v>
      </c>
      <c r="AB18" s="764">
        <v>8.7353999999999985</v>
      </c>
      <c r="AC18" s="764">
        <v>8.7353999999999985</v>
      </c>
      <c r="AD18" s="764">
        <v>8.7353999999999985</v>
      </c>
      <c r="AE18" s="764">
        <v>8.7353999999999985</v>
      </c>
      <c r="AF18" s="764">
        <v>8.7353999999999985</v>
      </c>
      <c r="AG18" s="764">
        <v>8.7353999999999985</v>
      </c>
      <c r="AH18" s="764">
        <v>8.7353999999999985</v>
      </c>
      <c r="AI18" s="764">
        <v>8.7353999999999985</v>
      </c>
      <c r="AJ18" s="764">
        <v>8.7353999999999985</v>
      </c>
      <c r="AK18" s="764">
        <v>8.7353999999999985</v>
      </c>
      <c r="AL18" s="764">
        <v>8.7353999999999985</v>
      </c>
      <c r="AM18" s="764">
        <v>8.7353999999999985</v>
      </c>
      <c r="AN18" s="764">
        <v>8.7353999999999985</v>
      </c>
      <c r="AO18" s="764">
        <v>8.7353999999999985</v>
      </c>
      <c r="AP18" s="764">
        <v>8.7353999999999985</v>
      </c>
      <c r="AQ18" s="764">
        <v>8.7353999999999985</v>
      </c>
      <c r="AR18" s="764">
        <v>8.7353999999999985</v>
      </c>
      <c r="AS18" s="764">
        <v>8.7353999999999985</v>
      </c>
      <c r="AT18" s="764">
        <v>8.7353999999999985</v>
      </c>
      <c r="AU18" s="764">
        <v>8.7353999999999985</v>
      </c>
      <c r="AV18" s="764">
        <v>8.7353999999999985</v>
      </c>
      <c r="AW18" s="764">
        <v>8.7353999999999985</v>
      </c>
      <c r="AX18" s="764">
        <v>8.7353999999999985</v>
      </c>
      <c r="AY18" s="764">
        <v>8.7353999999999985</v>
      </c>
      <c r="AZ18" s="764">
        <v>8.7353999999999985</v>
      </c>
      <c r="BA18" s="764">
        <v>8.7353999999999985</v>
      </c>
      <c r="BB18" s="764">
        <v>8.7353999999999985</v>
      </c>
      <c r="BC18" s="764">
        <v>8.7353999999999985</v>
      </c>
      <c r="BD18" s="764">
        <v>8.7353999999999985</v>
      </c>
      <c r="BE18" s="764">
        <v>8.7353999999999985</v>
      </c>
      <c r="BF18" s="764">
        <v>8.7353999999999985</v>
      </c>
      <c r="BG18" s="764">
        <v>8.7353999999999985</v>
      </c>
      <c r="BH18" s="764">
        <v>8.7353999999999985</v>
      </c>
      <c r="BI18" s="764">
        <v>8.7353999999999985</v>
      </c>
      <c r="BJ18" s="764">
        <v>8.7353999999999985</v>
      </c>
      <c r="BK18" s="764">
        <v>8.7353999999999985</v>
      </c>
      <c r="BL18" s="764">
        <v>8.7353999999999985</v>
      </c>
      <c r="BM18" s="764">
        <v>8.7353999999999985</v>
      </c>
      <c r="BN18" s="764">
        <v>8.7353999999999985</v>
      </c>
      <c r="BO18" s="764">
        <v>8.7353999999999985</v>
      </c>
      <c r="BP18" s="764">
        <v>8.7353999999999985</v>
      </c>
      <c r="BQ18" s="764">
        <v>8.7353999999999985</v>
      </c>
      <c r="BR18" s="764">
        <v>8.7353999999999985</v>
      </c>
      <c r="BS18" s="764">
        <v>8.7353999999999985</v>
      </c>
      <c r="BT18" s="771">
        <v>8.7353999999999985</v>
      </c>
    </row>
    <row r="19" spans="1:72" x14ac:dyDescent="0.25">
      <c r="A19" s="1587" t="s">
        <v>740</v>
      </c>
      <c r="B19" s="1588"/>
      <c r="C19" s="1588"/>
      <c r="D19" s="1588"/>
      <c r="E19" s="1588"/>
      <c r="F19" s="1588"/>
      <c r="G19" s="1588"/>
      <c r="H19" s="1588"/>
      <c r="I19" s="1588"/>
      <c r="J19" s="1588"/>
      <c r="K19" s="1588"/>
      <c r="L19" s="1588"/>
      <c r="M19" s="1588"/>
      <c r="N19" s="1588"/>
      <c r="O19" s="1588"/>
      <c r="P19" s="1588"/>
      <c r="Q19" s="1588"/>
      <c r="R19" s="1588"/>
      <c r="S19" s="1588"/>
      <c r="T19" s="1588"/>
      <c r="U19" s="1588"/>
      <c r="V19" s="1588"/>
      <c r="W19" s="1588"/>
      <c r="X19" s="1588"/>
      <c r="Y19" s="1588"/>
      <c r="Z19" s="1588"/>
      <c r="AA19" s="1588"/>
      <c r="AB19" s="1588"/>
      <c r="AC19" s="1588"/>
      <c r="AD19" s="1588"/>
      <c r="AE19" s="1588"/>
      <c r="AF19" s="1588"/>
      <c r="AG19" s="1588"/>
      <c r="AH19" s="1588"/>
      <c r="AI19" s="1588"/>
      <c r="AJ19" s="1588"/>
      <c r="AK19" s="1588"/>
      <c r="AL19" s="1588"/>
      <c r="AM19" s="1588"/>
      <c r="AN19" s="1588"/>
      <c r="AO19" s="1588"/>
      <c r="AP19" s="1588"/>
      <c r="AQ19" s="1588"/>
      <c r="AR19" s="1588"/>
      <c r="AS19" s="1588"/>
      <c r="AT19" s="1588"/>
      <c r="AU19" s="1588"/>
      <c r="AV19" s="1588"/>
      <c r="AW19" s="1588"/>
      <c r="AX19" s="1588"/>
      <c r="AY19" s="1588"/>
      <c r="AZ19" s="1588"/>
      <c r="BA19" s="1588"/>
      <c r="BB19" s="1588"/>
      <c r="BC19" s="1588"/>
      <c r="BD19" s="1588"/>
      <c r="BE19" s="1588"/>
      <c r="BF19" s="1588"/>
      <c r="BG19" s="1588"/>
      <c r="BH19" s="1588"/>
      <c r="BI19" s="1588"/>
      <c r="BJ19" s="1588"/>
      <c r="BK19" s="1588"/>
      <c r="BL19" s="1588"/>
      <c r="BM19" s="1588"/>
      <c r="BN19" s="1588"/>
      <c r="BO19" s="1588"/>
      <c r="BP19" s="1588"/>
      <c r="BQ19" s="1588"/>
      <c r="BR19" s="1588"/>
      <c r="BS19" s="1588"/>
      <c r="BT19" s="1589"/>
    </row>
    <row r="20" spans="1:72" ht="24" thickBot="1" x14ac:dyDescent="0.3">
      <c r="A20" s="772" t="s">
        <v>741</v>
      </c>
      <c r="B20" s="773" t="s">
        <v>732</v>
      </c>
      <c r="C20" s="774">
        <v>1.2696286520685174</v>
      </c>
      <c r="D20" s="774">
        <v>1.2696286520685174</v>
      </c>
      <c r="E20" s="774">
        <v>1.2696286520685174</v>
      </c>
      <c r="F20" s="774">
        <v>1.2696286520685174</v>
      </c>
      <c r="G20" s="774">
        <v>1.2696286520685174</v>
      </c>
      <c r="H20" s="774">
        <v>1.2696286520685174</v>
      </c>
      <c r="I20" s="774">
        <v>1.2696286520685174</v>
      </c>
      <c r="J20" s="774">
        <v>1.2696286520685174</v>
      </c>
      <c r="K20" s="774">
        <v>1.2696286520685174</v>
      </c>
      <c r="L20" s="774">
        <v>1.2696286520685174</v>
      </c>
      <c r="M20" s="774">
        <v>1.2716814065585227</v>
      </c>
      <c r="N20" s="774">
        <v>1.2809188017635484</v>
      </c>
      <c r="O20" s="774">
        <v>1.3178683825836508</v>
      </c>
      <c r="P20" s="774">
        <v>1.3209475143186591</v>
      </c>
      <c r="Q20" s="774">
        <v>1.3435278137087219</v>
      </c>
      <c r="R20" s="774">
        <v>1.3466069454437304</v>
      </c>
      <c r="S20" s="774">
        <v>1.3630289813637759</v>
      </c>
      <c r="T20" s="774">
        <v>1.3578970951387617</v>
      </c>
      <c r="U20" s="774">
        <v>1.383556526263833</v>
      </c>
      <c r="V20" s="774">
        <v>1.4030576939188868</v>
      </c>
      <c r="W20" s="774">
        <v>1.460534819639046</v>
      </c>
      <c r="X20" s="774">
        <v>1.4800359872941</v>
      </c>
      <c r="Y20" s="774">
        <v>1.4861942507641173</v>
      </c>
      <c r="Z20" s="774">
        <v>1.5118536818891883</v>
      </c>
      <c r="AA20" s="774">
        <v>1.5262229633192279</v>
      </c>
      <c r="AB20" s="774">
        <v>1.6236006669873051</v>
      </c>
      <c r="AC20" s="774">
        <v>1.7209783706553823</v>
      </c>
      <c r="AD20" s="774">
        <v>1.8183560743234595</v>
      </c>
      <c r="AE20" s="774">
        <v>1.9157337779915367</v>
      </c>
      <c r="AF20" s="774">
        <v>2.0131114816596138</v>
      </c>
      <c r="AG20" s="774">
        <v>2.1104891853276913</v>
      </c>
      <c r="AH20" s="774">
        <v>2.2078668889957687</v>
      </c>
      <c r="AI20" s="774">
        <v>2.3052445926638461</v>
      </c>
      <c r="AJ20" s="774">
        <v>2.4026222963319235</v>
      </c>
      <c r="AK20" s="774">
        <v>2.5</v>
      </c>
      <c r="AL20" s="774">
        <v>2.5714285714285716</v>
      </c>
      <c r="AM20" s="774">
        <v>2.6428571428571432</v>
      </c>
      <c r="AN20" s="774">
        <v>2.7142857142857149</v>
      </c>
      <c r="AO20" s="774">
        <v>2.7857142857142865</v>
      </c>
      <c r="AP20" s="774">
        <v>2.8571428571428581</v>
      </c>
      <c r="AQ20" s="774">
        <v>2.9285714285714297</v>
      </c>
      <c r="AR20" s="774">
        <v>3</v>
      </c>
      <c r="AS20" s="774">
        <v>3.071428571428573</v>
      </c>
      <c r="AT20" s="774">
        <v>3.1428571428571446</v>
      </c>
      <c r="AU20" s="774">
        <v>3.2142857142857162</v>
      </c>
      <c r="AV20" s="774">
        <v>3.2857142857142878</v>
      </c>
      <c r="AW20" s="774">
        <v>3.3571428571428594</v>
      </c>
      <c r="AX20" s="774">
        <v>3.428571428571431</v>
      </c>
      <c r="AY20" s="774">
        <v>3.5</v>
      </c>
      <c r="AZ20" s="774">
        <v>3.5714285714285743</v>
      </c>
      <c r="BA20" s="774">
        <v>3.6428571428571459</v>
      </c>
      <c r="BB20" s="774">
        <v>3.7142857142857175</v>
      </c>
      <c r="BC20" s="774">
        <v>3.7857142857142891</v>
      </c>
      <c r="BD20" s="774">
        <v>3.8571428571428608</v>
      </c>
      <c r="BE20" s="774">
        <v>3.9285714285714324</v>
      </c>
      <c r="BF20" s="774">
        <v>4</v>
      </c>
      <c r="BG20" s="774">
        <v>4.0714285714285747</v>
      </c>
      <c r="BH20" s="774">
        <v>4.1428571428571459</v>
      </c>
      <c r="BI20" s="774">
        <v>4.2142857142857171</v>
      </c>
      <c r="BJ20" s="774">
        <v>4.2857142857142883</v>
      </c>
      <c r="BK20" s="774">
        <v>4.3571428571428594</v>
      </c>
      <c r="BL20" s="774">
        <v>4.4285714285714306</v>
      </c>
      <c r="BM20" s="774">
        <v>4.5</v>
      </c>
      <c r="BN20" s="774">
        <v>4.571428571428573</v>
      </c>
      <c r="BO20" s="774">
        <v>4.6428571428571441</v>
      </c>
      <c r="BP20" s="774">
        <v>4.7142857142857153</v>
      </c>
      <c r="BQ20" s="774">
        <v>4.7857142857142865</v>
      </c>
      <c r="BR20" s="774">
        <v>4.8571428571428577</v>
      </c>
      <c r="BS20" s="774">
        <v>4.9285714285714288</v>
      </c>
      <c r="BT20" s="775">
        <v>5</v>
      </c>
    </row>
    <row r="21" spans="1:72" ht="47.25" customHeight="1" x14ac:dyDescent="0.25">
      <c r="A21" s="1595" t="s">
        <v>423</v>
      </c>
      <c r="B21" s="1596"/>
      <c r="C21" s="1596"/>
      <c r="D21" s="1596"/>
      <c r="E21" s="1596"/>
      <c r="F21" s="1596"/>
      <c r="G21" s="1596"/>
      <c r="H21" s="1596"/>
      <c r="I21" s="1596"/>
      <c r="J21" s="1596"/>
      <c r="K21" s="1596"/>
      <c r="L21" s="1596"/>
      <c r="M21" s="1596"/>
      <c r="N21" s="1596"/>
      <c r="O21" s="1596"/>
      <c r="P21" s="1596"/>
      <c r="Q21" s="1596"/>
      <c r="R21" s="1596"/>
      <c r="S21" s="1596"/>
      <c r="T21" s="1596"/>
      <c r="U21" s="776"/>
      <c r="V21" s="776"/>
      <c r="W21" s="776"/>
      <c r="X21" s="776"/>
      <c r="Y21" s="776"/>
      <c r="Z21" s="776"/>
      <c r="AA21" s="776"/>
      <c r="AB21" s="776"/>
      <c r="AC21" s="776"/>
      <c r="AD21" s="776"/>
      <c r="AE21" s="776"/>
      <c r="AF21" s="776"/>
      <c r="AG21" s="776"/>
      <c r="AH21" s="776"/>
      <c r="AI21" s="776"/>
      <c r="AJ21" s="776"/>
      <c r="AK21" s="776"/>
      <c r="AL21" s="776"/>
      <c r="AM21" s="776"/>
      <c r="AN21" s="776"/>
      <c r="AO21" s="776"/>
      <c r="AP21" s="776"/>
      <c r="AQ21" s="776"/>
      <c r="AR21" s="776"/>
      <c r="AS21" s="776"/>
      <c r="AT21" s="776"/>
      <c r="AU21" s="776"/>
      <c r="AV21" s="776"/>
      <c r="AW21" s="776"/>
      <c r="AX21" s="776"/>
      <c r="AY21" s="776"/>
      <c r="AZ21" s="776"/>
      <c r="BA21" s="776"/>
      <c r="BB21" s="776"/>
      <c r="BC21" s="776"/>
      <c r="BD21" s="776"/>
      <c r="BE21" s="776"/>
      <c r="BF21" s="776"/>
      <c r="BG21" s="776"/>
      <c r="BH21" s="776"/>
      <c r="BI21" s="776"/>
      <c r="BJ21" s="776"/>
      <c r="BK21" s="776"/>
      <c r="BL21" s="776"/>
      <c r="BM21" s="776"/>
      <c r="BN21" s="776"/>
      <c r="BO21" s="776"/>
      <c r="BP21" s="776"/>
      <c r="BQ21" s="776"/>
      <c r="BR21" s="776"/>
      <c r="BS21" s="776"/>
      <c r="BT21" s="776"/>
    </row>
    <row r="22" spans="1:72" x14ac:dyDescent="0.25">
      <c r="A22" s="777"/>
      <c r="B22" s="777"/>
      <c r="C22" s="777"/>
      <c r="D22" s="777"/>
      <c r="E22" s="777"/>
      <c r="F22" s="777"/>
      <c r="G22" s="777"/>
      <c r="H22" s="777"/>
      <c r="I22" s="777"/>
      <c r="J22" s="777"/>
      <c r="K22" s="777"/>
      <c r="L22" s="777"/>
      <c r="M22" s="777"/>
      <c r="N22" s="777"/>
      <c r="O22" s="777"/>
      <c r="P22" s="777"/>
      <c r="Q22" s="777"/>
      <c r="R22" s="777"/>
      <c r="S22" s="777"/>
      <c r="T22" s="777"/>
      <c r="U22" s="778"/>
      <c r="V22" s="778"/>
      <c r="W22" s="778"/>
      <c r="X22" s="778"/>
      <c r="Y22" s="778"/>
      <c r="Z22" s="778"/>
      <c r="AA22" s="778"/>
      <c r="AB22" s="778"/>
      <c r="AC22" s="778"/>
      <c r="AD22" s="778"/>
      <c r="AE22" s="778"/>
      <c r="AF22" s="778"/>
      <c r="AG22" s="778"/>
      <c r="AH22" s="778"/>
      <c r="AI22" s="778"/>
      <c r="AJ22" s="778"/>
      <c r="AK22" s="778"/>
      <c r="AL22" s="778"/>
      <c r="AM22" s="778"/>
      <c r="AN22" s="778"/>
      <c r="AO22" s="778"/>
      <c r="AP22" s="778"/>
      <c r="AQ22" s="778"/>
      <c r="AR22" s="778"/>
      <c r="AS22" s="778"/>
      <c r="AT22" s="778"/>
      <c r="AU22" s="778"/>
      <c r="AV22" s="778"/>
      <c r="AW22" s="778"/>
      <c r="AX22" s="778"/>
      <c r="AY22" s="778"/>
      <c r="AZ22" s="778"/>
      <c r="BA22" s="778"/>
      <c r="BB22" s="778"/>
      <c r="BC22" s="778"/>
      <c r="BD22" s="778"/>
      <c r="BE22" s="778"/>
      <c r="BF22" s="778"/>
      <c r="BG22" s="778"/>
      <c r="BH22" s="778"/>
      <c r="BI22" s="778"/>
      <c r="BJ22" s="778"/>
      <c r="BK22" s="778"/>
      <c r="BL22" s="778"/>
      <c r="BM22" s="778"/>
      <c r="BN22" s="778"/>
      <c r="BO22" s="778"/>
      <c r="BP22" s="778"/>
      <c r="BQ22" s="778"/>
      <c r="BR22" s="778"/>
      <c r="BS22" s="778"/>
      <c r="BT22" s="778"/>
    </row>
    <row r="23" spans="1:72" ht="42.75" customHeight="1" x14ac:dyDescent="0.25">
      <c r="A23" s="1597" t="s">
        <v>742</v>
      </c>
      <c r="B23" s="1597"/>
      <c r="C23" s="1597"/>
      <c r="D23" s="1597"/>
      <c r="E23" s="1597"/>
      <c r="F23" s="1597"/>
      <c r="G23" s="1597"/>
      <c r="H23" s="1597"/>
      <c r="I23" s="1597"/>
      <c r="J23" s="1597"/>
      <c r="K23" s="1597"/>
      <c r="L23" s="1597"/>
      <c r="M23" s="1597"/>
      <c r="N23" s="1597"/>
      <c r="O23" s="1597"/>
      <c r="P23" s="1597"/>
      <c r="Q23" s="1597"/>
      <c r="R23" s="1597"/>
      <c r="S23" s="1597"/>
      <c r="T23" s="1597"/>
      <c r="U23" s="778"/>
      <c r="V23" s="778"/>
      <c r="W23" s="778"/>
      <c r="X23" s="778"/>
      <c r="Y23" s="778"/>
      <c r="Z23" s="778"/>
      <c r="AA23" s="778"/>
      <c r="AB23" s="778"/>
      <c r="AC23" s="778"/>
      <c r="AD23" s="778"/>
      <c r="AE23" s="778"/>
      <c r="AF23" s="778"/>
      <c r="AG23" s="778"/>
      <c r="AH23" s="778"/>
      <c r="AI23" s="778"/>
      <c r="AJ23" s="778"/>
      <c r="AK23" s="778"/>
      <c r="AL23" s="778"/>
      <c r="AM23" s="778"/>
      <c r="AN23" s="778"/>
      <c r="AO23" s="778"/>
      <c r="AP23" s="778"/>
      <c r="AQ23" s="778"/>
      <c r="AR23" s="778"/>
      <c r="AS23" s="778"/>
      <c r="AT23" s="778"/>
      <c r="AU23" s="778"/>
      <c r="AV23" s="778"/>
      <c r="AW23" s="778"/>
      <c r="AX23" s="778"/>
      <c r="AY23" s="778"/>
      <c r="AZ23" s="778"/>
      <c r="BA23" s="778"/>
      <c r="BB23" s="778"/>
      <c r="BC23" s="778"/>
      <c r="BD23" s="778"/>
      <c r="BE23" s="778"/>
      <c r="BF23" s="778"/>
      <c r="BG23" s="778"/>
      <c r="BH23" s="778"/>
      <c r="BI23" s="778"/>
      <c r="BJ23" s="778"/>
      <c r="BK23" s="778"/>
      <c r="BL23" s="778"/>
      <c r="BM23" s="778"/>
      <c r="BN23" s="778"/>
      <c r="BO23" s="778"/>
      <c r="BP23" s="778"/>
      <c r="BQ23" s="778"/>
      <c r="BR23" s="778"/>
      <c r="BS23" s="778"/>
      <c r="BT23" s="778"/>
    </row>
    <row r="24" spans="1:72" x14ac:dyDescent="0.25">
      <c r="A24" s="778"/>
      <c r="B24" s="778"/>
      <c r="C24" s="778"/>
      <c r="D24" s="778"/>
      <c r="E24" s="778"/>
      <c r="F24" s="778"/>
      <c r="G24" s="778"/>
      <c r="H24" s="778"/>
      <c r="I24" s="778"/>
      <c r="J24" s="778"/>
      <c r="K24" s="778"/>
      <c r="L24" s="778"/>
      <c r="M24" s="778"/>
      <c r="N24" s="778"/>
      <c r="O24" s="778"/>
      <c r="P24" s="778"/>
      <c r="Q24" s="778"/>
      <c r="R24" s="778"/>
      <c r="S24" s="778"/>
      <c r="T24" s="778"/>
      <c r="U24" s="778"/>
      <c r="V24" s="778"/>
      <c r="W24" s="778"/>
      <c r="X24" s="778"/>
      <c r="Y24" s="778"/>
      <c r="Z24" s="778"/>
      <c r="AA24" s="778"/>
      <c r="AB24" s="778"/>
      <c r="AC24" s="778"/>
      <c r="AD24" s="778"/>
      <c r="AE24" s="778"/>
      <c r="AF24" s="778"/>
      <c r="AG24" s="778"/>
      <c r="AH24" s="778"/>
      <c r="AI24" s="778"/>
      <c r="AJ24" s="778"/>
      <c r="AK24" s="778"/>
      <c r="AL24" s="778"/>
      <c r="AM24" s="778"/>
      <c r="AN24" s="778"/>
      <c r="AO24" s="778"/>
      <c r="AP24" s="778"/>
      <c r="AQ24" s="778"/>
      <c r="AR24" s="778"/>
      <c r="AS24" s="778"/>
      <c r="AT24" s="778"/>
      <c r="AU24" s="778"/>
      <c r="AV24" s="778"/>
      <c r="AW24" s="778"/>
      <c r="AX24" s="778"/>
      <c r="AY24" s="778"/>
      <c r="AZ24" s="778"/>
      <c r="BA24" s="778"/>
      <c r="BB24" s="778"/>
      <c r="BC24" s="778"/>
      <c r="BD24" s="778"/>
      <c r="BE24" s="778"/>
      <c r="BF24" s="778"/>
      <c r="BG24" s="778"/>
      <c r="BH24" s="778"/>
      <c r="BI24" s="778"/>
      <c r="BJ24" s="778"/>
      <c r="BK24" s="778"/>
      <c r="BL24" s="778"/>
      <c r="BM24" s="778"/>
      <c r="BN24" s="778"/>
      <c r="BO24" s="778"/>
      <c r="BP24" s="778"/>
      <c r="BQ24" s="778"/>
      <c r="BR24" s="778"/>
      <c r="BS24" s="778"/>
      <c r="BT24" s="778"/>
    </row>
    <row r="25" spans="1:72" ht="15.6" x14ac:dyDescent="0.3">
      <c r="A25" s="1598" t="s">
        <v>1085</v>
      </c>
      <c r="B25" s="1598"/>
      <c r="C25" s="1598"/>
      <c r="D25" s="1598"/>
      <c r="E25" s="1598"/>
      <c r="F25" s="1598"/>
      <c r="G25" s="1598"/>
      <c r="H25" s="1598"/>
      <c r="I25" s="1598"/>
      <c r="J25" s="1598"/>
      <c r="K25" s="1598"/>
      <c r="L25" s="778"/>
      <c r="M25" s="778"/>
      <c r="N25" s="778"/>
      <c r="O25" s="778"/>
      <c r="P25" s="778"/>
      <c r="Q25" s="778"/>
      <c r="R25" s="778"/>
      <c r="S25" s="778"/>
      <c r="T25" s="778"/>
      <c r="U25" s="778"/>
      <c r="V25" s="778"/>
      <c r="W25" s="778"/>
      <c r="X25" s="778"/>
      <c r="Y25" s="778"/>
      <c r="Z25" s="778"/>
      <c r="AA25" s="778"/>
      <c r="AB25" s="778"/>
      <c r="AC25" s="778"/>
      <c r="AD25" s="778"/>
      <c r="AE25" s="778"/>
      <c r="AF25" s="778"/>
      <c r="AG25" s="778"/>
      <c r="AH25" s="778"/>
      <c r="AI25" s="778"/>
      <c r="AJ25" s="778"/>
      <c r="AK25" s="778"/>
      <c r="AL25" s="778"/>
      <c r="AM25" s="778"/>
      <c r="AN25" s="778"/>
      <c r="AO25" s="778"/>
      <c r="AP25" s="778"/>
      <c r="AQ25" s="778"/>
      <c r="AR25" s="778"/>
      <c r="AS25" s="778"/>
      <c r="AT25" s="778"/>
      <c r="AU25" s="778"/>
      <c r="AV25" s="778"/>
      <c r="AW25" s="778"/>
      <c r="AX25" s="778"/>
      <c r="AY25" s="778"/>
      <c r="AZ25" s="778"/>
      <c r="BA25" s="778"/>
      <c r="BB25" s="778"/>
      <c r="BC25" s="778"/>
      <c r="BD25" s="778"/>
      <c r="BE25" s="778"/>
      <c r="BF25" s="778"/>
      <c r="BG25" s="778"/>
      <c r="BH25" s="778"/>
      <c r="BI25" s="778"/>
      <c r="BJ25" s="778"/>
      <c r="BK25" s="778"/>
      <c r="BL25" s="778"/>
      <c r="BM25" s="778"/>
      <c r="BN25" s="778"/>
      <c r="BO25" s="778"/>
      <c r="BP25" s="778"/>
      <c r="BQ25" s="778"/>
      <c r="BR25" s="778"/>
      <c r="BS25" s="778"/>
      <c r="BT25" s="778"/>
    </row>
    <row r="26" spans="1:72" ht="13.8" thickBot="1" x14ac:dyDescent="0.3">
      <c r="A26" s="1599"/>
      <c r="B26" s="1599"/>
      <c r="C26" s="1599"/>
      <c r="D26" s="1599"/>
      <c r="E26" s="1599"/>
      <c r="F26" s="1599"/>
      <c r="G26" s="1599"/>
      <c r="H26" s="1599"/>
      <c r="I26" s="1599"/>
      <c r="J26" s="1599"/>
      <c r="K26" s="1599"/>
      <c r="L26" s="778"/>
      <c r="M26" s="778"/>
      <c r="N26" s="778"/>
      <c r="O26" s="778"/>
      <c r="P26" s="778"/>
      <c r="Q26" s="778"/>
      <c r="R26" s="778"/>
      <c r="S26" s="778"/>
      <c r="T26" s="778"/>
      <c r="U26" s="778"/>
      <c r="V26" s="778"/>
      <c r="W26" s="778"/>
      <c r="X26" s="778"/>
      <c r="Y26" s="778"/>
      <c r="Z26" s="778"/>
      <c r="AA26" s="778"/>
      <c r="AB26" s="778"/>
      <c r="AC26" s="778"/>
      <c r="AD26" s="778"/>
      <c r="AE26" s="778"/>
      <c r="AF26" s="778"/>
      <c r="AG26" s="778"/>
      <c r="AH26" s="778"/>
      <c r="AI26" s="778"/>
      <c r="AJ26" s="778"/>
      <c r="AK26" s="778"/>
      <c r="AL26" s="778"/>
      <c r="AM26" s="778"/>
      <c r="AN26" s="778"/>
      <c r="AO26" s="778"/>
      <c r="AP26" s="778"/>
      <c r="AQ26" s="778"/>
      <c r="AR26" s="778"/>
      <c r="AS26" s="778"/>
      <c r="AT26" s="778"/>
      <c r="AU26" s="778"/>
      <c r="AV26" s="778"/>
      <c r="AW26" s="778"/>
      <c r="AX26" s="778"/>
      <c r="AY26" s="778"/>
      <c r="AZ26" s="778"/>
      <c r="BA26" s="778"/>
      <c r="BB26" s="778"/>
      <c r="BC26" s="778"/>
      <c r="BD26" s="778"/>
      <c r="BE26" s="778"/>
      <c r="BF26" s="778"/>
      <c r="BG26" s="778"/>
      <c r="BH26" s="778"/>
      <c r="BI26" s="778"/>
      <c r="BJ26" s="778"/>
      <c r="BK26" s="778"/>
      <c r="BL26" s="778"/>
      <c r="BM26" s="778"/>
      <c r="BN26" s="778"/>
      <c r="BO26" s="778"/>
      <c r="BP26" s="778"/>
      <c r="BQ26" s="778"/>
      <c r="BR26" s="778"/>
      <c r="BS26" s="778"/>
      <c r="BT26" s="778"/>
    </row>
    <row r="27" spans="1:72" ht="39.6" x14ac:dyDescent="0.25">
      <c r="A27" s="779"/>
      <c r="B27" s="780" t="s">
        <v>743</v>
      </c>
      <c r="C27" s="780" t="s">
        <v>744</v>
      </c>
      <c r="D27" s="780" t="s">
        <v>1087</v>
      </c>
      <c r="E27" s="1600"/>
      <c r="F27" s="1600"/>
      <c r="G27" s="1600"/>
      <c r="H27" s="1600"/>
      <c r="I27" s="1600"/>
      <c r="J27" s="1602" t="s">
        <v>745</v>
      </c>
      <c r="K27" s="1603"/>
      <c r="L27" s="778"/>
      <c r="M27" s="778"/>
      <c r="N27" s="778"/>
      <c r="O27" s="778"/>
      <c r="P27" s="778"/>
      <c r="Q27" s="778"/>
      <c r="R27" s="778"/>
      <c r="S27" s="778"/>
      <c r="T27" s="778"/>
      <c r="U27" s="778"/>
      <c r="V27" s="778"/>
      <c r="W27" s="778"/>
      <c r="X27" s="778"/>
      <c r="Y27" s="778"/>
      <c r="Z27" s="778"/>
      <c r="AA27" s="778"/>
      <c r="AB27" s="778"/>
      <c r="AC27" s="778"/>
      <c r="AD27" s="778"/>
      <c r="AE27" s="778"/>
      <c r="AF27" s="778"/>
      <c r="AG27" s="778"/>
      <c r="AH27" s="778"/>
      <c r="AI27" s="778"/>
      <c r="AJ27" s="778"/>
      <c r="AK27" s="778"/>
      <c r="AL27" s="778"/>
      <c r="AM27" s="778"/>
      <c r="AN27" s="778"/>
      <c r="AO27" s="778"/>
      <c r="AP27" s="778"/>
      <c r="AQ27" s="778"/>
      <c r="AR27" s="778"/>
      <c r="AS27" s="778"/>
      <c r="AT27" s="778"/>
      <c r="AU27" s="778"/>
      <c r="AV27" s="778"/>
      <c r="AW27" s="778"/>
      <c r="AX27" s="778"/>
      <c r="AY27" s="778"/>
      <c r="AZ27" s="778"/>
      <c r="BA27" s="778"/>
      <c r="BB27" s="778"/>
      <c r="BC27" s="778"/>
      <c r="BD27" s="778"/>
      <c r="BE27" s="778"/>
      <c r="BF27" s="778"/>
      <c r="BG27" s="778"/>
      <c r="BH27" s="778"/>
      <c r="BI27" s="778"/>
      <c r="BJ27" s="778"/>
      <c r="BK27" s="778"/>
      <c r="BL27" s="778"/>
      <c r="BM27" s="778"/>
      <c r="BN27" s="778"/>
      <c r="BO27" s="778"/>
      <c r="BP27" s="778"/>
      <c r="BQ27" s="778"/>
      <c r="BR27" s="778"/>
      <c r="BS27" s="778"/>
      <c r="BT27" s="778"/>
    </row>
    <row r="28" spans="1:72" x14ac:dyDescent="0.25">
      <c r="A28" s="781" t="s">
        <v>554</v>
      </c>
      <c r="B28" s="782">
        <f>G40/F40</f>
        <v>1.0482288241385485</v>
      </c>
      <c r="C28" s="782">
        <f>H40/G40</f>
        <v>1.0526415477404851</v>
      </c>
      <c r="D28" s="782">
        <f>I40/H40</f>
        <v>1.0160295046377366</v>
      </c>
      <c r="E28" s="1601"/>
      <c r="F28" s="1601"/>
      <c r="G28" s="1601"/>
      <c r="H28" s="1601"/>
      <c r="I28" s="1601"/>
      <c r="J28" s="1601" t="s">
        <v>1057</v>
      </c>
      <c r="K28" s="1604" t="s">
        <v>1065</v>
      </c>
      <c r="L28" s="778"/>
      <c r="M28" s="778"/>
      <c r="N28" s="778"/>
      <c r="O28" s="778"/>
      <c r="P28" s="778"/>
      <c r="Q28" s="778"/>
      <c r="R28" s="778"/>
      <c r="S28" s="778"/>
      <c r="T28" s="778"/>
      <c r="U28" s="778"/>
      <c r="V28" s="778"/>
      <c r="W28" s="778"/>
      <c r="X28" s="778"/>
      <c r="Y28" s="778"/>
      <c r="Z28" s="778"/>
      <c r="AA28" s="778"/>
      <c r="AB28" s="778"/>
      <c r="AC28" s="778"/>
      <c r="AD28" s="778"/>
      <c r="AE28" s="778"/>
      <c r="AF28" s="778"/>
      <c r="AG28" s="778"/>
      <c r="AH28" s="778"/>
      <c r="AI28" s="778"/>
      <c r="AJ28" s="778"/>
      <c r="AK28" s="778"/>
      <c r="AL28" s="778"/>
      <c r="AM28" s="778"/>
      <c r="AN28" s="778"/>
      <c r="AO28" s="778"/>
      <c r="AP28" s="778"/>
      <c r="AQ28" s="778"/>
      <c r="AR28" s="778"/>
      <c r="AS28" s="778"/>
      <c r="AT28" s="778"/>
      <c r="AU28" s="778"/>
      <c r="AV28" s="778"/>
      <c r="AW28" s="778"/>
      <c r="AX28" s="778"/>
      <c r="AY28" s="778"/>
      <c r="AZ28" s="778"/>
      <c r="BA28" s="778"/>
      <c r="BB28" s="778"/>
      <c r="BC28" s="778"/>
      <c r="BD28" s="778"/>
      <c r="BE28" s="778"/>
      <c r="BF28" s="778"/>
      <c r="BG28" s="778"/>
      <c r="BH28" s="778"/>
      <c r="BI28" s="778"/>
      <c r="BJ28" s="778"/>
      <c r="BK28" s="778"/>
      <c r="BL28" s="778"/>
      <c r="BM28" s="778"/>
      <c r="BN28" s="778"/>
      <c r="BO28" s="778"/>
      <c r="BP28" s="778"/>
      <c r="BQ28" s="778"/>
      <c r="BR28" s="778"/>
      <c r="BS28" s="778"/>
      <c r="BT28" s="778"/>
    </row>
    <row r="29" spans="1:72" x14ac:dyDescent="0.25">
      <c r="A29" s="783" t="s">
        <v>555</v>
      </c>
      <c r="B29" s="784">
        <f t="shared" ref="B29:B35" si="0">G41/F41</f>
        <v>1.1441282284851997</v>
      </c>
      <c r="C29" s="784">
        <f t="shared" ref="C29:C35" si="1">H41/G41</f>
        <v>1.1360328119345371</v>
      </c>
      <c r="D29" s="784">
        <f t="shared" ref="D29:D35" si="2">I41/H41</f>
        <v>1.0363018547359477</v>
      </c>
      <c r="E29" s="1601"/>
      <c r="F29" s="1601"/>
      <c r="G29" s="1601"/>
      <c r="H29" s="1601"/>
      <c r="I29" s="1601"/>
      <c r="J29" s="1601"/>
      <c r="K29" s="1604"/>
      <c r="L29" s="778"/>
      <c r="M29" s="778"/>
      <c r="N29" s="778"/>
      <c r="O29" s="778"/>
      <c r="P29" s="778"/>
      <c r="Q29" s="778"/>
      <c r="R29" s="778"/>
      <c r="S29" s="778"/>
      <c r="T29" s="778"/>
      <c r="U29" s="778"/>
      <c r="V29" s="778"/>
      <c r="W29" s="778"/>
      <c r="X29" s="778"/>
      <c r="Y29" s="778"/>
      <c r="Z29" s="778"/>
      <c r="AA29" s="778"/>
      <c r="AB29" s="778"/>
      <c r="AC29" s="778"/>
      <c r="AD29" s="778"/>
      <c r="AE29" s="778"/>
      <c r="AF29" s="778"/>
      <c r="AG29" s="778"/>
      <c r="AH29" s="778"/>
      <c r="AI29" s="778"/>
      <c r="AJ29" s="778"/>
      <c r="AK29" s="778"/>
      <c r="AL29" s="778"/>
      <c r="AM29" s="778"/>
      <c r="AN29" s="778"/>
      <c r="AO29" s="778"/>
      <c r="AP29" s="778"/>
      <c r="AQ29" s="778"/>
      <c r="AR29" s="778"/>
      <c r="AS29" s="778"/>
      <c r="AT29" s="778"/>
      <c r="AU29" s="778"/>
      <c r="AV29" s="778"/>
      <c r="AW29" s="778"/>
      <c r="AX29" s="778"/>
      <c r="AY29" s="778"/>
      <c r="AZ29" s="778"/>
      <c r="BA29" s="778"/>
      <c r="BB29" s="778"/>
      <c r="BC29" s="778"/>
      <c r="BD29" s="778"/>
      <c r="BE29" s="778"/>
      <c r="BF29" s="778"/>
      <c r="BG29" s="778"/>
      <c r="BH29" s="778"/>
      <c r="BI29" s="778"/>
      <c r="BJ29" s="778"/>
      <c r="BK29" s="778"/>
      <c r="BL29" s="778"/>
      <c r="BM29" s="778"/>
      <c r="BN29" s="778"/>
      <c r="BO29" s="778"/>
      <c r="BP29" s="778"/>
      <c r="BQ29" s="778"/>
      <c r="BR29" s="778"/>
      <c r="BS29" s="778"/>
      <c r="BT29" s="778"/>
    </row>
    <row r="30" spans="1:72" x14ac:dyDescent="0.25">
      <c r="A30" s="781" t="s">
        <v>556</v>
      </c>
      <c r="B30" s="782">
        <f t="shared" si="0"/>
        <v>1.1252277801242987</v>
      </c>
      <c r="C30" s="782">
        <f t="shared" si="1"/>
        <v>1.1222249629995065</v>
      </c>
      <c r="D30" s="782">
        <f t="shared" si="2"/>
        <v>1.0285793469898747</v>
      </c>
      <c r="E30" s="1601"/>
      <c r="F30" s="1601"/>
      <c r="G30" s="1601"/>
      <c r="H30" s="1601"/>
      <c r="I30" s="1601"/>
      <c r="J30" s="785">
        <v>1991</v>
      </c>
      <c r="K30" s="786">
        <v>84.5</v>
      </c>
      <c r="L30" s="778"/>
      <c r="M30" s="778"/>
      <c r="N30" s="778"/>
      <c r="O30" s="778"/>
      <c r="P30" s="778"/>
      <c r="Q30" s="778"/>
      <c r="R30" s="778"/>
      <c r="S30" s="778"/>
      <c r="T30" s="778"/>
      <c r="U30" s="778"/>
      <c r="V30" s="778"/>
      <c r="W30" s="778"/>
      <c r="X30" s="778"/>
      <c r="Y30" s="778"/>
      <c r="Z30" s="778"/>
      <c r="AA30" s="778"/>
      <c r="AB30" s="778"/>
      <c r="AC30" s="778"/>
      <c r="AD30" s="778"/>
      <c r="AE30" s="778"/>
      <c r="AF30" s="778"/>
      <c r="AG30" s="778"/>
      <c r="AH30" s="778"/>
      <c r="AI30" s="778"/>
      <c r="AJ30" s="778"/>
      <c r="AK30" s="778"/>
      <c r="AL30" s="778"/>
      <c r="AM30" s="778"/>
      <c r="AN30" s="778"/>
      <c r="AO30" s="778"/>
      <c r="AP30" s="778"/>
      <c r="AQ30" s="778"/>
      <c r="AR30" s="778"/>
      <c r="AS30" s="778"/>
      <c r="AT30" s="778"/>
      <c r="AU30" s="778"/>
      <c r="AV30" s="778"/>
      <c r="AW30" s="778"/>
      <c r="AX30" s="778"/>
      <c r="AY30" s="778"/>
      <c r="AZ30" s="778"/>
      <c r="BA30" s="778"/>
      <c r="BB30" s="778"/>
      <c r="BC30" s="778"/>
      <c r="BD30" s="778"/>
      <c r="BE30" s="778"/>
      <c r="BF30" s="778"/>
      <c r="BG30" s="778"/>
      <c r="BH30" s="778"/>
      <c r="BI30" s="778"/>
      <c r="BJ30" s="778"/>
      <c r="BK30" s="778"/>
      <c r="BL30" s="778"/>
      <c r="BM30" s="778"/>
      <c r="BN30" s="778"/>
      <c r="BO30" s="778"/>
      <c r="BP30" s="778"/>
      <c r="BQ30" s="778"/>
      <c r="BR30" s="778"/>
      <c r="BS30" s="778"/>
      <c r="BT30" s="778"/>
    </row>
    <row r="31" spans="1:72" x14ac:dyDescent="0.25">
      <c r="A31" s="783" t="s">
        <v>557</v>
      </c>
      <c r="B31" s="784">
        <f t="shared" si="0"/>
        <v>1.0687839040840581</v>
      </c>
      <c r="C31" s="784">
        <f t="shared" si="1"/>
        <v>1.0213566498986533</v>
      </c>
      <c r="D31" s="784">
        <f t="shared" si="2"/>
        <v>1.0031375164207406</v>
      </c>
      <c r="E31" s="1601"/>
      <c r="F31" s="1601"/>
      <c r="G31" s="1601"/>
      <c r="H31" s="1601"/>
      <c r="I31" s="1601"/>
      <c r="J31" s="787">
        <v>1992</v>
      </c>
      <c r="K31" s="788">
        <v>86.4</v>
      </c>
      <c r="L31" s="778"/>
      <c r="M31" s="778"/>
      <c r="N31" s="778"/>
      <c r="O31" s="778"/>
      <c r="P31" s="778"/>
      <c r="Q31" s="778"/>
      <c r="R31" s="778"/>
      <c r="S31" s="778"/>
      <c r="T31" s="778"/>
      <c r="U31" s="778"/>
      <c r="V31" s="778"/>
      <c r="W31" s="778"/>
      <c r="X31" s="778"/>
      <c r="Y31" s="778"/>
      <c r="Z31" s="778"/>
      <c r="AA31" s="778"/>
      <c r="AB31" s="778"/>
      <c r="AC31" s="778"/>
      <c r="AD31" s="778"/>
      <c r="AE31" s="778"/>
      <c r="AF31" s="778"/>
      <c r="AG31" s="778"/>
      <c r="AH31" s="778"/>
      <c r="AI31" s="778"/>
      <c r="AJ31" s="778"/>
      <c r="AK31" s="778"/>
      <c r="AL31" s="778"/>
      <c r="AM31" s="778"/>
      <c r="AN31" s="778"/>
      <c r="AO31" s="778"/>
      <c r="AP31" s="778"/>
      <c r="AQ31" s="778"/>
      <c r="AR31" s="778"/>
      <c r="AS31" s="778"/>
      <c r="AT31" s="778"/>
      <c r="AU31" s="778"/>
      <c r="AV31" s="778"/>
      <c r="AW31" s="778"/>
      <c r="AX31" s="778"/>
      <c r="AY31" s="778"/>
      <c r="AZ31" s="778"/>
      <c r="BA31" s="778"/>
      <c r="BB31" s="778"/>
      <c r="BC31" s="778"/>
      <c r="BD31" s="778"/>
      <c r="BE31" s="778"/>
      <c r="BF31" s="778"/>
      <c r="BG31" s="778"/>
      <c r="BH31" s="778"/>
      <c r="BI31" s="778"/>
      <c r="BJ31" s="778"/>
      <c r="BK31" s="778"/>
      <c r="BL31" s="778"/>
      <c r="BM31" s="778"/>
      <c r="BN31" s="778"/>
      <c r="BO31" s="778"/>
      <c r="BP31" s="778"/>
      <c r="BQ31" s="778"/>
      <c r="BR31" s="778"/>
      <c r="BS31" s="778"/>
      <c r="BT31" s="778"/>
    </row>
    <row r="32" spans="1:72" x14ac:dyDescent="0.25">
      <c r="A32" s="781" t="s">
        <v>558</v>
      </c>
      <c r="B32" s="782">
        <f t="shared" si="0"/>
        <v>1.03736526166104</v>
      </c>
      <c r="C32" s="782">
        <f t="shared" si="1"/>
        <v>1.0084486821562659</v>
      </c>
      <c r="D32" s="782">
        <f t="shared" si="2"/>
        <v>1.0010687685088917</v>
      </c>
      <c r="E32" s="1601"/>
      <c r="F32" s="1601"/>
      <c r="G32" s="1601"/>
      <c r="H32" s="1601"/>
      <c r="I32" s="1601"/>
      <c r="J32" s="785">
        <v>1993</v>
      </c>
      <c r="K32" s="786">
        <v>88.4</v>
      </c>
      <c r="L32" s="778"/>
      <c r="M32" s="778"/>
      <c r="N32" s="778"/>
      <c r="O32" s="778"/>
      <c r="P32" s="778"/>
      <c r="Q32" s="778"/>
      <c r="R32" s="778"/>
      <c r="S32" s="778"/>
      <c r="T32" s="778"/>
      <c r="U32" s="778"/>
      <c r="V32" s="778"/>
      <c r="W32" s="778"/>
      <c r="X32" s="778"/>
      <c r="Y32" s="778"/>
      <c r="Z32" s="778"/>
      <c r="AA32" s="778"/>
      <c r="AB32" s="778"/>
      <c r="AC32" s="778"/>
      <c r="AD32" s="778"/>
      <c r="AE32" s="778"/>
      <c r="AF32" s="778"/>
      <c r="AG32" s="778"/>
      <c r="AH32" s="778"/>
      <c r="AI32" s="778"/>
      <c r="AJ32" s="778"/>
      <c r="AK32" s="778"/>
      <c r="AL32" s="778"/>
      <c r="AM32" s="778"/>
      <c r="AN32" s="778"/>
      <c r="AO32" s="778"/>
      <c r="AP32" s="778"/>
      <c r="AQ32" s="778"/>
      <c r="AR32" s="778"/>
      <c r="AS32" s="778"/>
      <c r="AT32" s="778"/>
      <c r="AU32" s="778"/>
      <c r="AV32" s="778"/>
      <c r="AW32" s="778"/>
      <c r="AX32" s="778"/>
      <c r="AY32" s="778"/>
      <c r="AZ32" s="778"/>
      <c r="BA32" s="778"/>
      <c r="BB32" s="778"/>
      <c r="BC32" s="778"/>
      <c r="BD32" s="778"/>
      <c r="BE32" s="778"/>
      <c r="BF32" s="778"/>
      <c r="BG32" s="778"/>
      <c r="BH32" s="778"/>
      <c r="BI32" s="778"/>
      <c r="BJ32" s="778"/>
      <c r="BK32" s="778"/>
      <c r="BL32" s="778"/>
      <c r="BM32" s="778"/>
      <c r="BN32" s="778"/>
      <c r="BO32" s="778"/>
      <c r="BP32" s="778"/>
      <c r="BQ32" s="778"/>
      <c r="BR32" s="778"/>
      <c r="BS32" s="778"/>
      <c r="BT32" s="778"/>
    </row>
    <row r="33" spans="1:72" x14ac:dyDescent="0.25">
      <c r="A33" s="783" t="s">
        <v>559</v>
      </c>
      <c r="B33" s="784">
        <f t="shared" si="0"/>
        <v>0.975071533164794</v>
      </c>
      <c r="C33" s="784">
        <f t="shared" si="1"/>
        <v>1.0087393571750138</v>
      </c>
      <c r="D33" s="784">
        <f t="shared" si="2"/>
        <v>0.99663324890666094</v>
      </c>
      <c r="E33" s="1601"/>
      <c r="F33" s="1601"/>
      <c r="G33" s="1601"/>
      <c r="H33" s="1601"/>
      <c r="I33" s="1601"/>
      <c r="J33" s="787">
        <v>1994</v>
      </c>
      <c r="K33" s="788">
        <v>90.3</v>
      </c>
      <c r="L33" s="778"/>
      <c r="M33" s="778"/>
      <c r="N33" s="778"/>
      <c r="O33" s="778"/>
      <c r="P33" s="778"/>
      <c r="Q33" s="778"/>
      <c r="R33" s="778"/>
      <c r="S33" s="778"/>
      <c r="T33" s="778"/>
      <c r="U33" s="778"/>
      <c r="V33" s="778"/>
      <c r="W33" s="778"/>
      <c r="X33" s="778"/>
      <c r="Y33" s="778"/>
      <c r="Z33" s="778"/>
      <c r="AA33" s="778"/>
      <c r="AB33" s="778"/>
      <c r="AC33" s="778"/>
      <c r="AD33" s="778"/>
      <c r="AE33" s="778"/>
      <c r="AF33" s="778"/>
      <c r="AG33" s="778"/>
      <c r="AH33" s="778"/>
      <c r="AI33" s="778"/>
      <c r="AJ33" s="778"/>
      <c r="AK33" s="778"/>
      <c r="AL33" s="778"/>
      <c r="AM33" s="778"/>
      <c r="AN33" s="778"/>
      <c r="AO33" s="778"/>
      <c r="AP33" s="778"/>
      <c r="AQ33" s="778"/>
      <c r="AR33" s="778"/>
      <c r="AS33" s="778"/>
      <c r="AT33" s="778"/>
      <c r="AU33" s="778"/>
      <c r="AV33" s="778"/>
      <c r="AW33" s="778"/>
      <c r="AX33" s="778"/>
      <c r="AY33" s="778"/>
      <c r="AZ33" s="778"/>
      <c r="BA33" s="778"/>
      <c r="BB33" s="778"/>
      <c r="BC33" s="778"/>
      <c r="BD33" s="778"/>
      <c r="BE33" s="778"/>
      <c r="BF33" s="778"/>
      <c r="BG33" s="778"/>
      <c r="BH33" s="778"/>
      <c r="BI33" s="778"/>
      <c r="BJ33" s="778"/>
      <c r="BK33" s="778"/>
      <c r="BL33" s="778"/>
      <c r="BM33" s="778"/>
      <c r="BN33" s="778"/>
      <c r="BO33" s="778"/>
      <c r="BP33" s="778"/>
      <c r="BQ33" s="778"/>
      <c r="BR33" s="778"/>
      <c r="BS33" s="778"/>
      <c r="BT33" s="778"/>
    </row>
    <row r="34" spans="1:72" x14ac:dyDescent="0.25">
      <c r="A34" s="781" t="s">
        <v>560</v>
      </c>
      <c r="B34" s="782">
        <f t="shared" si="0"/>
        <v>1.0938371922267365</v>
      </c>
      <c r="C34" s="782">
        <f t="shared" si="1"/>
        <v>1.0852680569229392</v>
      </c>
      <c r="D34" s="782">
        <f t="shared" si="2"/>
        <v>1.0142672175626977</v>
      </c>
      <c r="E34" s="1601"/>
      <c r="F34" s="1601"/>
      <c r="G34" s="1601"/>
      <c r="H34" s="1601"/>
      <c r="I34" s="1601"/>
      <c r="J34" s="785">
        <v>1995</v>
      </c>
      <c r="K34" s="786">
        <v>92.1</v>
      </c>
      <c r="L34" s="778"/>
      <c r="M34" s="778"/>
      <c r="N34" s="778"/>
      <c r="O34" s="778"/>
      <c r="P34" s="778"/>
      <c r="Q34" s="778"/>
      <c r="R34" s="778"/>
      <c r="S34" s="778"/>
      <c r="T34" s="778"/>
      <c r="U34" s="778"/>
      <c r="V34" s="778"/>
      <c r="W34" s="778"/>
      <c r="X34" s="778"/>
      <c r="Y34" s="778"/>
      <c r="Z34" s="778"/>
      <c r="AA34" s="778"/>
      <c r="AB34" s="778"/>
      <c r="AC34" s="778"/>
      <c r="AD34" s="778"/>
      <c r="AE34" s="778"/>
      <c r="AF34" s="778"/>
      <c r="AG34" s="778"/>
      <c r="AH34" s="778"/>
      <c r="AI34" s="778"/>
      <c r="AJ34" s="778"/>
      <c r="AK34" s="778"/>
      <c r="AL34" s="778"/>
      <c r="AM34" s="778"/>
      <c r="AN34" s="778"/>
      <c r="AO34" s="778"/>
      <c r="AP34" s="778"/>
      <c r="AQ34" s="778"/>
      <c r="AR34" s="778"/>
      <c r="AS34" s="778"/>
      <c r="AT34" s="778"/>
      <c r="AU34" s="778"/>
      <c r="AV34" s="778"/>
      <c r="AW34" s="778"/>
      <c r="AX34" s="778"/>
      <c r="AY34" s="778"/>
      <c r="AZ34" s="778"/>
      <c r="BA34" s="778"/>
      <c r="BB34" s="778"/>
      <c r="BC34" s="778"/>
      <c r="BD34" s="778"/>
      <c r="BE34" s="778"/>
      <c r="BF34" s="778"/>
      <c r="BG34" s="778"/>
      <c r="BH34" s="778"/>
      <c r="BI34" s="778"/>
      <c r="BJ34" s="778"/>
      <c r="BK34" s="778"/>
      <c r="BL34" s="778"/>
      <c r="BM34" s="778"/>
      <c r="BN34" s="778"/>
      <c r="BO34" s="778"/>
      <c r="BP34" s="778"/>
      <c r="BQ34" s="778"/>
      <c r="BR34" s="778"/>
      <c r="BS34" s="778"/>
      <c r="BT34" s="778"/>
    </row>
    <row r="35" spans="1:72" x14ac:dyDescent="0.25">
      <c r="A35" s="783" t="s">
        <v>309</v>
      </c>
      <c r="B35" s="784">
        <f t="shared" si="0"/>
        <v>1.0046194107582356</v>
      </c>
      <c r="C35" s="784">
        <f t="shared" si="1"/>
        <v>1.003094645903579</v>
      </c>
      <c r="D35" s="784">
        <f t="shared" si="2"/>
        <v>0.99710816742279029</v>
      </c>
      <c r="E35" s="1601"/>
      <c r="F35" s="1601"/>
      <c r="G35" s="1601"/>
      <c r="H35" s="1601"/>
      <c r="I35" s="1601"/>
      <c r="J35" s="787">
        <v>1996</v>
      </c>
      <c r="K35" s="788">
        <v>93.9</v>
      </c>
      <c r="L35" s="778"/>
      <c r="M35" s="778"/>
      <c r="N35" s="778"/>
      <c r="O35" s="778"/>
      <c r="P35" s="778"/>
      <c r="Q35" s="778"/>
      <c r="R35" s="778"/>
      <c r="S35" s="778"/>
      <c r="T35" s="778"/>
      <c r="U35" s="778"/>
      <c r="V35" s="778"/>
      <c r="W35" s="778"/>
      <c r="X35" s="778"/>
      <c r="Y35" s="778"/>
      <c r="Z35" s="778"/>
      <c r="AA35" s="778"/>
      <c r="AB35" s="778"/>
      <c r="AC35" s="778"/>
      <c r="AD35" s="778"/>
      <c r="AE35" s="778"/>
      <c r="AF35" s="778"/>
      <c r="AG35" s="778"/>
      <c r="AH35" s="778"/>
      <c r="AI35" s="778"/>
      <c r="AJ35" s="778"/>
      <c r="AK35" s="778"/>
      <c r="AL35" s="778"/>
      <c r="AM35" s="778"/>
      <c r="AN35" s="778"/>
      <c r="AO35" s="778"/>
      <c r="AP35" s="778"/>
      <c r="AQ35" s="778"/>
      <c r="AR35" s="778"/>
      <c r="AS35" s="778"/>
      <c r="AT35" s="778"/>
      <c r="AU35" s="778"/>
      <c r="AV35" s="778"/>
      <c r="AW35" s="778"/>
      <c r="AX35" s="778"/>
      <c r="AY35" s="778"/>
      <c r="AZ35" s="778"/>
      <c r="BA35" s="778"/>
      <c r="BB35" s="778"/>
      <c r="BC35" s="778"/>
      <c r="BD35" s="778"/>
      <c r="BE35" s="778"/>
      <c r="BF35" s="778"/>
      <c r="BG35" s="778"/>
      <c r="BH35" s="778"/>
      <c r="BI35" s="778"/>
      <c r="BJ35" s="778"/>
      <c r="BK35" s="778"/>
      <c r="BL35" s="778"/>
      <c r="BM35" s="778"/>
      <c r="BN35" s="778"/>
      <c r="BO35" s="778"/>
      <c r="BP35" s="778"/>
      <c r="BQ35" s="778"/>
      <c r="BR35" s="778"/>
      <c r="BS35" s="778"/>
      <c r="BT35" s="778"/>
    </row>
    <row r="36" spans="1:72" x14ac:dyDescent="0.25">
      <c r="A36" s="1605"/>
      <c r="B36" s="1606"/>
      <c r="C36" s="1606"/>
      <c r="D36" s="1606"/>
      <c r="E36" s="1601"/>
      <c r="F36" s="1601"/>
      <c r="G36" s="1601"/>
      <c r="H36" s="1601"/>
      <c r="I36" s="1601"/>
      <c r="J36" s="785">
        <v>1997</v>
      </c>
      <c r="K36" s="786">
        <v>95.4</v>
      </c>
      <c r="L36" s="778"/>
      <c r="M36" s="778"/>
      <c r="N36" s="778"/>
      <c r="O36" s="778"/>
      <c r="P36" s="778"/>
      <c r="Q36" s="778"/>
      <c r="R36" s="778"/>
      <c r="S36" s="778"/>
      <c r="T36" s="778"/>
      <c r="U36" s="778"/>
      <c r="V36" s="778"/>
      <c r="W36" s="778"/>
      <c r="X36" s="778"/>
      <c r="Y36" s="778"/>
      <c r="Z36" s="778"/>
      <c r="AA36" s="778"/>
      <c r="AB36" s="778"/>
      <c r="AC36" s="778"/>
      <c r="AD36" s="778"/>
      <c r="AE36" s="778"/>
      <c r="AF36" s="778"/>
      <c r="AG36" s="778"/>
      <c r="AH36" s="778"/>
      <c r="AI36" s="778"/>
      <c r="AJ36" s="778"/>
      <c r="AK36" s="778"/>
      <c r="AL36" s="778"/>
      <c r="AM36" s="778"/>
      <c r="AN36" s="778"/>
      <c r="AO36" s="778"/>
      <c r="AP36" s="778"/>
      <c r="AQ36" s="778"/>
      <c r="AR36" s="778"/>
      <c r="AS36" s="778"/>
      <c r="AT36" s="778"/>
      <c r="AU36" s="778"/>
      <c r="AV36" s="778"/>
      <c r="AW36" s="778"/>
      <c r="AX36" s="778"/>
      <c r="AY36" s="778"/>
      <c r="AZ36" s="778"/>
      <c r="BA36" s="778"/>
      <c r="BB36" s="778"/>
      <c r="BC36" s="778"/>
      <c r="BD36" s="778"/>
      <c r="BE36" s="778"/>
      <c r="BF36" s="778"/>
      <c r="BG36" s="778"/>
      <c r="BH36" s="778"/>
      <c r="BI36" s="778"/>
      <c r="BJ36" s="778"/>
      <c r="BK36" s="778"/>
      <c r="BL36" s="778"/>
      <c r="BM36" s="778"/>
      <c r="BN36" s="778"/>
      <c r="BO36" s="778"/>
      <c r="BP36" s="778"/>
      <c r="BQ36" s="778"/>
      <c r="BR36" s="778"/>
      <c r="BS36" s="778"/>
      <c r="BT36" s="778"/>
    </row>
    <row r="37" spans="1:72" x14ac:dyDescent="0.25">
      <c r="A37" s="1605"/>
      <c r="B37" s="1606"/>
      <c r="C37" s="1606"/>
      <c r="D37" s="1606"/>
      <c r="E37" s="1601"/>
      <c r="F37" s="1601"/>
      <c r="G37" s="1601"/>
      <c r="H37" s="1601"/>
      <c r="I37" s="1601"/>
      <c r="J37" s="787">
        <v>1998</v>
      </c>
      <c r="K37" s="788">
        <v>96.5</v>
      </c>
      <c r="L37" s="778"/>
      <c r="M37" s="778"/>
      <c r="N37" s="778"/>
      <c r="O37" s="778"/>
      <c r="P37" s="778"/>
      <c r="Q37" s="778"/>
      <c r="R37" s="778"/>
      <c r="S37" s="778"/>
      <c r="T37" s="778"/>
      <c r="U37" s="778"/>
      <c r="V37" s="778"/>
      <c r="W37" s="778"/>
      <c r="X37" s="778"/>
      <c r="Y37" s="778"/>
      <c r="Z37" s="778"/>
      <c r="AA37" s="778"/>
      <c r="AB37" s="778"/>
      <c r="AC37" s="778"/>
      <c r="AD37" s="778"/>
      <c r="AE37" s="778"/>
      <c r="AF37" s="778"/>
      <c r="AG37" s="778"/>
      <c r="AH37" s="778"/>
      <c r="AI37" s="778"/>
      <c r="AJ37" s="778"/>
      <c r="AK37" s="778"/>
      <c r="AL37" s="778"/>
      <c r="AM37" s="778"/>
      <c r="AN37" s="778"/>
      <c r="AO37" s="778"/>
      <c r="AP37" s="778"/>
      <c r="AQ37" s="778"/>
      <c r="AR37" s="778"/>
      <c r="AS37" s="778"/>
      <c r="AT37" s="778"/>
      <c r="AU37" s="778"/>
      <c r="AV37" s="778"/>
      <c r="AW37" s="778"/>
      <c r="AX37" s="778"/>
      <c r="AY37" s="778"/>
      <c r="AZ37" s="778"/>
      <c r="BA37" s="778"/>
      <c r="BB37" s="778"/>
      <c r="BC37" s="778"/>
      <c r="BD37" s="778"/>
      <c r="BE37" s="778"/>
      <c r="BF37" s="778"/>
      <c r="BG37" s="778"/>
      <c r="BH37" s="778"/>
      <c r="BI37" s="778"/>
      <c r="BJ37" s="778"/>
      <c r="BK37" s="778"/>
      <c r="BL37" s="778"/>
      <c r="BM37" s="778"/>
      <c r="BN37" s="778"/>
      <c r="BO37" s="778"/>
      <c r="BP37" s="778"/>
      <c r="BQ37" s="778"/>
      <c r="BR37" s="778"/>
      <c r="BS37" s="778"/>
      <c r="BT37" s="778"/>
    </row>
    <row r="38" spans="1:72" x14ac:dyDescent="0.25">
      <c r="A38" s="1610" t="s">
        <v>562</v>
      </c>
      <c r="B38" s="1611"/>
      <c r="C38" s="789" t="s">
        <v>563</v>
      </c>
      <c r="D38" s="789" t="s">
        <v>563</v>
      </c>
      <c r="E38" s="1611" t="s">
        <v>1086</v>
      </c>
      <c r="F38" s="1611"/>
      <c r="G38" s="1611"/>
      <c r="H38" s="1611"/>
      <c r="I38" s="1611"/>
      <c r="J38" s="785">
        <v>1999</v>
      </c>
      <c r="K38" s="786">
        <v>97.9</v>
      </c>
      <c r="L38" s="778"/>
      <c r="M38" s="778"/>
      <c r="N38" s="778"/>
      <c r="O38" s="778"/>
      <c r="P38" s="778"/>
      <c r="Q38" s="778"/>
      <c r="R38" s="778"/>
      <c r="S38" s="778"/>
      <c r="T38" s="778"/>
      <c r="U38" s="778"/>
      <c r="V38" s="778"/>
      <c r="W38" s="778"/>
      <c r="X38" s="778"/>
      <c r="Y38" s="778"/>
      <c r="Z38" s="778"/>
      <c r="AA38" s="778"/>
      <c r="AB38" s="778"/>
      <c r="AC38" s="778"/>
      <c r="AD38" s="778"/>
      <c r="AE38" s="778"/>
      <c r="AF38" s="778"/>
      <c r="AG38" s="778"/>
      <c r="AH38" s="778"/>
      <c r="AI38" s="778"/>
      <c r="AJ38" s="778"/>
      <c r="AK38" s="778"/>
      <c r="AL38" s="778"/>
      <c r="AM38" s="778"/>
      <c r="AN38" s="778"/>
      <c r="AO38" s="778"/>
      <c r="AP38" s="778"/>
      <c r="AQ38" s="778"/>
      <c r="AR38" s="778"/>
      <c r="AS38" s="778"/>
      <c r="AT38" s="778"/>
      <c r="AU38" s="778"/>
      <c r="AV38" s="778"/>
      <c r="AW38" s="778"/>
      <c r="AX38" s="778"/>
      <c r="AY38" s="778"/>
      <c r="AZ38" s="778"/>
      <c r="BA38" s="778"/>
      <c r="BB38" s="778"/>
      <c r="BC38" s="778"/>
      <c r="BD38" s="778"/>
      <c r="BE38" s="778"/>
      <c r="BF38" s="778"/>
      <c r="BG38" s="778"/>
      <c r="BH38" s="778"/>
      <c r="BI38" s="778"/>
      <c r="BJ38" s="778"/>
      <c r="BK38" s="778"/>
      <c r="BL38" s="778"/>
      <c r="BM38" s="778"/>
      <c r="BN38" s="778"/>
      <c r="BO38" s="778"/>
      <c r="BP38" s="778"/>
      <c r="BQ38" s="778"/>
      <c r="BR38" s="778"/>
      <c r="BS38" s="778"/>
      <c r="BT38" s="778"/>
    </row>
    <row r="39" spans="1:72" x14ac:dyDescent="0.25">
      <c r="A39" s="783"/>
      <c r="B39" s="742" t="s">
        <v>1022</v>
      </c>
      <c r="C39" s="787">
        <v>2000</v>
      </c>
      <c r="D39" s="787">
        <v>2005</v>
      </c>
      <c r="E39" s="787">
        <v>2020</v>
      </c>
      <c r="F39" s="787">
        <v>2035</v>
      </c>
      <c r="G39" s="787">
        <v>2050</v>
      </c>
      <c r="H39" s="787">
        <v>2065</v>
      </c>
      <c r="I39" s="787">
        <v>2070</v>
      </c>
      <c r="J39" s="787">
        <v>2000</v>
      </c>
      <c r="K39" s="788">
        <v>100</v>
      </c>
      <c r="L39" s="778"/>
      <c r="M39" s="778"/>
      <c r="N39" s="778"/>
      <c r="O39" s="778"/>
      <c r="P39" s="778"/>
      <c r="Q39" s="778"/>
      <c r="R39" s="778"/>
      <c r="S39" s="778"/>
      <c r="T39" s="778"/>
      <c r="U39" s="778"/>
      <c r="V39" s="778"/>
      <c r="W39" s="778"/>
      <c r="X39" s="778"/>
      <c r="Y39" s="778"/>
      <c r="Z39" s="778"/>
      <c r="AA39" s="778"/>
      <c r="AB39" s="778"/>
      <c r="AC39" s="778"/>
      <c r="AD39" s="778"/>
      <c r="AE39" s="778"/>
      <c r="AF39" s="778"/>
      <c r="AG39" s="778"/>
      <c r="AH39" s="778"/>
      <c r="AI39" s="778"/>
      <c r="AJ39" s="778"/>
      <c r="AK39" s="778"/>
      <c r="AL39" s="778"/>
      <c r="AM39" s="778"/>
      <c r="AN39" s="778"/>
      <c r="AO39" s="778"/>
      <c r="AP39" s="778"/>
      <c r="AQ39" s="778"/>
      <c r="AR39" s="778"/>
      <c r="AS39" s="778"/>
      <c r="AT39" s="778"/>
      <c r="AU39" s="778"/>
      <c r="AV39" s="778"/>
      <c r="AW39" s="778"/>
      <c r="AX39" s="778"/>
      <c r="AY39" s="778"/>
      <c r="AZ39" s="778"/>
      <c r="BA39" s="778"/>
      <c r="BB39" s="778"/>
      <c r="BC39" s="778"/>
      <c r="BD39" s="778"/>
      <c r="BE39" s="778"/>
      <c r="BF39" s="778"/>
      <c r="BG39" s="778"/>
      <c r="BH39" s="778"/>
      <c r="BI39" s="778"/>
      <c r="BJ39" s="778"/>
      <c r="BK39" s="778"/>
      <c r="BL39" s="778"/>
      <c r="BM39" s="778"/>
      <c r="BN39" s="778"/>
      <c r="BO39" s="778"/>
      <c r="BP39" s="778"/>
      <c r="BQ39" s="778"/>
      <c r="BR39" s="778"/>
      <c r="BS39" s="778"/>
      <c r="BT39" s="778"/>
    </row>
    <row r="40" spans="1:72" x14ac:dyDescent="0.25">
      <c r="A40" s="781" t="s">
        <v>554</v>
      </c>
      <c r="B40" s="790" t="s">
        <v>564</v>
      </c>
      <c r="C40" s="785">
        <v>25.276500000000002</v>
      </c>
      <c r="D40" s="785">
        <v>25.071000000000002</v>
      </c>
      <c r="E40" s="785">
        <v>49.911552427759986</v>
      </c>
      <c r="F40" s="785">
        <v>51.73380738099187</v>
      </c>
      <c r="G40" s="785">
        <v>54.228868079187265</v>
      </c>
      <c r="H40" s="785">
        <v>57.083559627090274</v>
      </c>
      <c r="I40" s="785">
        <v>57.998580810871225</v>
      </c>
      <c r="J40" s="785">
        <v>2001</v>
      </c>
      <c r="K40" s="786">
        <v>102.4</v>
      </c>
      <c r="L40" s="778"/>
      <c r="M40" s="778"/>
      <c r="N40" s="778"/>
      <c r="O40" s="778"/>
      <c r="P40" s="778"/>
      <c r="Q40" s="778"/>
      <c r="R40" s="778"/>
      <c r="S40" s="778"/>
      <c r="T40" s="778"/>
      <c r="U40" s="778"/>
      <c r="V40" s="778"/>
      <c r="W40" s="778"/>
      <c r="X40" s="778"/>
      <c r="Y40" s="778"/>
      <c r="Z40" s="778"/>
      <c r="AA40" s="778"/>
      <c r="AB40" s="778"/>
      <c r="AC40" s="778"/>
      <c r="AD40" s="778"/>
      <c r="AE40" s="778"/>
      <c r="AF40" s="778"/>
      <c r="AG40" s="778"/>
      <c r="AH40" s="778"/>
      <c r="AI40" s="778"/>
      <c r="AJ40" s="778"/>
      <c r="AK40" s="778"/>
      <c r="AL40" s="778"/>
      <c r="AM40" s="778"/>
      <c r="AN40" s="778"/>
      <c r="AO40" s="778"/>
      <c r="AP40" s="778"/>
      <c r="AQ40" s="778"/>
      <c r="AR40" s="778"/>
      <c r="AS40" s="778"/>
      <c r="AT40" s="778"/>
      <c r="AU40" s="778"/>
      <c r="AV40" s="778"/>
      <c r="AW40" s="778"/>
      <c r="AX40" s="778"/>
      <c r="AY40" s="778"/>
      <c r="AZ40" s="778"/>
      <c r="BA40" s="778"/>
      <c r="BB40" s="778"/>
      <c r="BC40" s="778"/>
      <c r="BD40" s="778"/>
      <c r="BE40" s="778"/>
      <c r="BF40" s="778"/>
      <c r="BG40" s="778"/>
      <c r="BH40" s="778"/>
      <c r="BI40" s="778"/>
      <c r="BJ40" s="778"/>
      <c r="BK40" s="778"/>
      <c r="BL40" s="778"/>
      <c r="BM40" s="778"/>
      <c r="BN40" s="778"/>
      <c r="BO40" s="778"/>
      <c r="BP40" s="778"/>
      <c r="BQ40" s="778"/>
      <c r="BR40" s="778"/>
      <c r="BS40" s="778"/>
      <c r="BT40" s="778"/>
    </row>
    <row r="41" spans="1:72" x14ac:dyDescent="0.25">
      <c r="A41" s="783" t="s">
        <v>555</v>
      </c>
      <c r="B41" s="791" t="s">
        <v>565</v>
      </c>
      <c r="C41" s="787">
        <v>3.83</v>
      </c>
      <c r="D41" s="787">
        <v>2.88</v>
      </c>
      <c r="E41" s="787">
        <v>3.4820792312666162</v>
      </c>
      <c r="F41" s="787">
        <v>3.718467288972283</v>
      </c>
      <c r="G41" s="787">
        <v>4.254403392012021</v>
      </c>
      <c r="H41" s="787">
        <v>4.8331418485312492</v>
      </c>
      <c r="I41" s="787">
        <v>5.0085938618348607</v>
      </c>
      <c r="J41" s="787">
        <v>2002</v>
      </c>
      <c r="K41" s="788">
        <v>104.1</v>
      </c>
      <c r="L41" s="778"/>
      <c r="M41" s="778"/>
      <c r="N41" s="778"/>
      <c r="O41" s="778"/>
      <c r="P41" s="778"/>
      <c r="Q41" s="778"/>
      <c r="R41" s="778"/>
      <c r="S41" s="778"/>
      <c r="T41" s="778"/>
      <c r="U41" s="778"/>
      <c r="V41" s="778"/>
      <c r="W41" s="778"/>
      <c r="X41" s="778"/>
      <c r="Y41" s="778"/>
      <c r="Z41" s="778"/>
      <c r="AA41" s="778"/>
      <c r="AB41" s="778"/>
      <c r="AC41" s="778"/>
      <c r="AD41" s="778"/>
      <c r="AE41" s="778"/>
      <c r="AF41" s="778"/>
      <c r="AG41" s="778"/>
      <c r="AH41" s="778"/>
      <c r="AI41" s="778"/>
      <c r="AJ41" s="778"/>
      <c r="AK41" s="778"/>
      <c r="AL41" s="778"/>
      <c r="AM41" s="778"/>
      <c r="AN41" s="778"/>
      <c r="AO41" s="778"/>
      <c r="AP41" s="778"/>
      <c r="AQ41" s="778"/>
      <c r="AR41" s="778"/>
      <c r="AS41" s="778"/>
      <c r="AT41" s="778"/>
      <c r="AU41" s="778"/>
      <c r="AV41" s="778"/>
      <c r="AW41" s="778"/>
      <c r="AX41" s="778"/>
      <c r="AY41" s="778"/>
      <c r="AZ41" s="778"/>
      <c r="BA41" s="778"/>
      <c r="BB41" s="778"/>
      <c r="BC41" s="778"/>
      <c r="BD41" s="778"/>
      <c r="BE41" s="778"/>
      <c r="BF41" s="778"/>
      <c r="BG41" s="778"/>
      <c r="BH41" s="778"/>
      <c r="BI41" s="778"/>
      <c r="BJ41" s="778"/>
      <c r="BK41" s="778"/>
      <c r="BL41" s="778"/>
      <c r="BM41" s="778"/>
      <c r="BN41" s="778"/>
      <c r="BO41" s="778"/>
      <c r="BP41" s="778"/>
      <c r="BQ41" s="778"/>
      <c r="BR41" s="778"/>
      <c r="BS41" s="778"/>
      <c r="BT41" s="778"/>
    </row>
    <row r="42" spans="1:72" x14ac:dyDescent="0.25">
      <c r="A42" s="781" t="s">
        <v>556</v>
      </c>
      <c r="B42" s="790" t="s">
        <v>565</v>
      </c>
      <c r="C42" s="785">
        <v>4.333333333333333</v>
      </c>
      <c r="D42" s="785">
        <v>3.2058823529411766</v>
      </c>
      <c r="E42" s="785">
        <v>5.3135477999345282</v>
      </c>
      <c r="F42" s="785">
        <v>5.6703709369749671</v>
      </c>
      <c r="G42" s="785">
        <v>6.3804589018936815</v>
      </c>
      <c r="H42" s="785">
        <v>7.1603102550975084</v>
      </c>
      <c r="I42" s="785">
        <v>7.3649472464330987</v>
      </c>
      <c r="J42" s="785">
        <v>2003</v>
      </c>
      <c r="K42" s="786">
        <v>106</v>
      </c>
      <c r="L42" s="778"/>
      <c r="M42" s="778"/>
      <c r="N42" s="778"/>
      <c r="O42" s="778"/>
      <c r="P42" s="778"/>
      <c r="Q42" s="778"/>
      <c r="R42" s="778"/>
      <c r="S42" s="778"/>
      <c r="T42" s="778"/>
      <c r="U42" s="778"/>
      <c r="V42" s="778"/>
      <c r="W42" s="778"/>
      <c r="X42" s="778"/>
      <c r="Y42" s="778"/>
      <c r="Z42" s="778"/>
      <c r="AA42" s="778"/>
      <c r="AB42" s="778"/>
      <c r="AC42" s="778"/>
      <c r="AD42" s="778"/>
      <c r="AE42" s="778"/>
      <c r="AF42" s="778"/>
      <c r="AG42" s="778"/>
      <c r="AH42" s="778"/>
      <c r="AI42" s="778"/>
      <c r="AJ42" s="778"/>
      <c r="AK42" s="778"/>
      <c r="AL42" s="778"/>
      <c r="AM42" s="778"/>
      <c r="AN42" s="778"/>
      <c r="AO42" s="778"/>
      <c r="AP42" s="778"/>
      <c r="AQ42" s="778"/>
      <c r="AR42" s="778"/>
      <c r="AS42" s="778"/>
      <c r="AT42" s="778"/>
      <c r="AU42" s="778"/>
      <c r="AV42" s="778"/>
      <c r="AW42" s="778"/>
      <c r="AX42" s="778"/>
      <c r="AY42" s="778"/>
      <c r="AZ42" s="778"/>
      <c r="BA42" s="778"/>
      <c r="BB42" s="778"/>
      <c r="BC42" s="778"/>
      <c r="BD42" s="778"/>
      <c r="BE42" s="778"/>
      <c r="BF42" s="778"/>
      <c r="BG42" s="778"/>
      <c r="BH42" s="778"/>
      <c r="BI42" s="778"/>
      <c r="BJ42" s="778"/>
      <c r="BK42" s="778"/>
      <c r="BL42" s="778"/>
      <c r="BM42" s="778"/>
      <c r="BN42" s="778"/>
      <c r="BO42" s="778"/>
      <c r="BP42" s="778"/>
      <c r="BQ42" s="778"/>
      <c r="BR42" s="778"/>
      <c r="BS42" s="778"/>
      <c r="BT42" s="778"/>
    </row>
    <row r="43" spans="1:72" x14ac:dyDescent="0.25">
      <c r="A43" s="783" t="s">
        <v>557</v>
      </c>
      <c r="B43" s="791" t="s">
        <v>566</v>
      </c>
      <c r="C43" s="787">
        <v>28.35</v>
      </c>
      <c r="D43" s="787">
        <v>23.27</v>
      </c>
      <c r="E43" s="787">
        <v>38.166254666132858</v>
      </c>
      <c r="F43" s="787">
        <v>44.018296607182357</v>
      </c>
      <c r="G43" s="787">
        <v>47.046046898954408</v>
      </c>
      <c r="H43" s="787">
        <v>48.050792851691</v>
      </c>
      <c r="I43" s="787">
        <v>48.201553003292787</v>
      </c>
      <c r="J43" s="787">
        <v>2004</v>
      </c>
      <c r="K43" s="792">
        <v>108.3</v>
      </c>
      <c r="L43" s="778"/>
      <c r="M43" s="778"/>
      <c r="N43" s="778"/>
      <c r="O43" s="778"/>
      <c r="P43" s="778"/>
      <c r="Q43" s="778"/>
      <c r="R43" s="778"/>
      <c r="S43" s="778"/>
      <c r="T43" s="778"/>
      <c r="U43" s="778"/>
      <c r="V43" s="778"/>
      <c r="W43" s="778"/>
      <c r="X43" s="778"/>
      <c r="Y43" s="778"/>
      <c r="Z43" s="778"/>
      <c r="AA43" s="778"/>
      <c r="AB43" s="778"/>
      <c r="AC43" s="778"/>
      <c r="AD43" s="778"/>
      <c r="AE43" s="778"/>
      <c r="AF43" s="778"/>
      <c r="AG43" s="778"/>
      <c r="AH43" s="778"/>
      <c r="AI43" s="778"/>
      <c r="AJ43" s="778"/>
      <c r="AK43" s="778"/>
      <c r="AL43" s="778"/>
      <c r="AM43" s="778"/>
      <c r="AN43" s="778"/>
      <c r="AO43" s="778"/>
      <c r="AP43" s="778"/>
      <c r="AQ43" s="778"/>
      <c r="AR43" s="778"/>
      <c r="AS43" s="778"/>
      <c r="AT43" s="778"/>
      <c r="AU43" s="778"/>
      <c r="AV43" s="778"/>
      <c r="AW43" s="778"/>
      <c r="AX43" s="778"/>
      <c r="AY43" s="778"/>
      <c r="AZ43" s="778"/>
      <c r="BA43" s="778"/>
      <c r="BB43" s="778"/>
      <c r="BC43" s="778"/>
      <c r="BD43" s="778"/>
      <c r="BE43" s="778"/>
      <c r="BF43" s="778"/>
      <c r="BG43" s="778"/>
      <c r="BH43" s="778"/>
      <c r="BI43" s="778"/>
      <c r="BJ43" s="778"/>
      <c r="BK43" s="778"/>
      <c r="BL43" s="778"/>
      <c r="BM43" s="778"/>
      <c r="BN43" s="778"/>
      <c r="BO43" s="778"/>
      <c r="BP43" s="778"/>
      <c r="BQ43" s="778"/>
      <c r="BR43" s="778"/>
      <c r="BS43" s="778"/>
      <c r="BT43" s="778"/>
    </row>
    <row r="44" spans="1:72" x14ac:dyDescent="0.25">
      <c r="A44" s="781" t="s">
        <v>558</v>
      </c>
      <c r="B44" s="790" t="s">
        <v>567</v>
      </c>
      <c r="C44" s="785">
        <v>1.5176666666666667</v>
      </c>
      <c r="D44" s="785">
        <v>1.2925714285714285</v>
      </c>
      <c r="E44" s="785">
        <v>1.9428327208531595</v>
      </c>
      <c r="F44" s="785">
        <v>2.1262391061548653</v>
      </c>
      <c r="G44" s="785">
        <v>2.2056865867102777</v>
      </c>
      <c r="H44" s="785">
        <v>2.2243217316177319</v>
      </c>
      <c r="I44" s="785">
        <v>2.2266990166381286</v>
      </c>
      <c r="J44" s="785">
        <v>2005</v>
      </c>
      <c r="K44" s="793">
        <v>110.5</v>
      </c>
      <c r="L44" s="778"/>
      <c r="M44" s="778"/>
      <c r="N44" s="778"/>
      <c r="O44" s="778"/>
      <c r="P44" s="778"/>
      <c r="Q44" s="778"/>
      <c r="R44" s="778"/>
      <c r="S44" s="778"/>
      <c r="T44" s="778"/>
      <c r="U44" s="778"/>
      <c r="V44" s="778"/>
      <c r="W44" s="778"/>
      <c r="X44" s="778"/>
      <c r="Y44" s="778"/>
      <c r="Z44" s="778"/>
      <c r="AA44" s="778"/>
      <c r="AB44" s="778"/>
      <c r="AC44" s="778"/>
      <c r="AD44" s="778"/>
      <c r="AE44" s="778"/>
      <c r="AF44" s="778"/>
      <c r="AG44" s="778"/>
      <c r="AH44" s="778"/>
      <c r="AI44" s="778"/>
      <c r="AJ44" s="778"/>
      <c r="AK44" s="778"/>
      <c r="AL44" s="778"/>
      <c r="AM44" s="778"/>
      <c r="AN44" s="778"/>
      <c r="AO44" s="778"/>
      <c r="AP44" s="778"/>
      <c r="AQ44" s="778"/>
      <c r="AR44" s="778"/>
      <c r="AS44" s="778"/>
      <c r="AT44" s="778"/>
      <c r="AU44" s="778"/>
      <c r="AV44" s="778"/>
      <c r="AW44" s="778"/>
      <c r="AX44" s="778"/>
      <c r="AY44" s="778"/>
      <c r="AZ44" s="778"/>
      <c r="BA44" s="778"/>
      <c r="BB44" s="778"/>
      <c r="BC44" s="778"/>
      <c r="BD44" s="778"/>
      <c r="BE44" s="778"/>
      <c r="BF44" s="778"/>
      <c r="BG44" s="778"/>
      <c r="BH44" s="778"/>
      <c r="BI44" s="778"/>
      <c r="BJ44" s="778"/>
      <c r="BK44" s="778"/>
      <c r="BL44" s="778"/>
      <c r="BM44" s="778"/>
      <c r="BN44" s="778"/>
      <c r="BO44" s="778"/>
      <c r="BP44" s="778"/>
      <c r="BQ44" s="778"/>
      <c r="BR44" s="778"/>
      <c r="BS44" s="778"/>
      <c r="BT44" s="778"/>
    </row>
    <row r="45" spans="1:72" x14ac:dyDescent="0.25">
      <c r="A45" s="783" t="s">
        <v>559</v>
      </c>
      <c r="B45" s="791" t="s">
        <v>568</v>
      </c>
      <c r="C45" s="787">
        <v>6.9</v>
      </c>
      <c r="D45" s="787">
        <v>6.4</v>
      </c>
      <c r="E45" s="787">
        <v>7.2674708046079139</v>
      </c>
      <c r="F45" s="787">
        <v>7.0885496188632935</v>
      </c>
      <c r="G45" s="787">
        <v>6.9118429447797478</v>
      </c>
      <c r="H45" s="787">
        <v>6.9722480090117775</v>
      </c>
      <c r="I45" s="787">
        <v>6.9487741854044058</v>
      </c>
      <c r="J45" s="1612" t="s">
        <v>746</v>
      </c>
      <c r="K45" s="1613"/>
      <c r="L45" s="778"/>
      <c r="M45" s="778"/>
      <c r="N45" s="778"/>
      <c r="O45" s="778"/>
      <c r="P45" s="778"/>
      <c r="Q45" s="778"/>
      <c r="R45" s="778"/>
      <c r="S45" s="778"/>
      <c r="T45" s="778"/>
      <c r="U45" s="778"/>
      <c r="V45" s="778"/>
      <c r="W45" s="778"/>
      <c r="X45" s="778"/>
      <c r="Y45" s="778"/>
      <c r="Z45" s="778"/>
      <c r="AA45" s="778"/>
      <c r="AB45" s="778"/>
      <c r="AC45" s="778"/>
      <c r="AD45" s="778"/>
      <c r="AE45" s="778"/>
      <c r="AF45" s="778"/>
      <c r="AG45" s="778"/>
      <c r="AH45" s="778"/>
      <c r="AI45" s="778"/>
      <c r="AJ45" s="778"/>
      <c r="AK45" s="778"/>
      <c r="AL45" s="778"/>
      <c r="AM45" s="778"/>
      <c r="AN45" s="778"/>
      <c r="AO45" s="778"/>
      <c r="AP45" s="778"/>
      <c r="AQ45" s="778"/>
      <c r="AR45" s="778"/>
      <c r="AS45" s="778"/>
      <c r="AT45" s="778"/>
      <c r="AU45" s="778"/>
      <c r="AV45" s="778"/>
      <c r="AW45" s="778"/>
      <c r="AX45" s="778"/>
      <c r="AY45" s="778"/>
      <c r="AZ45" s="778"/>
      <c r="BA45" s="778"/>
      <c r="BB45" s="778"/>
      <c r="BC45" s="778"/>
      <c r="BD45" s="778"/>
      <c r="BE45" s="778"/>
      <c r="BF45" s="778"/>
      <c r="BG45" s="778"/>
      <c r="BH45" s="778"/>
      <c r="BI45" s="778"/>
      <c r="BJ45" s="778"/>
      <c r="BK45" s="778"/>
      <c r="BL45" s="778"/>
      <c r="BM45" s="778"/>
      <c r="BN45" s="778"/>
      <c r="BO45" s="778"/>
      <c r="BP45" s="778"/>
      <c r="BQ45" s="778"/>
      <c r="BR45" s="778"/>
      <c r="BS45" s="778"/>
      <c r="BT45" s="778"/>
    </row>
    <row r="46" spans="1:72" x14ac:dyDescent="0.25">
      <c r="A46" s="781" t="s">
        <v>560</v>
      </c>
      <c r="B46" s="790" t="s">
        <v>569</v>
      </c>
      <c r="C46" s="785"/>
      <c r="D46" s="785"/>
      <c r="E46" s="785">
        <v>3.9267286033597717</v>
      </c>
      <c r="F46" s="785">
        <v>3.4025762910602637</v>
      </c>
      <c r="G46" s="785">
        <v>3.7218644965506216</v>
      </c>
      <c r="H46" s="785">
        <v>4.0392206503019663</v>
      </c>
      <c r="I46" s="785">
        <v>4.0968490901035652</v>
      </c>
      <c r="J46" s="1612"/>
      <c r="K46" s="1613"/>
      <c r="L46" s="778"/>
      <c r="M46" s="778"/>
      <c r="N46" s="778"/>
      <c r="O46" s="778"/>
      <c r="P46" s="778"/>
      <c r="Q46" s="778"/>
      <c r="R46" s="778"/>
      <c r="S46" s="778"/>
      <c r="T46" s="778"/>
      <c r="U46" s="778"/>
      <c r="V46" s="778"/>
      <c r="W46" s="778"/>
      <c r="X46" s="778"/>
      <c r="Y46" s="778"/>
      <c r="Z46" s="778"/>
      <c r="AA46" s="778"/>
      <c r="AB46" s="778"/>
      <c r="AC46" s="778"/>
      <c r="AD46" s="778"/>
      <c r="AE46" s="778"/>
      <c r="AF46" s="778"/>
      <c r="AG46" s="778"/>
      <c r="AH46" s="778"/>
      <c r="AI46" s="778"/>
      <c r="AJ46" s="778"/>
      <c r="AK46" s="778"/>
      <c r="AL46" s="778"/>
      <c r="AM46" s="778"/>
      <c r="AN46" s="778"/>
      <c r="AO46" s="778"/>
      <c r="AP46" s="778"/>
      <c r="AQ46" s="778"/>
      <c r="AR46" s="778"/>
      <c r="AS46" s="778"/>
      <c r="AT46" s="778"/>
      <c r="AU46" s="778"/>
      <c r="AV46" s="778"/>
      <c r="AW46" s="778"/>
      <c r="AX46" s="778"/>
      <c r="AY46" s="778"/>
      <c r="AZ46" s="778"/>
      <c r="BA46" s="778"/>
      <c r="BB46" s="778"/>
      <c r="BC46" s="778"/>
      <c r="BD46" s="778"/>
      <c r="BE46" s="778"/>
      <c r="BF46" s="778"/>
      <c r="BG46" s="778"/>
      <c r="BH46" s="778"/>
      <c r="BI46" s="778"/>
      <c r="BJ46" s="778"/>
      <c r="BK46" s="778"/>
      <c r="BL46" s="778"/>
      <c r="BM46" s="778"/>
      <c r="BN46" s="778"/>
      <c r="BO46" s="778"/>
      <c r="BP46" s="778"/>
      <c r="BQ46" s="778"/>
      <c r="BR46" s="778"/>
      <c r="BS46" s="778"/>
      <c r="BT46" s="778"/>
    </row>
    <row r="47" spans="1:72" x14ac:dyDescent="0.25">
      <c r="A47" s="783" t="s">
        <v>309</v>
      </c>
      <c r="B47" s="791" t="s">
        <v>569</v>
      </c>
      <c r="C47" s="787"/>
      <c r="D47" s="787"/>
      <c r="E47" s="787">
        <v>24.686324737923844</v>
      </c>
      <c r="F47" s="787">
        <v>23.090083577893328</v>
      </c>
      <c r="G47" s="787">
        <v>23.196746158381607</v>
      </c>
      <c r="H47" s="787">
        <v>23.268531873857007</v>
      </c>
      <c r="I47" s="787">
        <v>23.201243175360347</v>
      </c>
      <c r="J47" s="1612"/>
      <c r="K47" s="1613"/>
      <c r="L47" s="778"/>
      <c r="M47" s="778"/>
      <c r="N47" s="778"/>
      <c r="O47" s="778"/>
      <c r="P47" s="778"/>
      <c r="Q47" s="778"/>
      <c r="R47" s="778"/>
      <c r="S47" s="778"/>
      <c r="T47" s="778"/>
      <c r="U47" s="778"/>
      <c r="V47" s="778"/>
      <c r="W47" s="778"/>
      <c r="X47" s="778"/>
      <c r="Y47" s="778"/>
      <c r="Z47" s="778"/>
      <c r="AA47" s="778"/>
      <c r="AB47" s="778"/>
      <c r="AC47" s="778"/>
      <c r="AD47" s="778"/>
      <c r="AE47" s="778"/>
      <c r="AF47" s="778"/>
      <c r="AG47" s="778"/>
      <c r="AH47" s="778"/>
      <c r="AI47" s="778"/>
      <c r="AJ47" s="778"/>
      <c r="AK47" s="778"/>
      <c r="AL47" s="778"/>
      <c r="AM47" s="778"/>
      <c r="AN47" s="778"/>
      <c r="AO47" s="778"/>
      <c r="AP47" s="778"/>
      <c r="AQ47" s="778"/>
      <c r="AR47" s="778"/>
      <c r="AS47" s="778"/>
      <c r="AT47" s="778"/>
      <c r="AU47" s="778"/>
      <c r="AV47" s="778"/>
      <c r="AW47" s="778"/>
      <c r="AX47" s="778"/>
      <c r="AY47" s="778"/>
      <c r="AZ47" s="778"/>
      <c r="BA47" s="778"/>
      <c r="BB47" s="778"/>
      <c r="BC47" s="778"/>
      <c r="BD47" s="778"/>
      <c r="BE47" s="778"/>
      <c r="BF47" s="778"/>
      <c r="BG47" s="778"/>
      <c r="BH47" s="778"/>
      <c r="BI47" s="778"/>
      <c r="BJ47" s="778"/>
      <c r="BK47" s="778"/>
      <c r="BL47" s="778"/>
      <c r="BM47" s="778"/>
      <c r="BN47" s="778"/>
      <c r="BO47" s="778"/>
      <c r="BP47" s="778"/>
      <c r="BQ47" s="778"/>
      <c r="BR47" s="778"/>
      <c r="BS47" s="778"/>
      <c r="BT47" s="778"/>
    </row>
    <row r="48" spans="1:72" ht="39.6" x14ac:dyDescent="0.25">
      <c r="A48" s="799" t="s">
        <v>755</v>
      </c>
      <c r="B48" s="790" t="s">
        <v>564</v>
      </c>
      <c r="C48" s="785"/>
      <c r="D48" s="785"/>
      <c r="E48" s="785">
        <v>10</v>
      </c>
      <c r="F48" s="785">
        <v>10</v>
      </c>
      <c r="G48" s="785">
        <v>10</v>
      </c>
      <c r="H48" s="785">
        <v>10</v>
      </c>
      <c r="I48" s="785"/>
      <c r="J48" s="1612"/>
      <c r="K48" s="1613"/>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row>
    <row r="49" spans="1:72" x14ac:dyDescent="0.25">
      <c r="B49" s="798" t="s">
        <v>754</v>
      </c>
      <c r="C49" s="796"/>
      <c r="D49" s="796"/>
      <c r="E49" s="796">
        <f>E48*$B$61</f>
        <v>0.65713983050847458</v>
      </c>
      <c r="F49" s="796">
        <f>F48*$B$61</f>
        <v>0.65713983050847458</v>
      </c>
      <c r="G49" s="796">
        <f>G48*$B$61</f>
        <v>0.65713983050847458</v>
      </c>
      <c r="H49" s="796">
        <f>H48*$B$61</f>
        <v>0.65713983050847458</v>
      </c>
      <c r="I49" s="796"/>
      <c r="J49" s="796"/>
      <c r="K49" s="797"/>
      <c r="L49" s="778"/>
      <c r="M49" s="778"/>
      <c r="N49" s="778"/>
      <c r="O49" s="778"/>
      <c r="P49" s="778"/>
      <c r="Q49" s="778"/>
      <c r="R49" s="778"/>
      <c r="S49" s="778"/>
      <c r="T49" s="778"/>
      <c r="U49" s="778"/>
      <c r="V49" s="778"/>
      <c r="W49" s="778"/>
      <c r="X49" s="778"/>
      <c r="Y49" s="778"/>
      <c r="Z49" s="778"/>
      <c r="AA49" s="778"/>
      <c r="AB49" s="778"/>
      <c r="AC49" s="778"/>
      <c r="AD49" s="778"/>
      <c r="AE49" s="778"/>
      <c r="AF49" s="778"/>
      <c r="AG49" s="778"/>
      <c r="AH49" s="778"/>
      <c r="AI49" s="778"/>
      <c r="AJ49" s="778"/>
      <c r="AK49" s="778"/>
      <c r="AL49" s="778"/>
      <c r="AM49" s="778"/>
      <c r="AN49" s="778"/>
      <c r="AO49" s="778"/>
      <c r="AP49" s="778"/>
      <c r="AQ49" s="778"/>
      <c r="AR49" s="778"/>
      <c r="AS49" s="778"/>
      <c r="AT49" s="778"/>
      <c r="AU49" s="778"/>
      <c r="AV49" s="778"/>
      <c r="AW49" s="778"/>
      <c r="AX49" s="778"/>
      <c r="AY49" s="778"/>
      <c r="AZ49" s="778"/>
      <c r="BA49" s="778"/>
      <c r="BB49" s="778"/>
      <c r="BC49" s="778"/>
      <c r="BD49" s="778"/>
      <c r="BE49" s="778"/>
      <c r="BF49" s="778"/>
      <c r="BG49" s="778"/>
      <c r="BH49" s="778"/>
      <c r="BI49" s="778"/>
      <c r="BJ49" s="778"/>
      <c r="BK49" s="778"/>
      <c r="BL49" s="778"/>
      <c r="BM49" s="778"/>
      <c r="BN49" s="778"/>
      <c r="BO49" s="778"/>
      <c r="BP49" s="778"/>
      <c r="BQ49" s="778"/>
      <c r="BR49" s="778"/>
      <c r="BS49" s="778"/>
      <c r="BT49" s="778"/>
    </row>
    <row r="50" spans="1:72" ht="26.4" x14ac:dyDescent="0.25">
      <c r="A50" s="799" t="s">
        <v>756</v>
      </c>
      <c r="B50" s="800" t="s">
        <v>569</v>
      </c>
      <c r="C50" s="785"/>
      <c r="D50" s="785"/>
      <c r="E50" s="785">
        <f>E49+E46</f>
        <v>4.5838684338682461</v>
      </c>
      <c r="F50" s="785">
        <f>F49+F46</f>
        <v>4.0597161215687381</v>
      </c>
      <c r="G50" s="785">
        <f>G49+G46</f>
        <v>4.3790043270590964</v>
      </c>
      <c r="H50" s="785">
        <f>H49+H46</f>
        <v>4.6963604808104407</v>
      </c>
      <c r="I50" s="785"/>
      <c r="J50" s="796"/>
      <c r="K50" s="797"/>
      <c r="L50" s="778"/>
      <c r="M50" s="778"/>
      <c r="N50" s="778"/>
      <c r="O50" s="778"/>
      <c r="P50" s="778"/>
      <c r="Q50" s="778"/>
      <c r="R50" s="778"/>
      <c r="S50" s="778"/>
      <c r="T50" s="778"/>
      <c r="U50" s="778"/>
      <c r="V50" s="778"/>
      <c r="W50" s="778"/>
      <c r="X50" s="778"/>
      <c r="Y50" s="778"/>
      <c r="Z50" s="778"/>
      <c r="AA50" s="778"/>
      <c r="AB50" s="778"/>
      <c r="AC50" s="778"/>
      <c r="AD50" s="778"/>
      <c r="AE50" s="778"/>
      <c r="AF50" s="778"/>
      <c r="AG50" s="778"/>
      <c r="AH50" s="778"/>
      <c r="AI50" s="778"/>
      <c r="AJ50" s="778"/>
      <c r="AK50" s="778"/>
      <c r="AL50" s="778"/>
      <c r="AM50" s="778"/>
      <c r="AN50" s="778"/>
      <c r="AO50" s="778"/>
      <c r="AP50" s="778"/>
      <c r="AQ50" s="778"/>
      <c r="AR50" s="778"/>
      <c r="AS50" s="778"/>
      <c r="AT50" s="778"/>
      <c r="AU50" s="778"/>
      <c r="AV50" s="778"/>
      <c r="AW50" s="778"/>
      <c r="AX50" s="778"/>
      <c r="AY50" s="778"/>
      <c r="AZ50" s="778"/>
      <c r="BA50" s="778"/>
      <c r="BB50" s="778"/>
      <c r="BC50" s="778"/>
      <c r="BD50" s="778"/>
      <c r="BE50" s="778"/>
      <c r="BF50" s="778"/>
      <c r="BG50" s="778"/>
      <c r="BH50" s="778"/>
      <c r="BI50" s="778"/>
      <c r="BJ50" s="778"/>
      <c r="BK50" s="778"/>
      <c r="BL50" s="778"/>
      <c r="BM50" s="778"/>
      <c r="BN50" s="778"/>
      <c r="BO50" s="778"/>
      <c r="BP50" s="778"/>
      <c r="BQ50" s="778"/>
      <c r="BR50" s="778"/>
      <c r="BS50" s="778"/>
      <c r="BT50" s="778"/>
    </row>
    <row r="51" spans="1:72" x14ac:dyDescent="0.25">
      <c r="B51" s="798"/>
      <c r="C51" s="796"/>
      <c r="D51" s="796"/>
      <c r="E51" s="796"/>
      <c r="F51" s="796"/>
      <c r="G51" s="796"/>
      <c r="H51" s="796"/>
      <c r="I51" s="796"/>
      <c r="J51" s="796"/>
      <c r="K51" s="797"/>
      <c r="L51" s="778"/>
      <c r="M51" s="778"/>
      <c r="N51" s="778"/>
      <c r="O51" s="778"/>
      <c r="P51" s="778"/>
      <c r="Q51" s="778"/>
      <c r="R51" s="778"/>
      <c r="S51" s="778"/>
      <c r="T51" s="778"/>
      <c r="U51" s="778"/>
      <c r="V51" s="778"/>
      <c r="W51" s="778"/>
      <c r="X51" s="778"/>
      <c r="Y51" s="778"/>
      <c r="Z51" s="778"/>
      <c r="AA51" s="778"/>
      <c r="AB51" s="778"/>
      <c r="AC51" s="778"/>
      <c r="AD51" s="778"/>
      <c r="AE51" s="778"/>
      <c r="AF51" s="778"/>
      <c r="AG51" s="778"/>
      <c r="AH51" s="778"/>
      <c r="AI51" s="778"/>
      <c r="AJ51" s="778"/>
      <c r="AK51" s="778"/>
      <c r="AL51" s="778"/>
      <c r="AM51" s="778"/>
      <c r="AN51" s="778"/>
      <c r="AO51" s="778"/>
      <c r="AP51" s="778"/>
      <c r="AQ51" s="778"/>
      <c r="AR51" s="778"/>
      <c r="AS51" s="778"/>
      <c r="AT51" s="778"/>
      <c r="AU51" s="778"/>
      <c r="AV51" s="778"/>
      <c r="AW51" s="778"/>
      <c r="AX51" s="778"/>
      <c r="AY51" s="778"/>
      <c r="AZ51" s="778"/>
      <c r="BA51" s="778"/>
      <c r="BB51" s="778"/>
      <c r="BC51" s="778"/>
      <c r="BD51" s="778"/>
      <c r="BE51" s="778"/>
      <c r="BF51" s="778"/>
      <c r="BG51" s="778"/>
      <c r="BH51" s="778"/>
      <c r="BI51" s="778"/>
      <c r="BJ51" s="778"/>
      <c r="BK51" s="778"/>
      <c r="BL51" s="778"/>
      <c r="BM51" s="778"/>
      <c r="BN51" s="778"/>
      <c r="BO51" s="778"/>
      <c r="BP51" s="778"/>
      <c r="BQ51" s="778"/>
      <c r="BR51" s="778"/>
      <c r="BS51" s="778"/>
      <c r="BT51" s="778"/>
    </row>
    <row r="52" spans="1:72" x14ac:dyDescent="0.25">
      <c r="A52" s="795" t="s">
        <v>747</v>
      </c>
      <c r="B52" s="796"/>
      <c r="C52" s="796"/>
      <c r="D52" s="796"/>
      <c r="E52" s="796"/>
      <c r="F52" s="796"/>
      <c r="G52" s="796"/>
      <c r="H52" s="796"/>
      <c r="I52" s="796"/>
      <c r="J52" s="796"/>
      <c r="K52" s="797"/>
      <c r="L52" s="778"/>
      <c r="M52" s="778"/>
      <c r="N52" s="778"/>
      <c r="O52" s="778"/>
      <c r="P52" s="778"/>
      <c r="Q52" s="778"/>
      <c r="R52" s="778"/>
      <c r="S52" s="778"/>
      <c r="T52" s="778"/>
      <c r="U52" s="778"/>
      <c r="V52" s="778"/>
      <c r="W52" s="778"/>
      <c r="X52" s="778"/>
      <c r="Y52" s="778"/>
      <c r="Z52" s="778"/>
      <c r="AA52" s="778"/>
      <c r="AB52" s="778"/>
      <c r="AC52" s="778"/>
      <c r="AD52" s="778"/>
      <c r="AE52" s="778"/>
      <c r="AF52" s="778"/>
      <c r="AG52" s="778"/>
      <c r="AH52" s="778"/>
      <c r="AI52" s="778"/>
      <c r="AJ52" s="778"/>
      <c r="AK52" s="778"/>
      <c r="AL52" s="778"/>
      <c r="AM52" s="778"/>
      <c r="AN52" s="778"/>
      <c r="AO52" s="778"/>
      <c r="AP52" s="778"/>
      <c r="AQ52" s="778"/>
      <c r="AR52" s="778"/>
      <c r="AS52" s="778"/>
      <c r="AT52" s="778"/>
      <c r="AU52" s="778"/>
      <c r="AV52" s="778"/>
      <c r="AW52" s="778"/>
      <c r="AX52" s="778"/>
      <c r="AY52" s="778"/>
      <c r="AZ52" s="778"/>
      <c r="BA52" s="778"/>
      <c r="BB52" s="778"/>
      <c r="BC52" s="778"/>
      <c r="BD52" s="778"/>
      <c r="BE52" s="778"/>
      <c r="BF52" s="778"/>
      <c r="BG52" s="778"/>
      <c r="BH52" s="778"/>
      <c r="BI52" s="778"/>
      <c r="BJ52" s="778"/>
      <c r="BK52" s="778"/>
      <c r="BL52" s="778"/>
      <c r="BM52" s="778"/>
      <c r="BN52" s="778"/>
      <c r="BO52" s="778"/>
      <c r="BP52" s="778"/>
      <c r="BQ52" s="778"/>
      <c r="BR52" s="778"/>
      <c r="BS52" s="778"/>
      <c r="BT52" s="778"/>
    </row>
    <row r="53" spans="1:72" x14ac:dyDescent="0.25">
      <c r="A53" s="1614" t="s">
        <v>748</v>
      </c>
      <c r="B53" s="1597"/>
      <c r="C53" s="1597"/>
      <c r="D53" s="1597"/>
      <c r="E53" s="1597"/>
      <c r="F53" s="1597"/>
      <c r="G53" s="1597"/>
      <c r="H53" s="1597"/>
      <c r="I53" s="1597"/>
      <c r="J53" s="1597"/>
      <c r="K53" s="1615"/>
      <c r="L53" s="778"/>
      <c r="M53" s="778"/>
      <c r="N53" s="778"/>
      <c r="O53" s="778"/>
      <c r="P53" s="778"/>
      <c r="Q53" s="778"/>
      <c r="R53" s="778"/>
      <c r="S53" s="778"/>
      <c r="T53" s="778"/>
      <c r="U53" s="778"/>
      <c r="V53" s="778"/>
      <c r="W53" s="778"/>
      <c r="X53" s="778"/>
      <c r="Y53" s="778"/>
      <c r="Z53" s="778"/>
      <c r="AA53" s="778"/>
      <c r="AB53" s="778"/>
      <c r="AC53" s="778"/>
      <c r="AD53" s="778"/>
      <c r="AE53" s="778"/>
      <c r="AF53" s="778"/>
      <c r="AG53" s="778"/>
      <c r="AH53" s="778"/>
      <c r="AI53" s="778"/>
      <c r="AJ53" s="778"/>
      <c r="AK53" s="778"/>
      <c r="AL53" s="778"/>
      <c r="AM53" s="778"/>
      <c r="AN53" s="778"/>
      <c r="AO53" s="778"/>
      <c r="AP53" s="778"/>
      <c r="AQ53" s="778"/>
      <c r="AR53" s="778"/>
      <c r="AS53" s="778"/>
      <c r="AT53" s="778"/>
      <c r="AU53" s="778"/>
      <c r="AV53" s="778"/>
      <c r="AW53" s="778"/>
      <c r="AX53" s="778"/>
      <c r="AY53" s="778"/>
      <c r="AZ53" s="778"/>
      <c r="BA53" s="778"/>
      <c r="BB53" s="778"/>
      <c r="BC53" s="778"/>
      <c r="BD53" s="778"/>
      <c r="BE53" s="778"/>
      <c r="BF53" s="778"/>
      <c r="BG53" s="778"/>
      <c r="BH53" s="778"/>
      <c r="BI53" s="778"/>
      <c r="BJ53" s="778"/>
      <c r="BK53" s="778"/>
      <c r="BL53" s="778"/>
      <c r="BM53" s="778"/>
      <c r="BN53" s="778"/>
      <c r="BO53" s="778"/>
      <c r="BP53" s="778"/>
      <c r="BQ53" s="778"/>
      <c r="BR53" s="778"/>
      <c r="BS53" s="778"/>
      <c r="BT53" s="778"/>
    </row>
    <row r="54" spans="1:72" x14ac:dyDescent="0.25">
      <c r="A54" s="1616" t="s">
        <v>317</v>
      </c>
      <c r="B54" s="1617"/>
      <c r="C54" s="1617"/>
      <c r="D54" s="1617"/>
      <c r="E54" s="1617"/>
      <c r="F54" s="1617"/>
      <c r="G54" s="1617"/>
      <c r="H54" s="1617"/>
      <c r="I54" s="1617"/>
      <c r="J54" s="1617"/>
      <c r="K54" s="1618"/>
      <c r="L54" s="778"/>
      <c r="M54" s="778"/>
      <c r="N54" s="778"/>
      <c r="O54" s="778"/>
      <c r="P54" s="778"/>
      <c r="Q54" s="778"/>
      <c r="R54" s="778"/>
      <c r="S54" s="778"/>
      <c r="T54" s="778"/>
      <c r="U54" s="778"/>
      <c r="V54" s="778"/>
      <c r="W54" s="778"/>
      <c r="X54" s="778"/>
      <c r="Y54" s="778"/>
      <c r="Z54" s="778"/>
      <c r="AA54" s="778"/>
      <c r="AB54" s="778"/>
      <c r="AC54" s="778"/>
      <c r="AD54" s="778"/>
      <c r="AE54" s="778"/>
      <c r="AF54" s="778"/>
      <c r="AG54" s="778"/>
      <c r="AH54" s="778"/>
      <c r="AI54" s="778"/>
      <c r="AJ54" s="778"/>
      <c r="AK54" s="778"/>
      <c r="AL54" s="778"/>
      <c r="AM54" s="778"/>
      <c r="AN54" s="778"/>
      <c r="AO54" s="778"/>
      <c r="AP54" s="778"/>
      <c r="AQ54" s="778"/>
      <c r="AR54" s="778"/>
      <c r="AS54" s="778"/>
      <c r="AT54" s="778"/>
      <c r="AU54" s="778"/>
      <c r="AV54" s="778"/>
      <c r="AW54" s="778"/>
      <c r="AX54" s="778"/>
      <c r="AY54" s="778"/>
      <c r="AZ54" s="778"/>
      <c r="BA54" s="778"/>
      <c r="BB54" s="778"/>
      <c r="BC54" s="778"/>
      <c r="BD54" s="778"/>
      <c r="BE54" s="778"/>
      <c r="BF54" s="778"/>
      <c r="BG54" s="778"/>
      <c r="BH54" s="778"/>
      <c r="BI54" s="778"/>
      <c r="BJ54" s="778"/>
      <c r="BK54" s="778"/>
      <c r="BL54" s="778"/>
      <c r="BM54" s="778"/>
      <c r="BN54" s="778"/>
      <c r="BO54" s="778"/>
      <c r="BP54" s="778"/>
      <c r="BQ54" s="778"/>
      <c r="BR54" s="778"/>
      <c r="BS54" s="778"/>
      <c r="BT54" s="778"/>
    </row>
    <row r="55" spans="1:72" x14ac:dyDescent="0.25">
      <c r="A55" s="1616"/>
      <c r="B55" s="1617"/>
      <c r="C55" s="1617"/>
      <c r="D55" s="1617"/>
      <c r="E55" s="1617"/>
      <c r="F55" s="1617"/>
      <c r="G55" s="1617"/>
      <c r="H55" s="1617"/>
      <c r="I55" s="1617"/>
      <c r="J55" s="1617"/>
      <c r="K55" s="1618"/>
      <c r="L55" s="778"/>
      <c r="M55" s="778"/>
      <c r="N55" s="778"/>
      <c r="O55" s="778"/>
      <c r="P55" s="778"/>
      <c r="Q55" s="778"/>
      <c r="R55" s="778"/>
      <c r="S55" s="778"/>
      <c r="T55" s="778"/>
      <c r="U55" s="778"/>
      <c r="V55" s="778"/>
      <c r="W55" s="778"/>
      <c r="X55" s="778"/>
      <c r="Y55" s="778"/>
      <c r="Z55" s="778"/>
      <c r="AA55" s="778"/>
      <c r="AB55" s="778"/>
      <c r="AC55" s="778"/>
      <c r="AD55" s="778"/>
      <c r="AE55" s="778"/>
      <c r="AF55" s="778"/>
      <c r="AG55" s="778"/>
      <c r="AH55" s="778"/>
      <c r="AI55" s="778"/>
      <c r="AJ55" s="778"/>
      <c r="AK55" s="778"/>
      <c r="AL55" s="778"/>
      <c r="AM55" s="778"/>
      <c r="AN55" s="778"/>
      <c r="AO55" s="778"/>
      <c r="AP55" s="778"/>
      <c r="AQ55" s="778"/>
      <c r="AR55" s="778"/>
      <c r="AS55" s="778"/>
      <c r="AT55" s="778"/>
      <c r="AU55" s="778"/>
      <c r="AV55" s="778"/>
      <c r="AW55" s="778"/>
      <c r="AX55" s="778"/>
      <c r="AY55" s="778"/>
      <c r="AZ55" s="778"/>
      <c r="BA55" s="778"/>
      <c r="BB55" s="778"/>
      <c r="BC55" s="778"/>
      <c r="BD55" s="778"/>
      <c r="BE55" s="778"/>
      <c r="BF55" s="778"/>
      <c r="BG55" s="778"/>
      <c r="BH55" s="778"/>
      <c r="BI55" s="778"/>
      <c r="BJ55" s="778"/>
      <c r="BK55" s="778"/>
      <c r="BL55" s="778"/>
      <c r="BM55" s="778"/>
      <c r="BN55" s="778"/>
      <c r="BO55" s="778"/>
      <c r="BP55" s="778"/>
      <c r="BQ55" s="778"/>
      <c r="BR55" s="778"/>
      <c r="BS55" s="778"/>
      <c r="BT55" s="778"/>
    </row>
    <row r="56" spans="1:72" ht="13.8" thickBot="1" x14ac:dyDescent="0.3">
      <c r="A56" s="1607" t="s">
        <v>749</v>
      </c>
      <c r="B56" s="1608"/>
      <c r="C56" s="1608"/>
      <c r="D56" s="1608"/>
      <c r="E56" s="1608"/>
      <c r="F56" s="1608"/>
      <c r="G56" s="1608"/>
      <c r="H56" s="1608"/>
      <c r="I56" s="1608"/>
      <c r="J56" s="1608"/>
      <c r="K56" s="1609"/>
      <c r="L56" s="778"/>
      <c r="M56" s="778"/>
      <c r="N56" s="778"/>
      <c r="O56" s="778"/>
      <c r="P56" s="778"/>
      <c r="Q56" s="778"/>
      <c r="R56" s="778"/>
      <c r="S56" s="778"/>
      <c r="T56" s="778"/>
      <c r="U56" s="778"/>
      <c r="V56" s="778"/>
      <c r="W56" s="778"/>
      <c r="X56" s="778"/>
      <c r="Y56" s="778"/>
      <c r="Z56" s="778"/>
      <c r="AA56" s="778"/>
      <c r="AB56" s="778"/>
      <c r="AC56" s="778"/>
      <c r="AD56" s="778"/>
      <c r="AE56" s="778"/>
      <c r="AF56" s="778"/>
      <c r="AG56" s="778"/>
      <c r="AH56" s="778"/>
      <c r="AI56" s="778"/>
      <c r="AJ56" s="778"/>
      <c r="AK56" s="778"/>
      <c r="AL56" s="778"/>
      <c r="AM56" s="778"/>
      <c r="AN56" s="778"/>
      <c r="AO56" s="778"/>
      <c r="AP56" s="778"/>
      <c r="AQ56" s="778"/>
      <c r="AR56" s="778"/>
      <c r="AS56" s="778"/>
      <c r="AT56" s="778"/>
      <c r="AU56" s="778"/>
      <c r="AV56" s="778"/>
      <c r="AW56" s="778"/>
      <c r="AX56" s="778"/>
      <c r="AY56" s="778"/>
      <c r="AZ56" s="778"/>
      <c r="BA56" s="778"/>
      <c r="BB56" s="778"/>
      <c r="BC56" s="778"/>
      <c r="BD56" s="778"/>
      <c r="BE56" s="778"/>
      <c r="BF56" s="778"/>
      <c r="BG56" s="778"/>
      <c r="BH56" s="778"/>
      <c r="BI56" s="778"/>
      <c r="BJ56" s="778"/>
      <c r="BK56" s="778"/>
      <c r="BL56" s="778"/>
      <c r="BM56" s="778"/>
      <c r="BN56" s="778"/>
      <c r="BO56" s="778"/>
      <c r="BP56" s="778"/>
      <c r="BQ56" s="778"/>
      <c r="BR56" s="778"/>
      <c r="BS56" s="778"/>
      <c r="BT56" s="778"/>
    </row>
    <row r="57" spans="1:72" x14ac:dyDescent="0.25">
      <c r="A57" s="794"/>
      <c r="B57" s="794"/>
      <c r="C57" s="794"/>
      <c r="D57" s="794"/>
      <c r="E57" s="794"/>
      <c r="F57" s="794"/>
      <c r="G57" s="794"/>
      <c r="H57" s="794"/>
      <c r="I57" s="794"/>
      <c r="J57" s="794"/>
      <c r="K57" s="794"/>
      <c r="L57" s="778"/>
      <c r="M57" s="778"/>
      <c r="N57" s="778"/>
      <c r="O57" s="778"/>
      <c r="P57" s="778"/>
      <c r="Q57" s="778"/>
      <c r="R57" s="778"/>
      <c r="S57" s="778"/>
      <c r="T57" s="778"/>
      <c r="U57" s="778"/>
      <c r="V57" s="778"/>
      <c r="W57" s="778"/>
      <c r="X57" s="778"/>
      <c r="Y57" s="778"/>
      <c r="Z57" s="778"/>
      <c r="AA57" s="778"/>
      <c r="AB57" s="778"/>
      <c r="AC57" s="778"/>
      <c r="AD57" s="778"/>
      <c r="AE57" s="778"/>
      <c r="AF57" s="778"/>
      <c r="AG57" s="778"/>
      <c r="AH57" s="778"/>
      <c r="AI57" s="778"/>
      <c r="AJ57" s="778"/>
      <c r="AK57" s="778"/>
      <c r="AL57" s="778"/>
      <c r="AM57" s="778"/>
      <c r="AN57" s="778"/>
      <c r="AO57" s="778"/>
      <c r="AP57" s="778"/>
      <c r="AQ57" s="778"/>
      <c r="AR57" s="778"/>
      <c r="AS57" s="778"/>
      <c r="AT57" s="778"/>
      <c r="AU57" s="778"/>
      <c r="AV57" s="778"/>
      <c r="AW57" s="778"/>
      <c r="AX57" s="778"/>
      <c r="AY57" s="778"/>
      <c r="AZ57" s="778"/>
      <c r="BA57" s="778"/>
      <c r="BB57" s="778"/>
      <c r="BC57" s="778"/>
      <c r="BD57" s="778"/>
      <c r="BE57" s="778"/>
      <c r="BF57" s="778"/>
      <c r="BG57" s="778"/>
      <c r="BH57" s="778"/>
      <c r="BI57" s="778"/>
      <c r="BJ57" s="778"/>
      <c r="BK57" s="778"/>
      <c r="BL57" s="778"/>
      <c r="BM57" s="778"/>
      <c r="BN57" s="778"/>
      <c r="BO57" s="778"/>
      <c r="BP57" s="778"/>
      <c r="BQ57" s="778"/>
      <c r="BR57" s="778"/>
      <c r="BS57" s="778"/>
      <c r="BT57" s="778"/>
    </row>
    <row r="58" spans="1:72" x14ac:dyDescent="0.25">
      <c r="A58" s="778" t="s">
        <v>752</v>
      </c>
      <c r="B58" s="778"/>
      <c r="C58" s="778"/>
      <c r="D58" s="778"/>
      <c r="E58" s="778"/>
      <c r="F58" s="778"/>
      <c r="G58" s="778"/>
      <c r="H58" s="778"/>
      <c r="I58" s="778"/>
      <c r="J58" s="778"/>
      <c r="K58" s="778"/>
      <c r="L58" s="778"/>
      <c r="M58" s="778"/>
      <c r="N58" s="778"/>
      <c r="O58" s="778"/>
      <c r="P58" s="778"/>
      <c r="Q58" s="778"/>
      <c r="R58" s="778"/>
      <c r="S58" s="778"/>
      <c r="T58" s="778"/>
      <c r="U58" s="778"/>
      <c r="V58" s="778"/>
      <c r="W58" s="778"/>
      <c r="X58" s="778"/>
      <c r="Y58" s="778"/>
      <c r="Z58" s="778"/>
      <c r="AA58" s="778"/>
      <c r="AB58" s="778"/>
      <c r="AC58" s="778"/>
      <c r="AD58" s="778"/>
      <c r="AE58" s="778"/>
      <c r="AF58" s="778"/>
      <c r="AG58" s="778"/>
      <c r="AH58" s="778"/>
      <c r="AI58" s="778"/>
      <c r="AJ58" s="778"/>
      <c r="AK58" s="778"/>
      <c r="AL58" s="778"/>
      <c r="AM58" s="778"/>
      <c r="AN58" s="778"/>
      <c r="AO58" s="778"/>
      <c r="AP58" s="778"/>
      <c r="AQ58" s="778"/>
      <c r="AR58" s="778"/>
      <c r="AS58" s="778"/>
      <c r="AT58" s="778"/>
      <c r="AU58" s="778"/>
      <c r="AV58" s="778"/>
      <c r="AW58" s="778"/>
      <c r="AX58" s="778"/>
      <c r="AY58" s="778"/>
      <c r="AZ58" s="778"/>
      <c r="BA58" s="778"/>
      <c r="BB58" s="778"/>
      <c r="BC58" s="778"/>
      <c r="BD58" s="778"/>
      <c r="BE58" s="778"/>
      <c r="BF58" s="778"/>
      <c r="BG58" s="778"/>
      <c r="BH58" s="778"/>
      <c r="BI58" s="778"/>
      <c r="BJ58" s="778"/>
      <c r="BK58" s="778"/>
      <c r="BL58" s="778"/>
      <c r="BM58" s="778"/>
      <c r="BN58" s="778"/>
      <c r="BO58" s="778"/>
      <c r="BP58" s="778"/>
      <c r="BQ58" s="778"/>
      <c r="BR58" s="778"/>
      <c r="BS58" s="778"/>
      <c r="BT58" s="778"/>
    </row>
    <row r="59" spans="1:72" x14ac:dyDescent="0.25">
      <c r="A59" s="778" t="s">
        <v>751</v>
      </c>
      <c r="B59" s="778">
        <v>19022</v>
      </c>
      <c r="C59" s="778"/>
      <c r="D59" s="778"/>
      <c r="E59" s="778"/>
      <c r="F59" s="778"/>
      <c r="G59" s="778"/>
      <c r="H59" s="778"/>
      <c r="I59" s="778"/>
      <c r="J59" s="778"/>
      <c r="K59" s="778"/>
      <c r="L59" s="778"/>
      <c r="M59" s="778"/>
      <c r="N59" s="778"/>
      <c r="O59" s="778"/>
      <c r="P59" s="778"/>
      <c r="Q59" s="778"/>
      <c r="R59" s="778"/>
      <c r="S59" s="778"/>
      <c r="T59" s="778"/>
      <c r="U59" s="778"/>
      <c r="V59" s="778"/>
      <c r="W59" s="778"/>
      <c r="X59" s="778"/>
      <c r="Y59" s="778"/>
      <c r="Z59" s="778"/>
      <c r="AA59" s="778"/>
      <c r="AB59" s="778"/>
      <c r="AC59" s="778"/>
      <c r="AD59" s="778"/>
      <c r="AE59" s="778"/>
      <c r="AF59" s="778"/>
      <c r="AG59" s="778"/>
      <c r="AH59" s="778"/>
      <c r="AI59" s="778"/>
      <c r="AJ59" s="778"/>
      <c r="AK59" s="778"/>
      <c r="AL59" s="778"/>
      <c r="AM59" s="778"/>
      <c r="AN59" s="778"/>
      <c r="AO59" s="778"/>
      <c r="AP59" s="778"/>
      <c r="AQ59" s="778"/>
      <c r="AR59" s="778"/>
      <c r="AS59" s="778"/>
      <c r="AT59" s="778"/>
      <c r="AU59" s="778"/>
      <c r="AV59" s="778"/>
      <c r="AW59" s="778"/>
      <c r="AX59" s="778"/>
      <c r="AY59" s="778"/>
      <c r="AZ59" s="778"/>
      <c r="BA59" s="778"/>
      <c r="BB59" s="778"/>
      <c r="BC59" s="778"/>
      <c r="BD59" s="778"/>
      <c r="BE59" s="778"/>
      <c r="BF59" s="778"/>
      <c r="BG59" s="778"/>
      <c r="BH59" s="778"/>
      <c r="BI59" s="778"/>
      <c r="BJ59" s="778"/>
      <c r="BK59" s="778"/>
      <c r="BL59" s="778"/>
      <c r="BM59" s="778"/>
      <c r="BN59" s="778"/>
      <c r="BO59" s="778"/>
      <c r="BP59" s="778"/>
      <c r="BQ59" s="778"/>
      <c r="BR59" s="778"/>
      <c r="BS59" s="778"/>
      <c r="BT59" s="778"/>
    </row>
    <row r="60" spans="1:72" x14ac:dyDescent="0.25">
      <c r="A60" s="778" t="s">
        <v>750</v>
      </c>
      <c r="B60" s="778">
        <v>17700</v>
      </c>
      <c r="C60" s="778"/>
      <c r="D60" s="778"/>
      <c r="E60" s="778"/>
      <c r="F60" s="778"/>
      <c r="G60" s="778"/>
      <c r="H60" s="778"/>
      <c r="I60" s="778"/>
      <c r="J60" s="778"/>
      <c r="K60" s="778"/>
      <c r="L60" s="778"/>
      <c r="M60" s="778"/>
      <c r="N60" s="778"/>
      <c r="O60" s="778"/>
      <c r="P60" s="778"/>
      <c r="Q60" s="778"/>
      <c r="R60" s="778"/>
      <c r="S60" s="778"/>
      <c r="T60" s="778"/>
      <c r="U60" s="778"/>
      <c r="V60" s="778"/>
      <c r="W60" s="778"/>
      <c r="X60" s="778"/>
      <c r="Y60" s="778"/>
      <c r="Z60" s="778"/>
      <c r="AA60" s="778"/>
      <c r="AB60" s="778"/>
      <c r="AC60" s="778"/>
      <c r="AD60" s="778"/>
      <c r="AE60" s="778"/>
      <c r="AF60" s="778"/>
      <c r="AG60" s="778"/>
      <c r="AH60" s="778"/>
      <c r="AI60" s="778"/>
      <c r="AJ60" s="778"/>
      <c r="AK60" s="778"/>
      <c r="AL60" s="778"/>
      <c r="AM60" s="778"/>
      <c r="AN60" s="778"/>
      <c r="AO60" s="778"/>
      <c r="AP60" s="778"/>
      <c r="AQ60" s="778"/>
      <c r="AR60" s="778"/>
      <c r="AS60" s="778"/>
      <c r="AT60" s="778"/>
      <c r="AU60" s="778"/>
      <c r="AV60" s="778"/>
      <c r="AW60" s="778"/>
      <c r="AX60" s="778"/>
      <c r="AY60" s="778"/>
      <c r="AZ60" s="778"/>
      <c r="BA60" s="778"/>
      <c r="BB60" s="778"/>
      <c r="BC60" s="778"/>
      <c r="BD60" s="778"/>
      <c r="BE60" s="778"/>
      <c r="BF60" s="778"/>
      <c r="BG60" s="778"/>
      <c r="BH60" s="778"/>
      <c r="BI60" s="778"/>
      <c r="BJ60" s="778"/>
      <c r="BK60" s="778"/>
      <c r="BL60" s="778"/>
      <c r="BM60" s="778"/>
      <c r="BN60" s="778"/>
      <c r="BO60" s="778"/>
      <c r="BP60" s="778"/>
      <c r="BQ60" s="778"/>
      <c r="BR60" s="778"/>
      <c r="BS60" s="778"/>
      <c r="BT60" s="778"/>
    </row>
    <row r="61" spans="1:72" x14ac:dyDescent="0.25">
      <c r="A61" s="778" t="s">
        <v>753</v>
      </c>
      <c r="B61" s="778">
        <f>2.205/2000/B60*mmBTU_to_GJ*1000000</f>
        <v>6.5713983050847455E-2</v>
      </c>
      <c r="C61" s="778"/>
      <c r="D61" s="778"/>
      <c r="E61" s="778"/>
      <c r="F61" s="778"/>
      <c r="G61" s="778"/>
      <c r="H61" s="778"/>
      <c r="I61" s="778"/>
      <c r="J61" s="778"/>
      <c r="K61" s="778"/>
      <c r="L61" s="778"/>
      <c r="M61" s="778"/>
      <c r="N61" s="778"/>
      <c r="O61" s="778"/>
      <c r="P61" s="778"/>
      <c r="Q61" s="778"/>
      <c r="R61" s="778"/>
      <c r="S61" s="778"/>
      <c r="T61" s="778"/>
      <c r="U61" s="778"/>
      <c r="V61" s="778"/>
      <c r="W61" s="778"/>
      <c r="X61" s="778"/>
      <c r="Y61" s="778"/>
      <c r="Z61" s="778"/>
      <c r="AA61" s="778"/>
      <c r="AB61" s="778"/>
      <c r="AC61" s="778"/>
      <c r="AD61" s="778"/>
      <c r="AE61" s="778"/>
      <c r="AF61" s="778"/>
      <c r="AG61" s="778"/>
      <c r="AH61" s="778"/>
      <c r="AI61" s="778"/>
      <c r="AJ61" s="778"/>
      <c r="AK61" s="778"/>
      <c r="AL61" s="778"/>
      <c r="AM61" s="778"/>
      <c r="AN61" s="778"/>
      <c r="AO61" s="778"/>
      <c r="AP61" s="778"/>
      <c r="AQ61" s="778"/>
      <c r="AR61" s="778"/>
      <c r="AS61" s="778"/>
      <c r="AT61" s="778"/>
      <c r="AU61" s="778"/>
      <c r="AV61" s="778"/>
      <c r="AW61" s="778"/>
      <c r="AX61" s="778"/>
      <c r="AY61" s="778"/>
      <c r="AZ61" s="778"/>
      <c r="BA61" s="778"/>
      <c r="BB61" s="778"/>
      <c r="BC61" s="778"/>
      <c r="BD61" s="778"/>
      <c r="BE61" s="778"/>
      <c r="BF61" s="778"/>
      <c r="BG61" s="778"/>
      <c r="BH61" s="778"/>
      <c r="BI61" s="778"/>
      <c r="BJ61" s="778"/>
      <c r="BK61" s="778"/>
      <c r="BL61" s="778"/>
      <c r="BM61" s="778"/>
      <c r="BN61" s="778"/>
      <c r="BO61" s="778"/>
      <c r="BP61" s="778"/>
      <c r="BQ61" s="778"/>
      <c r="BR61" s="778"/>
      <c r="BS61" s="778"/>
      <c r="BT61" s="778"/>
    </row>
    <row r="62" spans="1:72" x14ac:dyDescent="0.25">
      <c r="A62" s="778"/>
      <c r="B62" s="778"/>
      <c r="C62" s="778"/>
      <c r="D62" s="778"/>
      <c r="E62" s="778"/>
      <c r="F62" s="778"/>
      <c r="G62" s="778"/>
      <c r="H62" s="778"/>
      <c r="I62" s="778"/>
      <c r="J62" s="778"/>
      <c r="K62" s="778"/>
      <c r="L62" s="778"/>
      <c r="M62" s="778"/>
      <c r="N62" s="778"/>
      <c r="O62" s="778"/>
      <c r="P62" s="778"/>
      <c r="Q62" s="778"/>
      <c r="R62" s="778"/>
      <c r="S62" s="778"/>
      <c r="T62" s="778"/>
      <c r="U62" s="778"/>
      <c r="V62" s="778"/>
      <c r="W62" s="778"/>
      <c r="X62" s="778"/>
      <c r="Y62" s="778"/>
      <c r="Z62" s="778"/>
      <c r="AA62" s="778"/>
      <c r="AB62" s="778"/>
      <c r="AC62" s="778"/>
      <c r="AD62" s="778"/>
      <c r="AE62" s="778"/>
      <c r="AF62" s="778"/>
      <c r="AG62" s="778"/>
      <c r="AH62" s="778"/>
      <c r="AI62" s="778"/>
      <c r="AJ62" s="778"/>
      <c r="AK62" s="778"/>
      <c r="AL62" s="778"/>
      <c r="AM62" s="778"/>
      <c r="AN62" s="778"/>
      <c r="AO62" s="778"/>
      <c r="AP62" s="778"/>
      <c r="AQ62" s="778"/>
      <c r="AR62" s="778"/>
      <c r="AS62" s="778"/>
      <c r="AT62" s="778"/>
      <c r="AU62" s="778"/>
      <c r="AV62" s="778"/>
      <c r="AW62" s="778"/>
      <c r="AX62" s="778"/>
      <c r="AY62" s="778"/>
      <c r="AZ62" s="778"/>
      <c r="BA62" s="778"/>
      <c r="BB62" s="778"/>
      <c r="BC62" s="778"/>
      <c r="BD62" s="778"/>
      <c r="BE62" s="778"/>
      <c r="BF62" s="778"/>
      <c r="BG62" s="778"/>
      <c r="BH62" s="778"/>
      <c r="BI62" s="778"/>
      <c r="BJ62" s="778"/>
      <c r="BK62" s="778"/>
      <c r="BL62" s="778"/>
      <c r="BM62" s="778"/>
      <c r="BN62" s="778"/>
      <c r="BO62" s="778"/>
      <c r="BP62" s="778"/>
      <c r="BQ62" s="778"/>
      <c r="BR62" s="778"/>
      <c r="BS62" s="778"/>
      <c r="BT62" s="778"/>
    </row>
    <row r="63" spans="1:72" x14ac:dyDescent="0.25">
      <c r="A63" s="778"/>
      <c r="B63" s="778"/>
      <c r="C63" s="778"/>
      <c r="D63" s="778"/>
      <c r="E63" s="778"/>
      <c r="F63" s="778"/>
      <c r="G63" s="778"/>
      <c r="H63" s="778"/>
      <c r="I63" s="778"/>
      <c r="J63" s="778"/>
      <c r="K63" s="778"/>
      <c r="L63" s="778"/>
      <c r="M63" s="778"/>
      <c r="N63" s="778"/>
      <c r="O63" s="778"/>
      <c r="P63" s="778"/>
      <c r="Q63" s="778"/>
      <c r="R63" s="778"/>
      <c r="S63" s="778"/>
      <c r="T63" s="778"/>
      <c r="U63" s="778"/>
      <c r="V63" s="778"/>
      <c r="W63" s="778"/>
      <c r="X63" s="778"/>
      <c r="Y63" s="778"/>
      <c r="Z63" s="778"/>
      <c r="AA63" s="778"/>
      <c r="AB63" s="778"/>
      <c r="AC63" s="778"/>
      <c r="AD63" s="778"/>
      <c r="AE63" s="778"/>
      <c r="AF63" s="778"/>
      <c r="AG63" s="778"/>
      <c r="AH63" s="778"/>
      <c r="AI63" s="778"/>
      <c r="AJ63" s="778"/>
      <c r="AK63" s="778"/>
      <c r="AL63" s="778"/>
      <c r="AM63" s="778"/>
      <c r="AN63" s="778"/>
      <c r="AO63" s="778"/>
      <c r="AP63" s="778"/>
      <c r="AQ63" s="778"/>
      <c r="AR63" s="778"/>
      <c r="AS63" s="778"/>
      <c r="AT63" s="778"/>
      <c r="AU63" s="778"/>
      <c r="AV63" s="778"/>
      <c r="AW63" s="778"/>
      <c r="AX63" s="778"/>
      <c r="AY63" s="778"/>
      <c r="AZ63" s="778"/>
      <c r="BA63" s="778"/>
      <c r="BB63" s="778"/>
      <c r="BC63" s="778"/>
      <c r="BD63" s="778"/>
      <c r="BE63" s="778"/>
      <c r="BF63" s="778"/>
      <c r="BG63" s="778"/>
      <c r="BH63" s="778"/>
      <c r="BI63" s="778"/>
      <c r="BJ63" s="778"/>
      <c r="BK63" s="778"/>
      <c r="BL63" s="778"/>
      <c r="BM63" s="778"/>
      <c r="BN63" s="778"/>
      <c r="BO63" s="778"/>
      <c r="BP63" s="778"/>
      <c r="BQ63" s="778"/>
      <c r="BR63" s="778"/>
      <c r="BS63" s="778"/>
      <c r="BT63" s="778"/>
    </row>
    <row r="64" spans="1:72" x14ac:dyDescent="0.25">
      <c r="A64" s="778"/>
      <c r="B64" s="778" t="s">
        <v>759</v>
      </c>
      <c r="C64" s="778" t="s">
        <v>760</v>
      </c>
      <c r="D64" s="778"/>
      <c r="E64" s="778"/>
      <c r="F64" s="778"/>
      <c r="G64" s="778"/>
      <c r="H64" s="778"/>
      <c r="I64" s="778"/>
      <c r="J64" s="778"/>
      <c r="K64" s="778"/>
      <c r="L64" s="778"/>
      <c r="M64" s="778"/>
      <c r="N64" s="778"/>
      <c r="O64" s="778"/>
      <c r="P64" s="778"/>
      <c r="Q64" s="778"/>
      <c r="R64" s="778"/>
      <c r="S64" s="778"/>
      <c r="T64" s="778"/>
      <c r="U64" s="778"/>
      <c r="V64" s="778"/>
      <c r="W64" s="778"/>
      <c r="X64" s="778"/>
      <c r="Y64" s="778"/>
      <c r="Z64" s="778"/>
      <c r="AA64" s="778"/>
      <c r="AB64" s="778"/>
      <c r="AC64" s="778"/>
      <c r="AD64" s="778"/>
      <c r="AE64" s="778"/>
      <c r="AF64" s="778"/>
      <c r="AG64" s="778"/>
      <c r="AH64" s="778"/>
      <c r="AI64" s="778"/>
      <c r="AJ64" s="778"/>
      <c r="AK64" s="778"/>
      <c r="AL64" s="778"/>
      <c r="AM64" s="778"/>
      <c r="AN64" s="778"/>
      <c r="AO64" s="778"/>
      <c r="AP64" s="778"/>
      <c r="AQ64" s="778"/>
      <c r="AR64" s="778"/>
      <c r="AS64" s="778"/>
      <c r="AT64" s="778"/>
      <c r="AU64" s="778"/>
      <c r="AV64" s="778"/>
      <c r="AW64" s="778"/>
      <c r="AX64" s="778"/>
      <c r="AY64" s="778"/>
      <c r="AZ64" s="778"/>
      <c r="BA64" s="778"/>
      <c r="BB64" s="778"/>
      <c r="BC64" s="778"/>
      <c r="BD64" s="778"/>
      <c r="BE64" s="778"/>
      <c r="BF64" s="778"/>
      <c r="BG64" s="778"/>
      <c r="BH64" s="778"/>
      <c r="BI64" s="778"/>
      <c r="BJ64" s="778"/>
      <c r="BK64" s="778"/>
      <c r="BL64" s="778"/>
      <c r="BM64" s="778"/>
      <c r="BN64" s="778"/>
      <c r="BO64" s="778"/>
      <c r="BP64" s="778"/>
      <c r="BQ64" s="778"/>
      <c r="BR64" s="778"/>
      <c r="BS64" s="778"/>
      <c r="BT64" s="778"/>
    </row>
    <row r="65" spans="1:72" x14ac:dyDescent="0.25">
      <c r="A65" s="778"/>
      <c r="B65" s="778" t="s">
        <v>761</v>
      </c>
      <c r="C65" s="778" t="s">
        <v>762</v>
      </c>
      <c r="D65" s="778"/>
      <c r="E65" s="778"/>
      <c r="F65" s="778" t="s">
        <v>763</v>
      </c>
      <c r="G65" s="778"/>
      <c r="H65" s="778"/>
      <c r="I65" s="778"/>
      <c r="J65" s="778"/>
      <c r="K65" s="778"/>
      <c r="L65" s="778"/>
      <c r="M65" s="778"/>
      <c r="N65" s="778"/>
      <c r="O65" s="778"/>
      <c r="P65" s="778"/>
      <c r="Q65" s="778"/>
      <c r="R65" s="778"/>
      <c r="S65" s="778"/>
      <c r="T65" s="778"/>
      <c r="U65" s="778"/>
      <c r="V65" s="778"/>
      <c r="W65" s="778"/>
      <c r="X65" s="778"/>
      <c r="Y65" s="778"/>
      <c r="Z65" s="778"/>
      <c r="AA65" s="778"/>
      <c r="AB65" s="778"/>
      <c r="AC65" s="778"/>
      <c r="AD65" s="778"/>
      <c r="AE65" s="778"/>
      <c r="AF65" s="778"/>
      <c r="AG65" s="778"/>
      <c r="AH65" s="778"/>
      <c r="AI65" s="778"/>
      <c r="AJ65" s="778"/>
      <c r="AK65" s="778"/>
      <c r="AL65" s="778"/>
      <c r="AM65" s="778"/>
      <c r="AN65" s="778"/>
      <c r="AO65" s="778"/>
      <c r="AP65" s="778"/>
      <c r="AQ65" s="778"/>
      <c r="AR65" s="778"/>
      <c r="AS65" s="778"/>
      <c r="AT65" s="778"/>
      <c r="AU65" s="778"/>
      <c r="AV65" s="778"/>
      <c r="AW65" s="778"/>
      <c r="AX65" s="778"/>
      <c r="AY65" s="778"/>
      <c r="AZ65" s="778"/>
      <c r="BA65" s="778"/>
      <c r="BB65" s="778"/>
      <c r="BC65" s="778"/>
      <c r="BD65" s="778"/>
      <c r="BE65" s="778"/>
      <c r="BF65" s="778"/>
      <c r="BG65" s="778"/>
      <c r="BH65" s="778"/>
      <c r="BI65" s="778"/>
      <c r="BJ65" s="778"/>
      <c r="BK65" s="778"/>
      <c r="BL65" s="778"/>
      <c r="BM65" s="778"/>
      <c r="BN65" s="778"/>
      <c r="BO65" s="778"/>
      <c r="BP65" s="778"/>
      <c r="BQ65" s="778"/>
      <c r="BR65" s="778"/>
      <c r="BS65" s="778"/>
      <c r="BT65" s="778"/>
    </row>
    <row r="66" spans="1:72" x14ac:dyDescent="0.25">
      <c r="A66" s="778"/>
      <c r="B66" s="778" t="s">
        <v>764</v>
      </c>
      <c r="C66" s="778" t="s">
        <v>765</v>
      </c>
      <c r="D66" s="778"/>
      <c r="E66" s="778"/>
      <c r="F66" s="778"/>
      <c r="G66" s="778"/>
      <c r="H66" s="778"/>
      <c r="I66" s="778"/>
      <c r="J66" s="778"/>
      <c r="K66" s="778"/>
      <c r="L66" s="778"/>
      <c r="M66" s="778"/>
      <c r="N66" s="778"/>
      <c r="O66" s="778"/>
      <c r="P66" s="778"/>
      <c r="Q66" s="778"/>
      <c r="R66" s="778"/>
      <c r="S66" s="778"/>
      <c r="T66" s="778"/>
      <c r="U66" s="778"/>
      <c r="V66" s="778"/>
      <c r="W66" s="778"/>
      <c r="X66" s="778"/>
      <c r="Y66" s="778"/>
      <c r="Z66" s="778"/>
      <c r="AA66" s="778"/>
      <c r="AB66" s="778"/>
      <c r="AC66" s="778"/>
      <c r="AD66" s="778"/>
      <c r="AE66" s="778"/>
      <c r="AF66" s="778"/>
      <c r="AG66" s="778"/>
      <c r="AH66" s="778"/>
      <c r="AI66" s="778"/>
      <c r="AJ66" s="778"/>
      <c r="AK66" s="778"/>
      <c r="AL66" s="778"/>
      <c r="AM66" s="778"/>
      <c r="AN66" s="778"/>
      <c r="AO66" s="778"/>
      <c r="AP66" s="778"/>
      <c r="AQ66" s="778"/>
      <c r="AR66" s="778"/>
      <c r="AS66" s="778"/>
      <c r="AT66" s="778"/>
      <c r="AU66" s="778"/>
      <c r="AV66" s="778"/>
      <c r="AW66" s="778"/>
      <c r="AX66" s="778"/>
      <c r="AY66" s="778"/>
      <c r="AZ66" s="778"/>
      <c r="BA66" s="778"/>
      <c r="BB66" s="778"/>
      <c r="BC66" s="778"/>
      <c r="BD66" s="778"/>
      <c r="BE66" s="778"/>
      <c r="BF66" s="778"/>
      <c r="BG66" s="778"/>
      <c r="BH66" s="778"/>
      <c r="BI66" s="778"/>
      <c r="BJ66" s="778"/>
      <c r="BK66" s="778"/>
      <c r="BL66" s="778"/>
      <c r="BM66" s="778"/>
      <c r="BN66" s="778"/>
      <c r="BO66" s="778"/>
      <c r="BP66" s="778"/>
      <c r="BQ66" s="778"/>
      <c r="BR66" s="778"/>
      <c r="BS66" s="778"/>
      <c r="BT66" s="778"/>
    </row>
    <row r="67" spans="1:72" x14ac:dyDescent="0.25">
      <c r="A67" s="778"/>
      <c r="B67" s="778" t="s">
        <v>766</v>
      </c>
      <c r="C67" s="778"/>
      <c r="D67" s="778" t="s">
        <v>767</v>
      </c>
      <c r="E67" s="778"/>
      <c r="F67" s="778"/>
      <c r="G67" s="778"/>
      <c r="H67" s="778"/>
      <c r="I67" s="778"/>
      <c r="J67" s="778"/>
      <c r="K67" s="778"/>
      <c r="L67" s="778"/>
      <c r="M67" s="778"/>
      <c r="N67" s="778"/>
      <c r="O67" s="778"/>
      <c r="P67" s="778"/>
      <c r="Q67" s="778"/>
      <c r="R67" s="778"/>
      <c r="S67" s="778"/>
      <c r="T67" s="778"/>
      <c r="U67" s="778"/>
      <c r="V67" s="778"/>
      <c r="W67" s="778"/>
      <c r="X67" s="778"/>
      <c r="Y67" s="778"/>
      <c r="Z67" s="778"/>
      <c r="AA67" s="778"/>
      <c r="AB67" s="778"/>
      <c r="AC67" s="778"/>
      <c r="AD67" s="778"/>
      <c r="AE67" s="778"/>
      <c r="AF67" s="778"/>
      <c r="AG67" s="778"/>
      <c r="AH67" s="778"/>
      <c r="AI67" s="778"/>
      <c r="AJ67" s="778"/>
      <c r="AK67" s="778"/>
      <c r="AL67" s="778"/>
      <c r="AM67" s="778"/>
      <c r="AN67" s="778"/>
      <c r="AO67" s="778"/>
      <c r="AP67" s="778"/>
      <c r="AQ67" s="778"/>
      <c r="AR67" s="778"/>
      <c r="AS67" s="778"/>
      <c r="AT67" s="778"/>
      <c r="AU67" s="778"/>
      <c r="AV67" s="778"/>
      <c r="AW67" s="778"/>
      <c r="AX67" s="778"/>
      <c r="AY67" s="778"/>
      <c r="AZ67" s="778"/>
      <c r="BA67" s="778"/>
      <c r="BB67" s="778"/>
      <c r="BC67" s="778"/>
      <c r="BD67" s="778"/>
      <c r="BE67" s="778"/>
      <c r="BF67" s="778"/>
      <c r="BG67" s="778"/>
      <c r="BH67" s="778"/>
      <c r="BI67" s="778"/>
      <c r="BJ67" s="778"/>
      <c r="BK67" s="778"/>
      <c r="BL67" s="778"/>
      <c r="BM67" s="778"/>
      <c r="BN67" s="778"/>
      <c r="BO67" s="778"/>
      <c r="BP67" s="778"/>
      <c r="BQ67" s="778"/>
      <c r="BR67" s="778"/>
      <c r="BS67" s="778"/>
      <c r="BT67" s="778"/>
    </row>
    <row r="68" spans="1:72" x14ac:dyDescent="0.25">
      <c r="A68" s="778"/>
      <c r="B68" s="778"/>
      <c r="C68" s="778"/>
      <c r="D68" s="778"/>
      <c r="E68" s="778"/>
      <c r="F68" s="778"/>
      <c r="G68" s="778"/>
      <c r="H68" s="778"/>
      <c r="I68" s="778"/>
      <c r="J68" s="778"/>
      <c r="K68" s="778"/>
      <c r="L68" s="778"/>
      <c r="M68" s="778"/>
      <c r="N68" s="778"/>
      <c r="O68" s="778"/>
      <c r="P68" s="778"/>
      <c r="Q68" s="778"/>
      <c r="R68" s="778"/>
      <c r="S68" s="778"/>
      <c r="T68" s="778"/>
      <c r="U68" s="778"/>
      <c r="V68" s="778"/>
      <c r="W68" s="778"/>
      <c r="X68" s="778"/>
      <c r="Y68" s="778"/>
      <c r="Z68" s="778"/>
      <c r="AA68" s="778"/>
      <c r="AB68" s="778"/>
      <c r="AC68" s="778"/>
      <c r="AD68" s="778"/>
      <c r="AE68" s="778"/>
      <c r="AF68" s="778"/>
      <c r="AG68" s="778"/>
      <c r="AH68" s="778"/>
      <c r="AI68" s="778"/>
      <c r="AJ68" s="778"/>
      <c r="AK68" s="778"/>
      <c r="AL68" s="778"/>
      <c r="AM68" s="778"/>
      <c r="AN68" s="778"/>
      <c r="AO68" s="778"/>
      <c r="AP68" s="778"/>
      <c r="AQ68" s="778"/>
      <c r="AR68" s="778"/>
      <c r="AS68" s="778"/>
      <c r="AT68" s="778"/>
      <c r="AU68" s="778"/>
      <c r="AV68" s="778"/>
      <c r="AW68" s="778"/>
      <c r="AX68" s="778"/>
      <c r="AY68" s="778"/>
      <c r="AZ68" s="778"/>
      <c r="BA68" s="778"/>
      <c r="BB68" s="778"/>
      <c r="BC68" s="778"/>
      <c r="BD68" s="778"/>
      <c r="BE68" s="778"/>
      <c r="BF68" s="778"/>
      <c r="BG68" s="778"/>
      <c r="BH68" s="778"/>
      <c r="BI68" s="778"/>
      <c r="BJ68" s="778"/>
      <c r="BK68" s="778"/>
      <c r="BL68" s="778"/>
      <c r="BM68" s="778"/>
      <c r="BN68" s="778"/>
      <c r="BO68" s="778"/>
      <c r="BP68" s="778"/>
      <c r="BQ68" s="778"/>
      <c r="BR68" s="778"/>
      <c r="BS68" s="778"/>
      <c r="BT68" s="778"/>
    </row>
    <row r="69" spans="1:72" x14ac:dyDescent="0.25">
      <c r="A69" s="778"/>
      <c r="B69" s="778"/>
      <c r="C69" s="778"/>
      <c r="D69" s="778"/>
      <c r="E69" s="778"/>
      <c r="F69" s="778"/>
      <c r="G69" s="778"/>
      <c r="H69" s="778"/>
      <c r="I69" s="778"/>
      <c r="J69" s="778"/>
      <c r="K69" s="778"/>
      <c r="L69" s="778"/>
      <c r="M69" s="778"/>
      <c r="N69" s="778"/>
      <c r="O69" s="778"/>
      <c r="P69" s="778"/>
      <c r="Q69" s="778"/>
      <c r="R69" s="778"/>
      <c r="S69" s="778"/>
      <c r="T69" s="778"/>
      <c r="U69" s="778"/>
      <c r="V69" s="778"/>
      <c r="W69" s="778"/>
      <c r="X69" s="778"/>
      <c r="Y69" s="778"/>
      <c r="Z69" s="778"/>
      <c r="AA69" s="778"/>
      <c r="AB69" s="778"/>
      <c r="AC69" s="778"/>
      <c r="AD69" s="778"/>
      <c r="AE69" s="778"/>
      <c r="AF69" s="778"/>
      <c r="AG69" s="778"/>
      <c r="AH69" s="778"/>
      <c r="AI69" s="778"/>
      <c r="AJ69" s="778"/>
      <c r="AK69" s="778"/>
      <c r="AL69" s="778"/>
      <c r="AM69" s="778"/>
      <c r="AN69" s="778"/>
      <c r="AO69" s="778"/>
      <c r="AP69" s="778"/>
      <c r="AQ69" s="778"/>
      <c r="AR69" s="778"/>
      <c r="AS69" s="778"/>
      <c r="AT69" s="778"/>
      <c r="AU69" s="778"/>
      <c r="AV69" s="778"/>
      <c r="AW69" s="778"/>
      <c r="AX69" s="778"/>
      <c r="AY69" s="778"/>
      <c r="AZ69" s="778"/>
      <c r="BA69" s="778"/>
      <c r="BB69" s="778"/>
      <c r="BC69" s="778"/>
      <c r="BD69" s="778"/>
      <c r="BE69" s="778"/>
      <c r="BF69" s="778"/>
      <c r="BG69" s="778"/>
      <c r="BH69" s="778"/>
      <c r="BI69" s="778"/>
      <c r="BJ69" s="778"/>
      <c r="BK69" s="778"/>
      <c r="BL69" s="778"/>
      <c r="BM69" s="778"/>
      <c r="BN69" s="778"/>
      <c r="BO69" s="778"/>
      <c r="BP69" s="778"/>
      <c r="BQ69" s="778"/>
      <c r="BR69" s="778"/>
      <c r="BS69" s="778"/>
      <c r="BT69" s="778"/>
    </row>
    <row r="70" spans="1:72" x14ac:dyDescent="0.25">
      <c r="A70" s="778"/>
      <c r="B70" s="778"/>
      <c r="C70" s="778"/>
      <c r="D70" s="778"/>
      <c r="E70" s="778"/>
      <c r="F70" s="778"/>
      <c r="G70" s="778"/>
      <c r="H70" s="778"/>
      <c r="I70" s="778"/>
      <c r="J70" s="778"/>
      <c r="K70" s="778"/>
      <c r="L70" s="778"/>
      <c r="M70" s="778"/>
      <c r="N70" s="778"/>
      <c r="O70" s="778"/>
      <c r="P70" s="778"/>
      <c r="Q70" s="778"/>
      <c r="R70" s="778"/>
      <c r="S70" s="778"/>
      <c r="T70" s="778"/>
      <c r="U70" s="778"/>
      <c r="V70" s="778"/>
      <c r="W70" s="778"/>
      <c r="X70" s="778"/>
      <c r="Y70" s="778"/>
      <c r="Z70" s="778"/>
      <c r="AA70" s="778"/>
      <c r="AB70" s="778"/>
      <c r="AC70" s="778"/>
      <c r="AD70" s="778"/>
      <c r="AE70" s="778"/>
      <c r="AF70" s="778"/>
      <c r="AG70" s="778"/>
      <c r="AH70" s="778"/>
      <c r="AI70" s="778"/>
      <c r="AJ70" s="778"/>
      <c r="AK70" s="778"/>
      <c r="AL70" s="778"/>
      <c r="AM70" s="778"/>
      <c r="AN70" s="778"/>
      <c r="AO70" s="778"/>
      <c r="AP70" s="778"/>
      <c r="AQ70" s="778"/>
      <c r="AR70" s="778"/>
      <c r="AS70" s="778"/>
      <c r="AT70" s="778"/>
      <c r="AU70" s="778"/>
      <c r="AV70" s="778"/>
      <c r="AW70" s="778"/>
      <c r="AX70" s="778"/>
      <c r="AY70" s="778"/>
      <c r="AZ70" s="778"/>
      <c r="BA70" s="778"/>
      <c r="BB70" s="778"/>
      <c r="BC70" s="778"/>
      <c r="BD70" s="778"/>
      <c r="BE70" s="778"/>
      <c r="BF70" s="778"/>
      <c r="BG70" s="778"/>
      <c r="BH70" s="778"/>
      <c r="BI70" s="778"/>
      <c r="BJ70" s="778"/>
      <c r="BK70" s="778"/>
      <c r="BL70" s="778"/>
      <c r="BM70" s="778"/>
      <c r="BN70" s="778"/>
      <c r="BO70" s="778"/>
      <c r="BP70" s="778"/>
      <c r="BQ70" s="778"/>
      <c r="BR70" s="778"/>
      <c r="BS70" s="778"/>
      <c r="BT70" s="778"/>
    </row>
    <row r="71" spans="1:72" x14ac:dyDescent="0.25">
      <c r="A71" s="778"/>
      <c r="B71" s="778"/>
      <c r="C71" s="778"/>
      <c r="D71" s="778"/>
      <c r="E71" s="778"/>
      <c r="F71" s="778"/>
      <c r="G71" s="778"/>
      <c r="H71" s="778"/>
      <c r="I71" s="778"/>
      <c r="J71" s="778"/>
      <c r="K71" s="778"/>
      <c r="L71" s="778"/>
      <c r="M71" s="778"/>
      <c r="N71" s="778"/>
      <c r="O71" s="778"/>
      <c r="P71" s="778"/>
      <c r="Q71" s="778"/>
      <c r="R71" s="778"/>
      <c r="S71" s="778"/>
      <c r="T71" s="778"/>
      <c r="U71" s="778"/>
      <c r="V71" s="778"/>
      <c r="W71" s="778"/>
      <c r="X71" s="778"/>
      <c r="Y71" s="778"/>
      <c r="Z71" s="778"/>
      <c r="AA71" s="778"/>
      <c r="AB71" s="778"/>
      <c r="AC71" s="778"/>
      <c r="AD71" s="778"/>
      <c r="AE71" s="778"/>
      <c r="AF71" s="778"/>
      <c r="AG71" s="778"/>
      <c r="AH71" s="778"/>
      <c r="AI71" s="778"/>
      <c r="AJ71" s="778"/>
      <c r="AK71" s="778"/>
      <c r="AL71" s="778"/>
      <c r="AM71" s="778"/>
      <c r="AN71" s="778"/>
      <c r="AO71" s="778"/>
      <c r="AP71" s="778"/>
      <c r="AQ71" s="778"/>
      <c r="AR71" s="778"/>
      <c r="AS71" s="778"/>
      <c r="AT71" s="778"/>
      <c r="AU71" s="778"/>
      <c r="AV71" s="778"/>
      <c r="AW71" s="778"/>
      <c r="AX71" s="778"/>
      <c r="AY71" s="778"/>
      <c r="AZ71" s="778"/>
      <c r="BA71" s="778"/>
      <c r="BB71" s="778"/>
      <c r="BC71" s="778"/>
      <c r="BD71" s="778"/>
      <c r="BE71" s="778"/>
      <c r="BF71" s="778"/>
      <c r="BG71" s="778"/>
      <c r="BH71" s="778"/>
      <c r="BI71" s="778"/>
      <c r="BJ71" s="778"/>
      <c r="BK71" s="778"/>
      <c r="BL71" s="778"/>
      <c r="BM71" s="778"/>
      <c r="BN71" s="778"/>
      <c r="BO71" s="778"/>
      <c r="BP71" s="778"/>
      <c r="BQ71" s="778"/>
      <c r="BR71" s="778"/>
      <c r="BS71" s="778"/>
      <c r="BT71" s="778"/>
    </row>
    <row r="72" spans="1:72" x14ac:dyDescent="0.25">
      <c r="A72" s="778" t="s">
        <v>768</v>
      </c>
      <c r="B72" s="778"/>
      <c r="C72" s="778"/>
      <c r="D72" s="778"/>
      <c r="E72" s="778"/>
      <c r="F72" s="778"/>
      <c r="G72" s="778"/>
      <c r="H72" s="778"/>
      <c r="I72" s="778"/>
      <c r="J72" s="778"/>
      <c r="K72" s="778"/>
      <c r="L72" s="778"/>
      <c r="M72" s="778"/>
      <c r="N72" s="778"/>
      <c r="O72" s="778"/>
      <c r="P72" s="778"/>
      <c r="Q72" s="778"/>
      <c r="R72" s="778"/>
      <c r="S72" s="778"/>
      <c r="T72" s="778"/>
      <c r="U72" s="778"/>
      <c r="V72" s="778"/>
      <c r="W72" s="778"/>
      <c r="X72" s="778"/>
      <c r="Y72" s="778"/>
      <c r="Z72" s="778"/>
      <c r="AA72" s="778"/>
      <c r="AB72" s="778"/>
      <c r="AC72" s="778"/>
      <c r="AD72" s="778"/>
      <c r="AE72" s="778"/>
      <c r="AF72" s="778"/>
      <c r="AG72" s="778"/>
      <c r="AH72" s="778"/>
      <c r="AI72" s="778"/>
      <c r="AJ72" s="778"/>
      <c r="AK72" s="778"/>
      <c r="AL72" s="778"/>
      <c r="AM72" s="778"/>
      <c r="AN72" s="778"/>
      <c r="AO72" s="778"/>
      <c r="AP72" s="778"/>
      <c r="AQ72" s="778"/>
      <c r="AR72" s="778"/>
      <c r="AS72" s="778"/>
      <c r="AT72" s="778"/>
      <c r="AU72" s="778"/>
      <c r="AV72" s="778"/>
      <c r="AW72" s="778"/>
      <c r="AX72" s="778"/>
      <c r="AY72" s="778"/>
      <c r="AZ72" s="778"/>
      <c r="BA72" s="778"/>
      <c r="BB72" s="778"/>
      <c r="BC72" s="778"/>
      <c r="BD72" s="778"/>
      <c r="BE72" s="778"/>
      <c r="BF72" s="778"/>
      <c r="BG72" s="778"/>
      <c r="BH72" s="778"/>
      <c r="BI72" s="778"/>
      <c r="BJ72" s="778"/>
      <c r="BK72" s="778"/>
      <c r="BL72" s="778"/>
      <c r="BM72" s="778"/>
      <c r="BN72" s="778"/>
      <c r="BO72" s="778"/>
      <c r="BP72" s="778"/>
      <c r="BQ72" s="778"/>
      <c r="BR72" s="778"/>
      <c r="BS72" s="778"/>
      <c r="BT72" s="778"/>
    </row>
    <row r="73" spans="1:72" x14ac:dyDescent="0.25">
      <c r="A73" s="778"/>
      <c r="B73" s="778"/>
      <c r="C73" s="778"/>
      <c r="D73" s="778"/>
      <c r="E73" s="778"/>
      <c r="F73" s="778"/>
      <c r="G73" s="778"/>
      <c r="H73" s="778"/>
      <c r="I73" s="778"/>
      <c r="J73" s="778"/>
      <c r="K73" s="778"/>
      <c r="L73" s="778"/>
      <c r="M73" s="778"/>
      <c r="N73" s="778"/>
      <c r="O73" s="778"/>
      <c r="P73" s="778"/>
      <c r="Q73" s="778"/>
      <c r="R73" s="778"/>
      <c r="S73" s="778"/>
      <c r="T73" s="778"/>
      <c r="U73" s="778"/>
      <c r="V73" s="778"/>
      <c r="W73" s="778"/>
      <c r="X73" s="778"/>
      <c r="Y73" s="778"/>
      <c r="Z73" s="778"/>
      <c r="AA73" s="778"/>
      <c r="AB73" s="778"/>
      <c r="AC73" s="778"/>
      <c r="AD73" s="778"/>
      <c r="AE73" s="778"/>
      <c r="AF73" s="778"/>
      <c r="AG73" s="778"/>
      <c r="AH73" s="778"/>
      <c r="AI73" s="778"/>
      <c r="AJ73" s="778"/>
      <c r="AK73" s="778"/>
      <c r="AL73" s="778"/>
      <c r="AM73" s="778"/>
      <c r="AN73" s="778"/>
      <c r="AO73" s="778"/>
      <c r="AP73" s="778"/>
      <c r="AQ73" s="778"/>
      <c r="AR73" s="778"/>
      <c r="AS73" s="778"/>
      <c r="AT73" s="778"/>
      <c r="AU73" s="778"/>
      <c r="AV73" s="778"/>
      <c r="AW73" s="778"/>
      <c r="AX73" s="778"/>
      <c r="AY73" s="778"/>
      <c r="AZ73" s="778"/>
      <c r="BA73" s="778"/>
      <c r="BB73" s="778"/>
      <c r="BC73" s="778"/>
      <c r="BD73" s="778"/>
      <c r="BE73" s="778"/>
      <c r="BF73" s="778"/>
      <c r="BG73" s="778"/>
      <c r="BH73" s="778"/>
      <c r="BI73" s="778"/>
      <c r="BJ73" s="778"/>
      <c r="BK73" s="778"/>
      <c r="BL73" s="778"/>
      <c r="BM73" s="778"/>
      <c r="BN73" s="778"/>
      <c r="BO73" s="778"/>
      <c r="BP73" s="778"/>
      <c r="BQ73" s="778"/>
      <c r="BR73" s="778"/>
      <c r="BS73" s="778"/>
      <c r="BT73" s="778"/>
    </row>
    <row r="74" spans="1:72" x14ac:dyDescent="0.25">
      <c r="A74" s="778" t="s">
        <v>769</v>
      </c>
      <c r="B74" s="778"/>
      <c r="C74" s="778"/>
      <c r="D74" s="778"/>
      <c r="E74" s="778"/>
      <c r="F74" s="778"/>
      <c r="G74" s="778"/>
      <c r="H74" s="778"/>
      <c r="I74" s="778"/>
      <c r="J74" s="778"/>
      <c r="K74" s="778"/>
      <c r="L74" s="778"/>
      <c r="M74" s="778"/>
      <c r="N74" s="778"/>
      <c r="O74" s="778"/>
      <c r="P74" s="778"/>
      <c r="Q74" s="778"/>
      <c r="R74" s="778"/>
      <c r="S74" s="778"/>
      <c r="T74" s="778"/>
      <c r="U74" s="778"/>
      <c r="V74" s="778"/>
      <c r="W74" s="778"/>
      <c r="X74" s="778"/>
      <c r="Y74" s="778"/>
      <c r="Z74" s="778"/>
      <c r="AA74" s="778"/>
      <c r="AB74" s="778"/>
      <c r="AC74" s="778"/>
      <c r="AD74" s="778"/>
      <c r="AE74" s="778"/>
      <c r="AF74" s="778"/>
      <c r="AG74" s="778"/>
      <c r="AH74" s="778"/>
      <c r="AI74" s="778"/>
      <c r="AJ74" s="778"/>
      <c r="AK74" s="778"/>
      <c r="AL74" s="778"/>
      <c r="AM74" s="778"/>
      <c r="AN74" s="778"/>
      <c r="AO74" s="778"/>
      <c r="AP74" s="778"/>
      <c r="AQ74" s="778"/>
      <c r="AR74" s="778"/>
      <c r="AS74" s="778"/>
      <c r="AT74" s="778"/>
      <c r="AU74" s="778"/>
      <c r="AV74" s="778"/>
      <c r="AW74" s="778"/>
      <c r="AX74" s="778"/>
      <c r="AY74" s="778"/>
      <c r="AZ74" s="778"/>
      <c r="BA74" s="778"/>
      <c r="BB74" s="778"/>
      <c r="BC74" s="778"/>
      <c r="BD74" s="778"/>
      <c r="BE74" s="778"/>
      <c r="BF74" s="778"/>
      <c r="BG74" s="778"/>
      <c r="BH74" s="778"/>
      <c r="BI74" s="778"/>
      <c r="BJ74" s="778"/>
      <c r="BK74" s="778"/>
      <c r="BL74" s="778"/>
      <c r="BM74" s="778"/>
      <c r="BN74" s="778"/>
      <c r="BO74" s="778"/>
      <c r="BP74" s="778"/>
      <c r="BQ74" s="778"/>
      <c r="BR74" s="778"/>
      <c r="BS74" s="778"/>
      <c r="BT74" s="778"/>
    </row>
    <row r="75" spans="1:72" x14ac:dyDescent="0.25">
      <c r="A75" s="778" t="s">
        <v>770</v>
      </c>
      <c r="B75" s="778"/>
      <c r="C75" s="778"/>
      <c r="D75" s="778"/>
      <c r="E75" s="778"/>
      <c r="F75" s="778"/>
      <c r="G75" s="778"/>
      <c r="H75" s="778"/>
      <c r="I75" s="778"/>
      <c r="J75" s="778"/>
      <c r="K75" s="778"/>
      <c r="L75" s="778"/>
      <c r="M75" s="778"/>
      <c r="N75" s="778"/>
      <c r="O75" s="778"/>
      <c r="P75" s="778"/>
      <c r="Q75" s="778"/>
      <c r="R75" s="778"/>
      <c r="S75" s="778"/>
      <c r="T75" s="778"/>
      <c r="U75" s="778"/>
      <c r="V75" s="778"/>
      <c r="W75" s="778"/>
      <c r="X75" s="778"/>
      <c r="Y75" s="778"/>
      <c r="Z75" s="778"/>
      <c r="AA75" s="778"/>
      <c r="AB75" s="778"/>
      <c r="AC75" s="778"/>
      <c r="AD75" s="778"/>
      <c r="AE75" s="778"/>
      <c r="AF75" s="778"/>
      <c r="AG75" s="778"/>
      <c r="AH75" s="778"/>
      <c r="AI75" s="778"/>
      <c r="AJ75" s="778"/>
      <c r="AK75" s="778"/>
      <c r="AL75" s="778"/>
      <c r="AM75" s="778"/>
      <c r="AN75" s="778"/>
      <c r="AO75" s="778"/>
      <c r="AP75" s="778"/>
      <c r="AQ75" s="778"/>
      <c r="AR75" s="778"/>
      <c r="AS75" s="778"/>
      <c r="AT75" s="778"/>
      <c r="AU75" s="778"/>
      <c r="AV75" s="778"/>
      <c r="AW75" s="778"/>
      <c r="AX75" s="778"/>
      <c r="AY75" s="778"/>
      <c r="AZ75" s="778"/>
      <c r="BA75" s="778"/>
      <c r="BB75" s="778"/>
      <c r="BC75" s="778"/>
      <c r="BD75" s="778"/>
      <c r="BE75" s="778"/>
      <c r="BF75" s="778"/>
      <c r="BG75" s="778"/>
      <c r="BH75" s="778"/>
      <c r="BI75" s="778"/>
      <c r="BJ75" s="778"/>
      <c r="BK75" s="778"/>
      <c r="BL75" s="778"/>
      <c r="BM75" s="778"/>
      <c r="BN75" s="778"/>
      <c r="BO75" s="778"/>
      <c r="BP75" s="778"/>
      <c r="BQ75" s="778"/>
      <c r="BR75" s="778"/>
      <c r="BS75" s="778"/>
      <c r="BT75" s="778"/>
    </row>
    <row r="76" spans="1:72" x14ac:dyDescent="0.25">
      <c r="A76" s="778"/>
      <c r="B76" s="778"/>
      <c r="C76" s="778"/>
      <c r="D76" s="778"/>
      <c r="E76" s="778"/>
      <c r="F76" s="778"/>
      <c r="G76" s="778"/>
      <c r="H76" s="778"/>
      <c r="I76" s="778"/>
      <c r="J76" s="778"/>
      <c r="K76" s="778"/>
      <c r="L76" s="778"/>
      <c r="M76" s="778"/>
      <c r="N76" s="778"/>
      <c r="O76" s="778"/>
      <c r="P76" s="778"/>
      <c r="Q76" s="778"/>
      <c r="R76" s="778"/>
      <c r="S76" s="778"/>
      <c r="T76" s="778"/>
      <c r="U76" s="778"/>
      <c r="V76" s="778"/>
      <c r="W76" s="778"/>
      <c r="X76" s="778"/>
      <c r="Y76" s="778"/>
      <c r="Z76" s="778"/>
      <c r="AA76" s="778"/>
      <c r="AB76" s="778"/>
      <c r="AC76" s="778"/>
      <c r="AD76" s="778"/>
      <c r="AE76" s="778" t="s">
        <v>771</v>
      </c>
      <c r="AF76" s="778"/>
      <c r="AG76" s="778"/>
      <c r="AH76" s="778"/>
      <c r="AI76" s="778"/>
      <c r="AJ76" s="778"/>
      <c r="AK76" s="778"/>
      <c r="AL76" s="778"/>
      <c r="AM76" s="778"/>
      <c r="AN76" s="778"/>
      <c r="AO76" s="778"/>
      <c r="AP76" s="778"/>
      <c r="AQ76" s="778"/>
      <c r="AR76" s="778"/>
      <c r="AS76" s="778"/>
      <c r="AT76" s="778"/>
      <c r="AU76" s="778"/>
      <c r="AV76" s="778"/>
      <c r="AW76" s="778"/>
      <c r="AX76" s="778"/>
      <c r="AY76" s="778"/>
      <c r="AZ76" s="778"/>
      <c r="BA76" s="778"/>
      <c r="BB76" s="778"/>
      <c r="BC76" s="778"/>
      <c r="BD76" s="778"/>
      <c r="BE76" s="778"/>
      <c r="BF76" s="778"/>
      <c r="BG76" s="778"/>
      <c r="BH76" s="778"/>
      <c r="BI76" s="778"/>
      <c r="BJ76" s="778"/>
      <c r="BK76" s="778"/>
      <c r="BL76" s="778"/>
      <c r="BM76" s="778"/>
      <c r="BN76" s="778"/>
      <c r="BO76" s="778"/>
      <c r="BP76" s="778"/>
      <c r="BQ76" s="778"/>
      <c r="BR76" s="778"/>
      <c r="BS76" s="778"/>
      <c r="BT76" s="778"/>
    </row>
    <row r="77" spans="1:72" x14ac:dyDescent="0.25">
      <c r="A77" s="778" t="s">
        <v>772</v>
      </c>
      <c r="B77" s="778">
        <v>2007</v>
      </c>
      <c r="C77" s="778">
        <v>2008</v>
      </c>
      <c r="D77" s="778">
        <v>2009</v>
      </c>
      <c r="E77" s="778">
        <v>2010</v>
      </c>
      <c r="F77" s="778">
        <v>2011</v>
      </c>
      <c r="G77" s="778">
        <v>2012</v>
      </c>
      <c r="H77" s="778">
        <v>2013</v>
      </c>
      <c r="I77" s="778">
        <v>2014</v>
      </c>
      <c r="J77" s="778">
        <v>2015</v>
      </c>
      <c r="K77" s="778">
        <v>2016</v>
      </c>
      <c r="L77" s="778">
        <v>2017</v>
      </c>
      <c r="M77" s="778">
        <v>2018</v>
      </c>
      <c r="N77" s="778">
        <v>2019</v>
      </c>
      <c r="O77" s="778">
        <v>2020</v>
      </c>
      <c r="P77" s="778">
        <v>2021</v>
      </c>
      <c r="Q77" s="778">
        <v>2022</v>
      </c>
      <c r="R77" s="778">
        <v>2023</v>
      </c>
      <c r="S77" s="778">
        <v>2024</v>
      </c>
      <c r="T77" s="778">
        <v>2025</v>
      </c>
      <c r="U77" s="778">
        <v>2026</v>
      </c>
      <c r="V77" s="778">
        <v>2027</v>
      </c>
      <c r="W77" s="778">
        <v>2028</v>
      </c>
      <c r="X77" s="778">
        <v>2029</v>
      </c>
      <c r="Y77" s="778">
        <v>2030</v>
      </c>
      <c r="Z77" s="778">
        <v>2031</v>
      </c>
      <c r="AA77" s="778">
        <v>2032</v>
      </c>
      <c r="AB77" s="778">
        <v>2033</v>
      </c>
      <c r="AC77" s="778">
        <v>2034</v>
      </c>
      <c r="AD77" s="778">
        <v>2035</v>
      </c>
      <c r="AE77" s="778">
        <v>2035</v>
      </c>
      <c r="AF77" s="778"/>
      <c r="AG77" s="778"/>
      <c r="AH77" s="778"/>
      <c r="AI77" s="778"/>
      <c r="AJ77" s="778"/>
      <c r="AK77" s="778"/>
      <c r="AL77" s="778"/>
      <c r="AM77" s="778"/>
      <c r="AN77" s="778"/>
      <c r="AO77" s="778"/>
      <c r="AP77" s="778"/>
      <c r="AQ77" s="778"/>
      <c r="AR77" s="778"/>
      <c r="AS77" s="778"/>
      <c r="AT77" s="778"/>
      <c r="AU77" s="778"/>
      <c r="AV77" s="778"/>
      <c r="AW77" s="778"/>
      <c r="AX77" s="778"/>
      <c r="AY77" s="778"/>
      <c r="AZ77" s="778"/>
      <c r="BA77" s="778"/>
      <c r="BB77" s="778"/>
      <c r="BC77" s="778"/>
      <c r="BD77" s="778"/>
      <c r="BE77" s="778"/>
      <c r="BF77" s="778"/>
      <c r="BG77" s="778"/>
      <c r="BH77" s="778"/>
      <c r="BI77" s="778"/>
      <c r="BJ77" s="778"/>
      <c r="BK77" s="778"/>
      <c r="BL77" s="778"/>
      <c r="BM77" s="778"/>
      <c r="BN77" s="778"/>
      <c r="BO77" s="778"/>
      <c r="BP77" s="778"/>
      <c r="BQ77" s="778"/>
      <c r="BR77" s="778"/>
      <c r="BS77" s="778"/>
      <c r="BT77" s="778"/>
    </row>
    <row r="78" spans="1:72" x14ac:dyDescent="0.25">
      <c r="A78" s="778"/>
      <c r="B78" s="778"/>
      <c r="C78" s="778"/>
      <c r="D78" s="778"/>
      <c r="E78" s="778"/>
      <c r="F78" s="778"/>
      <c r="G78" s="778"/>
      <c r="H78" s="778"/>
      <c r="I78" s="778"/>
      <c r="J78" s="778"/>
      <c r="K78" s="778"/>
      <c r="L78" s="778"/>
      <c r="M78" s="778"/>
      <c r="N78" s="778"/>
      <c r="O78" s="778"/>
      <c r="P78" s="778"/>
      <c r="Q78" s="778"/>
      <c r="R78" s="778"/>
      <c r="S78" s="778"/>
      <c r="T78" s="778"/>
      <c r="U78" s="778"/>
      <c r="V78" s="778"/>
      <c r="W78" s="778"/>
      <c r="X78" s="778"/>
      <c r="Y78" s="778"/>
      <c r="Z78" s="778"/>
      <c r="AA78" s="778"/>
      <c r="AB78" s="778"/>
      <c r="AC78" s="778"/>
      <c r="AD78" s="778"/>
      <c r="AE78" s="778"/>
      <c r="AF78" s="778"/>
      <c r="AG78" s="778"/>
      <c r="AH78" s="778"/>
      <c r="AI78" s="778"/>
      <c r="AJ78" s="778"/>
      <c r="AK78" s="778"/>
      <c r="AL78" s="778"/>
      <c r="AM78" s="778"/>
      <c r="AN78" s="778"/>
      <c r="AO78" s="778"/>
      <c r="AP78" s="778"/>
      <c r="AQ78" s="778"/>
      <c r="AR78" s="778"/>
      <c r="AS78" s="778"/>
      <c r="AT78" s="778"/>
      <c r="AU78" s="778"/>
      <c r="AV78" s="778"/>
      <c r="AW78" s="778"/>
      <c r="AX78" s="778"/>
      <c r="AY78" s="778"/>
      <c r="AZ78" s="778"/>
      <c r="BA78" s="778"/>
      <c r="BB78" s="778"/>
      <c r="BC78" s="778"/>
      <c r="BD78" s="778"/>
      <c r="BE78" s="778"/>
      <c r="BF78" s="778"/>
      <c r="BG78" s="778"/>
      <c r="BH78" s="778"/>
      <c r="BI78" s="778"/>
      <c r="BJ78" s="778"/>
      <c r="BK78" s="778"/>
      <c r="BL78" s="778"/>
      <c r="BM78" s="778"/>
      <c r="BN78" s="778"/>
      <c r="BO78" s="778"/>
      <c r="BP78" s="778"/>
      <c r="BQ78" s="778"/>
      <c r="BR78" s="778"/>
      <c r="BS78" s="778"/>
      <c r="BT78" s="778"/>
    </row>
    <row r="79" spans="1:72" x14ac:dyDescent="0.25">
      <c r="A79" s="778" t="s">
        <v>459</v>
      </c>
      <c r="B79" s="778"/>
      <c r="C79" s="778"/>
      <c r="D79" s="778"/>
      <c r="E79" s="778"/>
      <c r="F79" s="778"/>
      <c r="G79" s="778"/>
      <c r="H79" s="778"/>
      <c r="I79" s="778"/>
      <c r="J79" s="778"/>
      <c r="K79" s="778"/>
      <c r="L79" s="778"/>
      <c r="M79" s="778"/>
      <c r="N79" s="778"/>
      <c r="O79" s="778"/>
      <c r="P79" s="778"/>
      <c r="Q79" s="778"/>
      <c r="R79" s="778"/>
      <c r="S79" s="778"/>
      <c r="T79" s="778"/>
      <c r="U79" s="778"/>
      <c r="V79" s="778"/>
      <c r="W79" s="778"/>
      <c r="X79" s="778"/>
      <c r="Y79" s="778"/>
      <c r="Z79" s="778"/>
      <c r="AA79" s="778"/>
      <c r="AB79" s="778"/>
      <c r="AC79" s="778"/>
      <c r="AD79" s="778"/>
      <c r="AE79" s="778"/>
      <c r="AF79" s="778"/>
      <c r="AG79" s="778"/>
      <c r="AH79" s="778"/>
      <c r="AI79" s="778"/>
      <c r="AJ79" s="778"/>
      <c r="AK79" s="778"/>
      <c r="AL79" s="778"/>
      <c r="AM79" s="778"/>
      <c r="AN79" s="778"/>
      <c r="AO79" s="778"/>
      <c r="AP79" s="778"/>
      <c r="AQ79" s="778"/>
      <c r="AR79" s="778"/>
      <c r="AS79" s="778"/>
      <c r="AT79" s="778"/>
      <c r="AU79" s="778"/>
      <c r="AV79" s="778"/>
      <c r="AW79" s="778"/>
      <c r="AX79" s="778"/>
      <c r="AY79" s="778"/>
      <c r="AZ79" s="778"/>
      <c r="BA79" s="778"/>
      <c r="BB79" s="778"/>
      <c r="BC79" s="778"/>
      <c r="BD79" s="778"/>
      <c r="BE79" s="778"/>
      <c r="BF79" s="778"/>
      <c r="BG79" s="778"/>
      <c r="BH79" s="778"/>
      <c r="BI79" s="778"/>
      <c r="BJ79" s="778"/>
      <c r="BK79" s="778"/>
      <c r="BL79" s="778"/>
      <c r="BM79" s="778"/>
      <c r="BN79" s="778"/>
      <c r="BO79" s="778"/>
      <c r="BP79" s="778"/>
      <c r="BQ79" s="778"/>
      <c r="BR79" s="778"/>
      <c r="BS79" s="778"/>
      <c r="BT79" s="778"/>
    </row>
    <row r="80" spans="1:72" x14ac:dyDescent="0.25">
      <c r="A80" s="778" t="s">
        <v>594</v>
      </c>
      <c r="B80" s="778">
        <v>26.25</v>
      </c>
      <c r="C80" s="778">
        <v>29.35</v>
      </c>
      <c r="D80" s="778">
        <v>24.9</v>
      </c>
      <c r="E80" s="778">
        <v>24.01</v>
      </c>
      <c r="F80" s="778">
        <v>24.09</v>
      </c>
      <c r="G80" s="778">
        <v>25.25</v>
      </c>
      <c r="H80" s="778">
        <v>26.47</v>
      </c>
      <c r="I80" s="778">
        <v>27.44</v>
      </c>
      <c r="J80" s="778">
        <v>28.03</v>
      </c>
      <c r="K80" s="778">
        <v>28.67</v>
      </c>
      <c r="L80" s="778">
        <v>29.21</v>
      </c>
      <c r="M80" s="778">
        <v>29.8</v>
      </c>
      <c r="N80" s="778">
        <v>30.06</v>
      </c>
      <c r="O80" s="778">
        <v>30.29</v>
      </c>
      <c r="P80" s="778">
        <v>30.53</v>
      </c>
      <c r="Q80" s="778">
        <v>30.73</v>
      </c>
      <c r="R80" s="778">
        <v>31.01</v>
      </c>
      <c r="S80" s="778">
        <v>31.28</v>
      </c>
      <c r="T80" s="778">
        <v>31.55</v>
      </c>
      <c r="U80" s="778">
        <v>31.7</v>
      </c>
      <c r="V80" s="778">
        <v>31.98</v>
      </c>
      <c r="W80" s="778">
        <v>32.229999999999997</v>
      </c>
      <c r="X80" s="778">
        <v>32.590000000000003</v>
      </c>
      <c r="Y80" s="778">
        <v>32.81</v>
      </c>
      <c r="Z80" s="778">
        <v>33.17</v>
      </c>
      <c r="AA80" s="778">
        <v>33.51</v>
      </c>
      <c r="AB80" s="778">
        <v>33.9</v>
      </c>
      <c r="AC80" s="778">
        <v>34.26</v>
      </c>
      <c r="AD80" s="778">
        <v>34.65</v>
      </c>
      <c r="AE80" s="814">
        <v>6.0000000000000001E-3</v>
      </c>
      <c r="AF80" s="778"/>
      <c r="AG80" s="778"/>
      <c r="AH80" s="778"/>
      <c r="AI80" s="778"/>
      <c r="AJ80" s="778"/>
      <c r="AK80" s="778"/>
      <c r="AL80" s="778"/>
      <c r="AM80" s="778"/>
      <c r="AN80" s="778"/>
      <c r="AO80" s="778"/>
      <c r="AP80" s="778"/>
      <c r="AQ80" s="778"/>
      <c r="AR80" s="778"/>
      <c r="AS80" s="778"/>
      <c r="AT80" s="778"/>
      <c r="AU80" s="778"/>
      <c r="AV80" s="778"/>
      <c r="AW80" s="778"/>
      <c r="AX80" s="778"/>
      <c r="AY80" s="778"/>
      <c r="AZ80" s="778"/>
      <c r="BA80" s="778"/>
      <c r="BB80" s="778"/>
      <c r="BC80" s="778"/>
      <c r="BD80" s="778"/>
      <c r="BE80" s="778"/>
      <c r="BF80" s="778"/>
      <c r="BG80" s="778"/>
      <c r="BH80" s="778"/>
      <c r="BI80" s="778"/>
      <c r="BJ80" s="778"/>
      <c r="BK80" s="778"/>
      <c r="BL80" s="778"/>
      <c r="BM80" s="778"/>
      <c r="BN80" s="778"/>
      <c r="BO80" s="778"/>
      <c r="BP80" s="778"/>
      <c r="BQ80" s="778"/>
      <c r="BR80" s="778"/>
      <c r="BS80" s="778"/>
      <c r="BT80" s="778"/>
    </row>
    <row r="81" spans="1:72" x14ac:dyDescent="0.25">
      <c r="A81" s="778" t="s">
        <v>595</v>
      </c>
      <c r="B81" s="778">
        <v>20.3</v>
      </c>
      <c r="C81" s="778">
        <v>24.47</v>
      </c>
      <c r="D81" s="778">
        <v>17.98</v>
      </c>
      <c r="E81" s="778">
        <v>17.57</v>
      </c>
      <c r="F81" s="778">
        <v>17.72</v>
      </c>
      <c r="G81" s="778">
        <v>18.84</v>
      </c>
      <c r="H81" s="778">
        <v>19.86</v>
      </c>
      <c r="I81" s="778">
        <v>20.58</v>
      </c>
      <c r="J81" s="778">
        <v>21.08</v>
      </c>
      <c r="K81" s="778">
        <v>22</v>
      </c>
      <c r="L81" s="778">
        <v>22.66</v>
      </c>
      <c r="M81" s="778">
        <v>23.32</v>
      </c>
      <c r="N81" s="778">
        <v>23.74</v>
      </c>
      <c r="O81" s="778">
        <v>24.1</v>
      </c>
      <c r="P81" s="778">
        <v>24.24</v>
      </c>
      <c r="Q81" s="778">
        <v>24.44</v>
      </c>
      <c r="R81" s="778">
        <v>24.76</v>
      </c>
      <c r="S81" s="778">
        <v>24.94</v>
      </c>
      <c r="T81" s="778">
        <v>25.23</v>
      </c>
      <c r="U81" s="778">
        <v>25.5</v>
      </c>
      <c r="V81" s="778">
        <v>25.72</v>
      </c>
      <c r="W81" s="778">
        <v>26.04</v>
      </c>
      <c r="X81" s="778">
        <v>26.44</v>
      </c>
      <c r="Y81" s="778">
        <v>26.61</v>
      </c>
      <c r="Z81" s="778">
        <v>27.05</v>
      </c>
      <c r="AA81" s="778">
        <v>27.45</v>
      </c>
      <c r="AB81" s="778">
        <v>27.82</v>
      </c>
      <c r="AC81" s="778">
        <v>28.24</v>
      </c>
      <c r="AD81" s="778">
        <v>28.66</v>
      </c>
      <c r="AE81" s="814">
        <v>6.0000000000000001E-3</v>
      </c>
      <c r="AF81" s="778"/>
      <c r="AG81" s="778"/>
      <c r="AH81" s="778"/>
      <c r="AI81" s="778"/>
      <c r="AJ81" s="778"/>
      <c r="AK81" s="778"/>
      <c r="AL81" s="778"/>
      <c r="AM81" s="778"/>
      <c r="AN81" s="778"/>
      <c r="AO81" s="778"/>
      <c r="AP81" s="778"/>
      <c r="AQ81" s="778"/>
      <c r="AR81" s="778"/>
      <c r="AS81" s="778"/>
      <c r="AT81" s="778"/>
      <c r="AU81" s="778"/>
      <c r="AV81" s="778"/>
      <c r="AW81" s="778"/>
      <c r="AX81" s="778"/>
      <c r="AY81" s="778"/>
      <c r="AZ81" s="778"/>
      <c r="BA81" s="778"/>
      <c r="BB81" s="778"/>
      <c r="BC81" s="778"/>
      <c r="BD81" s="778"/>
      <c r="BE81" s="778"/>
      <c r="BF81" s="778"/>
      <c r="BG81" s="778"/>
      <c r="BH81" s="778"/>
      <c r="BI81" s="778"/>
      <c r="BJ81" s="778"/>
      <c r="BK81" s="778"/>
      <c r="BL81" s="778"/>
      <c r="BM81" s="778"/>
      <c r="BN81" s="778"/>
      <c r="BO81" s="778"/>
      <c r="BP81" s="778"/>
      <c r="BQ81" s="778"/>
      <c r="BR81" s="778"/>
      <c r="BS81" s="778"/>
      <c r="BT81" s="778"/>
    </row>
    <row r="82" spans="1:72" x14ac:dyDescent="0.25">
      <c r="A82" s="778" t="s">
        <v>496</v>
      </c>
      <c r="B82" s="778">
        <v>12.94</v>
      </c>
      <c r="C82" s="778">
        <v>13.48</v>
      </c>
      <c r="D82" s="778">
        <v>11.39</v>
      </c>
      <c r="E82" s="778">
        <v>10.89</v>
      </c>
      <c r="F82" s="778">
        <v>11.78</v>
      </c>
      <c r="G82" s="778">
        <v>11.87</v>
      </c>
      <c r="H82" s="778">
        <v>11.48</v>
      </c>
      <c r="I82" s="778">
        <v>11.41</v>
      </c>
      <c r="J82" s="778">
        <v>11.56</v>
      </c>
      <c r="K82" s="778">
        <v>11.65</v>
      </c>
      <c r="L82" s="778">
        <v>11.69</v>
      </c>
      <c r="M82" s="778">
        <v>11.76</v>
      </c>
      <c r="N82" s="778">
        <v>11.83</v>
      </c>
      <c r="O82" s="778">
        <v>11.95</v>
      </c>
      <c r="P82" s="778">
        <v>12.07</v>
      </c>
      <c r="Q82" s="778">
        <v>12.26</v>
      </c>
      <c r="R82" s="778">
        <v>12.29</v>
      </c>
      <c r="S82" s="778">
        <v>12.2</v>
      </c>
      <c r="T82" s="778">
        <v>12.29</v>
      </c>
      <c r="U82" s="778">
        <v>12.46</v>
      </c>
      <c r="V82" s="778">
        <v>12.66</v>
      </c>
      <c r="W82" s="778">
        <v>12.9</v>
      </c>
      <c r="X82" s="778">
        <v>13.16</v>
      </c>
      <c r="Y82" s="778">
        <v>13.44</v>
      </c>
      <c r="Z82" s="778">
        <v>13.78</v>
      </c>
      <c r="AA82" s="778">
        <v>13.93</v>
      </c>
      <c r="AB82" s="778">
        <v>14.03</v>
      </c>
      <c r="AC82" s="778">
        <v>14.25</v>
      </c>
      <c r="AD82" s="778">
        <v>14.4</v>
      </c>
      <c r="AE82" s="814">
        <v>2E-3</v>
      </c>
      <c r="AF82" s="778"/>
      <c r="AG82" s="778"/>
      <c r="AH82" s="778"/>
      <c r="AI82" s="778"/>
      <c r="AJ82" s="778"/>
      <c r="AK82" s="778"/>
      <c r="AL82" s="778"/>
      <c r="AM82" s="778"/>
      <c r="AN82" s="778"/>
      <c r="AO82" s="778"/>
      <c r="AP82" s="778"/>
      <c r="AQ82" s="778"/>
      <c r="AR82" s="778"/>
      <c r="AS82" s="778"/>
      <c r="AT82" s="778"/>
      <c r="AU82" s="778"/>
      <c r="AV82" s="778"/>
      <c r="AW82" s="778"/>
      <c r="AX82" s="778"/>
      <c r="AY82" s="778"/>
      <c r="AZ82" s="778"/>
      <c r="BA82" s="778"/>
      <c r="BB82" s="778"/>
      <c r="BC82" s="778"/>
      <c r="BD82" s="778"/>
      <c r="BE82" s="778"/>
      <c r="BF82" s="778"/>
      <c r="BG82" s="778"/>
      <c r="BH82" s="778"/>
      <c r="BI82" s="778"/>
      <c r="BJ82" s="778"/>
      <c r="BK82" s="778"/>
      <c r="BL82" s="778"/>
      <c r="BM82" s="778"/>
      <c r="BN82" s="778"/>
      <c r="BO82" s="778"/>
      <c r="BP82" s="778"/>
      <c r="BQ82" s="778"/>
      <c r="BR82" s="778"/>
      <c r="BS82" s="778"/>
      <c r="BT82" s="778"/>
    </row>
    <row r="83" spans="1:72" x14ac:dyDescent="0.25">
      <c r="A83" s="778" t="s">
        <v>465</v>
      </c>
      <c r="B83" s="778">
        <v>31.82</v>
      </c>
      <c r="C83" s="778">
        <v>33.29</v>
      </c>
      <c r="D83" s="778">
        <v>32.33</v>
      </c>
      <c r="E83" s="778">
        <v>30.94</v>
      </c>
      <c r="F83" s="778">
        <v>29.9</v>
      </c>
      <c r="G83" s="778">
        <v>31.08</v>
      </c>
      <c r="H83" s="778">
        <v>31.47</v>
      </c>
      <c r="I83" s="778">
        <v>31.49</v>
      </c>
      <c r="J83" s="778">
        <v>31.43</v>
      </c>
      <c r="K83" s="778">
        <v>31.64</v>
      </c>
      <c r="L83" s="778">
        <v>31.8</v>
      </c>
      <c r="M83" s="778">
        <v>31.78</v>
      </c>
      <c r="N83" s="778">
        <v>31.68</v>
      </c>
      <c r="O83" s="778">
        <v>31.84</v>
      </c>
      <c r="P83" s="778">
        <v>32.01</v>
      </c>
      <c r="Q83" s="778">
        <v>32.08</v>
      </c>
      <c r="R83" s="778">
        <v>32.200000000000003</v>
      </c>
      <c r="S83" s="778">
        <v>32.28</v>
      </c>
      <c r="T83" s="778">
        <v>32.26</v>
      </c>
      <c r="U83" s="778">
        <v>32.4</v>
      </c>
      <c r="V83" s="778">
        <v>32.57</v>
      </c>
      <c r="W83" s="778">
        <v>32.729999999999997</v>
      </c>
      <c r="X83" s="778">
        <v>33.130000000000003</v>
      </c>
      <c r="Y83" s="778">
        <v>33.46</v>
      </c>
      <c r="Z83" s="778">
        <v>33.81</v>
      </c>
      <c r="AA83" s="778">
        <v>34.11</v>
      </c>
      <c r="AB83" s="778">
        <v>34.26</v>
      </c>
      <c r="AC83" s="778">
        <v>34.49</v>
      </c>
      <c r="AD83" s="778">
        <v>34.71</v>
      </c>
      <c r="AE83" s="814">
        <v>2E-3</v>
      </c>
      <c r="AF83" s="778"/>
      <c r="AG83" s="778"/>
      <c r="AH83" s="778"/>
      <c r="AI83" s="778"/>
      <c r="AJ83" s="778"/>
      <c r="AK83" s="778"/>
      <c r="AL83" s="778"/>
      <c r="AM83" s="778"/>
      <c r="AN83" s="778"/>
      <c r="AO83" s="778"/>
      <c r="AP83" s="778"/>
      <c r="AQ83" s="778"/>
      <c r="AR83" s="778"/>
      <c r="AS83" s="778"/>
      <c r="AT83" s="778"/>
      <c r="AU83" s="778"/>
      <c r="AV83" s="778"/>
      <c r="AW83" s="778"/>
      <c r="AX83" s="778"/>
      <c r="AY83" s="778"/>
      <c r="AZ83" s="778"/>
      <c r="BA83" s="778"/>
      <c r="BB83" s="778"/>
      <c r="BC83" s="778"/>
      <c r="BD83" s="778"/>
      <c r="BE83" s="778"/>
      <c r="BF83" s="778"/>
      <c r="BG83" s="778"/>
      <c r="BH83" s="778"/>
      <c r="BI83" s="778"/>
      <c r="BJ83" s="778"/>
      <c r="BK83" s="778"/>
      <c r="BL83" s="778"/>
      <c r="BM83" s="778"/>
      <c r="BN83" s="778"/>
      <c r="BO83" s="778"/>
      <c r="BP83" s="778"/>
      <c r="BQ83" s="778"/>
      <c r="BR83" s="778"/>
      <c r="BS83" s="778"/>
      <c r="BT83" s="778"/>
    </row>
    <row r="84" spans="1:72" x14ac:dyDescent="0.25">
      <c r="A84" s="778"/>
      <c r="B84" s="778"/>
      <c r="C84" s="778"/>
      <c r="D84" s="778"/>
      <c r="E84" s="778"/>
      <c r="F84" s="778"/>
      <c r="G84" s="778"/>
      <c r="H84" s="778"/>
      <c r="I84" s="778"/>
      <c r="J84" s="778"/>
      <c r="K84" s="778"/>
      <c r="L84" s="778"/>
      <c r="M84" s="778"/>
      <c r="N84" s="778"/>
      <c r="O84" s="778"/>
      <c r="P84" s="778"/>
      <c r="Q84" s="778"/>
      <c r="R84" s="778"/>
      <c r="S84" s="778"/>
      <c r="T84" s="778"/>
      <c r="U84" s="778"/>
      <c r="V84" s="778"/>
      <c r="W84" s="778"/>
      <c r="X84" s="778"/>
      <c r="Y84" s="778"/>
      <c r="Z84" s="778"/>
      <c r="AA84" s="778"/>
      <c r="AB84" s="778"/>
      <c r="AC84" s="778"/>
      <c r="AD84" s="778"/>
      <c r="AE84" s="778"/>
      <c r="AF84" s="778"/>
      <c r="AG84" s="778"/>
      <c r="AH84" s="778"/>
      <c r="AI84" s="778"/>
      <c r="AJ84" s="778"/>
      <c r="AK84" s="778"/>
      <c r="AL84" s="778"/>
      <c r="AM84" s="778"/>
      <c r="AN84" s="778"/>
      <c r="AO84" s="778"/>
      <c r="AP84" s="778"/>
      <c r="AQ84" s="778"/>
      <c r="AR84" s="778"/>
      <c r="AS84" s="778"/>
      <c r="AT84" s="778"/>
      <c r="AU84" s="778"/>
      <c r="AV84" s="778"/>
      <c r="AW84" s="778"/>
      <c r="AX84" s="778"/>
      <c r="AY84" s="778"/>
      <c r="AZ84" s="778"/>
      <c r="BA84" s="778"/>
      <c r="BB84" s="778"/>
      <c r="BC84" s="778"/>
      <c r="BD84" s="778"/>
      <c r="BE84" s="778"/>
      <c r="BF84" s="778"/>
      <c r="BG84" s="778"/>
      <c r="BH84" s="778"/>
      <c r="BI84" s="778"/>
      <c r="BJ84" s="778"/>
      <c r="BK84" s="778"/>
      <c r="BL84" s="778"/>
      <c r="BM84" s="778"/>
      <c r="BN84" s="778"/>
      <c r="BO84" s="778"/>
      <c r="BP84" s="778"/>
      <c r="BQ84" s="778"/>
      <c r="BR84" s="778"/>
      <c r="BS84" s="778"/>
      <c r="BT84" s="778"/>
    </row>
    <row r="85" spans="1:72" x14ac:dyDescent="0.25">
      <c r="A85" s="778" t="s">
        <v>466</v>
      </c>
      <c r="B85" s="778"/>
      <c r="C85" s="778"/>
      <c r="D85" s="778"/>
      <c r="E85" s="778"/>
      <c r="F85" s="778"/>
      <c r="G85" s="778"/>
      <c r="H85" s="778"/>
      <c r="I85" s="778"/>
      <c r="J85" s="778"/>
      <c r="K85" s="778"/>
      <c r="L85" s="778"/>
      <c r="M85" s="778"/>
      <c r="N85" s="778"/>
      <c r="O85" s="778"/>
      <c r="P85" s="778"/>
      <c r="Q85" s="778"/>
      <c r="R85" s="778"/>
      <c r="S85" s="778"/>
      <c r="T85" s="778"/>
      <c r="U85" s="778"/>
      <c r="V85" s="778"/>
      <c r="W85" s="778"/>
      <c r="X85" s="778"/>
      <c r="Y85" s="778"/>
      <c r="Z85" s="778"/>
      <c r="AA85" s="778"/>
      <c r="AB85" s="778"/>
      <c r="AC85" s="778"/>
      <c r="AD85" s="778"/>
      <c r="AE85" s="778"/>
      <c r="AF85" s="778"/>
      <c r="AG85" s="778"/>
      <c r="AH85" s="778"/>
      <c r="AI85" s="778"/>
      <c r="AJ85" s="778"/>
      <c r="AK85" s="778"/>
      <c r="AL85" s="778"/>
      <c r="AM85" s="778"/>
      <c r="AN85" s="778"/>
      <c r="AO85" s="778"/>
      <c r="AP85" s="778"/>
      <c r="AQ85" s="778"/>
      <c r="AR85" s="778"/>
      <c r="AS85" s="778"/>
      <c r="AT85" s="778"/>
      <c r="AU85" s="778"/>
      <c r="AV85" s="778"/>
      <c r="AW85" s="778"/>
      <c r="AX85" s="778"/>
      <c r="AY85" s="778"/>
      <c r="AZ85" s="778"/>
      <c r="BA85" s="778"/>
      <c r="BB85" s="778"/>
      <c r="BC85" s="778"/>
      <c r="BD85" s="778"/>
      <c r="BE85" s="778"/>
      <c r="BF85" s="778"/>
      <c r="BG85" s="778"/>
      <c r="BH85" s="778"/>
      <c r="BI85" s="778"/>
      <c r="BJ85" s="778"/>
      <c r="BK85" s="778"/>
      <c r="BL85" s="778"/>
      <c r="BM85" s="778"/>
      <c r="BN85" s="778"/>
      <c r="BO85" s="778"/>
      <c r="BP85" s="778"/>
      <c r="BQ85" s="778"/>
      <c r="BR85" s="778"/>
      <c r="BS85" s="778"/>
      <c r="BT85" s="778"/>
    </row>
    <row r="86" spans="1:72" x14ac:dyDescent="0.25">
      <c r="A86" s="778" t="s">
        <v>594</v>
      </c>
      <c r="B86" s="778">
        <v>20.65</v>
      </c>
      <c r="C86" s="778">
        <v>26.15</v>
      </c>
      <c r="D86" s="778">
        <v>19.82</v>
      </c>
      <c r="E86" s="778">
        <v>20.78</v>
      </c>
      <c r="F86" s="778">
        <v>20.86</v>
      </c>
      <c r="G86" s="778">
        <v>22.02</v>
      </c>
      <c r="H86" s="778">
        <v>23.23</v>
      </c>
      <c r="I86" s="778">
        <v>24.19</v>
      </c>
      <c r="J86" s="778">
        <v>24.77</v>
      </c>
      <c r="K86" s="778">
        <v>25.41</v>
      </c>
      <c r="L86" s="778">
        <v>25.95</v>
      </c>
      <c r="M86" s="778">
        <v>26.53</v>
      </c>
      <c r="N86" s="778">
        <v>26.79</v>
      </c>
      <c r="O86" s="778">
        <v>27.02</v>
      </c>
      <c r="P86" s="778">
        <v>27.25</v>
      </c>
      <c r="Q86" s="778">
        <v>27.46</v>
      </c>
      <c r="R86" s="778">
        <v>27.73</v>
      </c>
      <c r="S86" s="778">
        <v>28</v>
      </c>
      <c r="T86" s="778">
        <v>28.26</v>
      </c>
      <c r="U86" s="778">
        <v>28.41</v>
      </c>
      <c r="V86" s="778">
        <v>28.68</v>
      </c>
      <c r="W86" s="778">
        <v>28.93</v>
      </c>
      <c r="X86" s="778">
        <v>29.28</v>
      </c>
      <c r="Y86" s="778">
        <v>29.5</v>
      </c>
      <c r="Z86" s="778">
        <v>29.86</v>
      </c>
      <c r="AA86" s="778">
        <v>30.19</v>
      </c>
      <c r="AB86" s="778">
        <v>30.58</v>
      </c>
      <c r="AC86" s="778">
        <v>30.94</v>
      </c>
      <c r="AD86" s="778">
        <v>31.32</v>
      </c>
      <c r="AE86" s="814">
        <v>7.0000000000000001E-3</v>
      </c>
      <c r="AF86" s="778"/>
      <c r="AG86" s="778"/>
      <c r="AH86" s="778"/>
      <c r="AI86" s="778"/>
      <c r="AJ86" s="778"/>
      <c r="AK86" s="778"/>
      <c r="AL86" s="778"/>
      <c r="AM86" s="778"/>
      <c r="AN86" s="778"/>
      <c r="AO86" s="778"/>
      <c r="AP86" s="778"/>
      <c r="AQ86" s="778"/>
      <c r="AR86" s="778"/>
      <c r="AS86" s="778"/>
      <c r="AT86" s="778"/>
      <c r="AU86" s="778"/>
      <c r="AV86" s="778"/>
      <c r="AW86" s="778"/>
      <c r="AX86" s="778"/>
      <c r="AY86" s="778"/>
      <c r="AZ86" s="778"/>
      <c r="BA86" s="778"/>
      <c r="BB86" s="778"/>
      <c r="BC86" s="778"/>
      <c r="BD86" s="778"/>
      <c r="BE86" s="778"/>
      <c r="BF86" s="778"/>
      <c r="BG86" s="778"/>
      <c r="BH86" s="778"/>
      <c r="BI86" s="778"/>
      <c r="BJ86" s="778"/>
      <c r="BK86" s="778"/>
      <c r="BL86" s="778"/>
      <c r="BM86" s="778"/>
      <c r="BN86" s="778"/>
      <c r="BO86" s="778"/>
      <c r="BP86" s="778"/>
      <c r="BQ86" s="778"/>
      <c r="BR86" s="778"/>
      <c r="BS86" s="778"/>
      <c r="BT86" s="778"/>
    </row>
    <row r="87" spans="1:72" x14ac:dyDescent="0.25">
      <c r="A87" s="778" t="s">
        <v>595</v>
      </c>
      <c r="B87" s="778">
        <v>17.48</v>
      </c>
      <c r="C87" s="778">
        <v>21.5</v>
      </c>
      <c r="D87" s="778">
        <v>15.8</v>
      </c>
      <c r="E87" s="778">
        <v>14.82</v>
      </c>
      <c r="F87" s="778">
        <v>15.24</v>
      </c>
      <c r="G87" s="778">
        <v>16.38</v>
      </c>
      <c r="H87" s="778">
        <v>17.399999999999999</v>
      </c>
      <c r="I87" s="778">
        <v>18.11</v>
      </c>
      <c r="J87" s="778">
        <v>18.72</v>
      </c>
      <c r="K87" s="778">
        <v>19.559999999999999</v>
      </c>
      <c r="L87" s="778">
        <v>20.2</v>
      </c>
      <c r="M87" s="778">
        <v>20.84</v>
      </c>
      <c r="N87" s="778">
        <v>21.26</v>
      </c>
      <c r="O87" s="778">
        <v>21.6</v>
      </c>
      <c r="P87" s="778">
        <v>21.78</v>
      </c>
      <c r="Q87" s="778">
        <v>22.04</v>
      </c>
      <c r="R87" s="778">
        <v>22.29</v>
      </c>
      <c r="S87" s="778">
        <v>22.43</v>
      </c>
      <c r="T87" s="778">
        <v>22.72</v>
      </c>
      <c r="U87" s="778">
        <v>22.97</v>
      </c>
      <c r="V87" s="778">
        <v>23.21</v>
      </c>
      <c r="W87" s="778">
        <v>23.53</v>
      </c>
      <c r="X87" s="778">
        <v>23.93</v>
      </c>
      <c r="Y87" s="778">
        <v>24.11</v>
      </c>
      <c r="Z87" s="778">
        <v>24.54</v>
      </c>
      <c r="AA87" s="778">
        <v>24.94</v>
      </c>
      <c r="AB87" s="778">
        <v>25.28</v>
      </c>
      <c r="AC87" s="778">
        <v>25.69</v>
      </c>
      <c r="AD87" s="778">
        <v>26.13</v>
      </c>
      <c r="AE87" s="814">
        <v>7.0000000000000001E-3</v>
      </c>
      <c r="AF87" s="778"/>
      <c r="AG87" s="778"/>
      <c r="AH87" s="778"/>
      <c r="AI87" s="778"/>
      <c r="AJ87" s="778"/>
      <c r="AK87" s="778"/>
      <c r="AL87" s="778"/>
      <c r="AM87" s="778"/>
      <c r="AN87" s="778"/>
      <c r="AO87" s="778"/>
      <c r="AP87" s="778"/>
      <c r="AQ87" s="778"/>
      <c r="AR87" s="778"/>
      <c r="AS87" s="778"/>
      <c r="AT87" s="778"/>
      <c r="AU87" s="778"/>
      <c r="AV87" s="778"/>
      <c r="AW87" s="778"/>
      <c r="AX87" s="778"/>
      <c r="AY87" s="778"/>
      <c r="AZ87" s="778"/>
      <c r="BA87" s="778"/>
      <c r="BB87" s="778"/>
      <c r="BC87" s="778"/>
      <c r="BD87" s="778"/>
      <c r="BE87" s="778"/>
      <c r="BF87" s="778"/>
      <c r="BG87" s="778"/>
      <c r="BH87" s="778"/>
      <c r="BI87" s="778"/>
      <c r="BJ87" s="778"/>
      <c r="BK87" s="778"/>
      <c r="BL87" s="778"/>
      <c r="BM87" s="778"/>
      <c r="BN87" s="778"/>
      <c r="BO87" s="778"/>
      <c r="BP87" s="778"/>
      <c r="BQ87" s="778"/>
      <c r="BR87" s="778"/>
      <c r="BS87" s="778"/>
      <c r="BT87" s="778"/>
    </row>
    <row r="88" spans="1:72" x14ac:dyDescent="0.25">
      <c r="A88" s="778" t="s">
        <v>708</v>
      </c>
      <c r="B88" s="778">
        <v>8.39</v>
      </c>
      <c r="C88" s="778">
        <v>15.52</v>
      </c>
      <c r="D88" s="778">
        <v>9.27</v>
      </c>
      <c r="E88" s="778">
        <v>9.4499999999999993</v>
      </c>
      <c r="F88" s="778">
        <v>9.6300000000000008</v>
      </c>
      <c r="G88" s="778">
        <v>10.85</v>
      </c>
      <c r="H88" s="778">
        <v>11.98</v>
      </c>
      <c r="I88" s="778">
        <v>12.76</v>
      </c>
      <c r="J88" s="778">
        <v>13.13</v>
      </c>
      <c r="K88" s="778">
        <v>13.68</v>
      </c>
      <c r="L88" s="778">
        <v>14.17</v>
      </c>
      <c r="M88" s="778">
        <v>14.69</v>
      </c>
      <c r="N88" s="778">
        <v>15.26</v>
      </c>
      <c r="O88" s="778">
        <v>15.46</v>
      </c>
      <c r="P88" s="778">
        <v>15.68</v>
      </c>
      <c r="Q88" s="778">
        <v>15.89</v>
      </c>
      <c r="R88" s="778">
        <v>16.12</v>
      </c>
      <c r="S88" s="778">
        <v>16.34</v>
      </c>
      <c r="T88" s="778">
        <v>16.54</v>
      </c>
      <c r="U88" s="778">
        <v>16.63</v>
      </c>
      <c r="V88" s="778">
        <v>16.82</v>
      </c>
      <c r="W88" s="778">
        <v>17.059999999999999</v>
      </c>
      <c r="X88" s="778">
        <v>17.28</v>
      </c>
      <c r="Y88" s="778">
        <v>17.54</v>
      </c>
      <c r="Z88" s="778">
        <v>17.89</v>
      </c>
      <c r="AA88" s="778">
        <v>18.12</v>
      </c>
      <c r="AB88" s="778">
        <v>18.25</v>
      </c>
      <c r="AC88" s="778">
        <v>18.68</v>
      </c>
      <c r="AD88" s="778">
        <v>18.84</v>
      </c>
      <c r="AE88" s="814">
        <v>7.0000000000000001E-3</v>
      </c>
      <c r="AF88" s="778"/>
      <c r="AG88" s="778"/>
      <c r="AH88" s="778"/>
      <c r="AI88" s="778"/>
      <c r="AJ88" s="778"/>
      <c r="AK88" s="778"/>
      <c r="AL88" s="778"/>
      <c r="AM88" s="778"/>
      <c r="AN88" s="778"/>
      <c r="AO88" s="778"/>
      <c r="AP88" s="778"/>
      <c r="AQ88" s="778"/>
      <c r="AR88" s="778"/>
      <c r="AS88" s="778"/>
      <c r="AT88" s="778"/>
      <c r="AU88" s="778"/>
      <c r="AV88" s="778"/>
      <c r="AW88" s="778"/>
      <c r="AX88" s="778"/>
      <c r="AY88" s="778"/>
      <c r="AZ88" s="778"/>
      <c r="BA88" s="778"/>
      <c r="BB88" s="778"/>
      <c r="BC88" s="778"/>
      <c r="BD88" s="778"/>
      <c r="BE88" s="778"/>
      <c r="BF88" s="778"/>
      <c r="BG88" s="778"/>
      <c r="BH88" s="778"/>
      <c r="BI88" s="778"/>
      <c r="BJ88" s="778"/>
      <c r="BK88" s="778"/>
      <c r="BL88" s="778"/>
      <c r="BM88" s="778"/>
      <c r="BN88" s="778"/>
      <c r="BO88" s="778"/>
      <c r="BP88" s="778"/>
      <c r="BQ88" s="778"/>
      <c r="BR88" s="778"/>
      <c r="BS88" s="778"/>
      <c r="BT88" s="778"/>
    </row>
    <row r="89" spans="1:72" x14ac:dyDescent="0.25">
      <c r="A89" s="778" t="s">
        <v>496</v>
      </c>
      <c r="B89" s="778">
        <v>11.2</v>
      </c>
      <c r="C89" s="778">
        <v>11.94</v>
      </c>
      <c r="D89" s="778">
        <v>9.0500000000000007</v>
      </c>
      <c r="E89" s="778">
        <v>8.67</v>
      </c>
      <c r="F89" s="778">
        <v>9.7200000000000006</v>
      </c>
      <c r="G89" s="778">
        <v>10.07</v>
      </c>
      <c r="H89" s="778">
        <v>9.92</v>
      </c>
      <c r="I89" s="778">
        <v>9.85</v>
      </c>
      <c r="J89" s="778">
        <v>9.99</v>
      </c>
      <c r="K89" s="778">
        <v>10.08</v>
      </c>
      <c r="L89" s="778">
        <v>10.11</v>
      </c>
      <c r="M89" s="778">
        <v>10.16</v>
      </c>
      <c r="N89" s="778">
        <v>10.23</v>
      </c>
      <c r="O89" s="778">
        <v>10.35</v>
      </c>
      <c r="P89" s="778">
        <v>10.46</v>
      </c>
      <c r="Q89" s="778">
        <v>10.65</v>
      </c>
      <c r="R89" s="778">
        <v>10.69</v>
      </c>
      <c r="S89" s="778">
        <v>10.62</v>
      </c>
      <c r="T89" s="778">
        <v>10.7</v>
      </c>
      <c r="U89" s="778">
        <v>10.86</v>
      </c>
      <c r="V89" s="778">
        <v>11.04</v>
      </c>
      <c r="W89" s="778">
        <v>11.28</v>
      </c>
      <c r="X89" s="778">
        <v>11.52</v>
      </c>
      <c r="Y89" s="778">
        <v>11.78</v>
      </c>
      <c r="Z89" s="778">
        <v>12.11</v>
      </c>
      <c r="AA89" s="778">
        <v>12.26</v>
      </c>
      <c r="AB89" s="778">
        <v>12.32</v>
      </c>
      <c r="AC89" s="778">
        <v>12.52</v>
      </c>
      <c r="AD89" s="778">
        <v>12.66</v>
      </c>
      <c r="AE89" s="814">
        <v>2E-3</v>
      </c>
      <c r="AF89" s="778"/>
      <c r="AG89" s="778"/>
      <c r="AH89" s="778"/>
      <c r="AI89" s="778"/>
      <c r="AJ89" s="778"/>
      <c r="AK89" s="778"/>
      <c r="AL89" s="778"/>
      <c r="AM89" s="778"/>
      <c r="AN89" s="778"/>
      <c r="AO89" s="778"/>
      <c r="AP89" s="778"/>
      <c r="AQ89" s="778"/>
      <c r="AR89" s="778"/>
      <c r="AS89" s="778"/>
      <c r="AT89" s="778"/>
      <c r="AU89" s="778"/>
      <c r="AV89" s="778"/>
      <c r="AW89" s="778"/>
      <c r="AX89" s="778"/>
      <c r="AY89" s="778"/>
      <c r="AZ89" s="778"/>
      <c r="BA89" s="778"/>
      <c r="BB89" s="778"/>
      <c r="BC89" s="778"/>
      <c r="BD89" s="778"/>
      <c r="BE89" s="778"/>
      <c r="BF89" s="778"/>
      <c r="BG89" s="778"/>
      <c r="BH89" s="778"/>
      <c r="BI89" s="778"/>
      <c r="BJ89" s="778"/>
      <c r="BK89" s="778"/>
      <c r="BL89" s="778"/>
      <c r="BM89" s="778"/>
      <c r="BN89" s="778"/>
      <c r="BO89" s="778"/>
      <c r="BP89" s="778"/>
      <c r="BQ89" s="778"/>
      <c r="BR89" s="778"/>
      <c r="BS89" s="778"/>
      <c r="BT89" s="778"/>
    </row>
    <row r="90" spans="1:72" x14ac:dyDescent="0.25">
      <c r="A90" s="778" t="s">
        <v>465</v>
      </c>
      <c r="B90" s="778">
        <v>28.81</v>
      </c>
      <c r="C90" s="778">
        <v>30.47</v>
      </c>
      <c r="D90" s="778">
        <v>28.94</v>
      </c>
      <c r="E90" s="778">
        <v>27.37</v>
      </c>
      <c r="F90" s="778">
        <v>25.72</v>
      </c>
      <c r="G90" s="778">
        <v>26.72</v>
      </c>
      <c r="H90" s="778">
        <v>26.81</v>
      </c>
      <c r="I90" s="778">
        <v>26.55</v>
      </c>
      <c r="J90" s="778">
        <v>26.55</v>
      </c>
      <c r="K90" s="778">
        <v>26.81</v>
      </c>
      <c r="L90" s="778">
        <v>26.97</v>
      </c>
      <c r="M90" s="778">
        <v>26.98</v>
      </c>
      <c r="N90" s="778">
        <v>26.93</v>
      </c>
      <c r="O90" s="778">
        <v>27.12</v>
      </c>
      <c r="P90" s="778">
        <v>27.31</v>
      </c>
      <c r="Q90" s="778">
        <v>27.42</v>
      </c>
      <c r="R90" s="778">
        <v>27.62</v>
      </c>
      <c r="S90" s="778">
        <v>27.77</v>
      </c>
      <c r="T90" s="778">
        <v>27.72</v>
      </c>
      <c r="U90" s="778">
        <v>27.87</v>
      </c>
      <c r="V90" s="778">
        <v>28.05</v>
      </c>
      <c r="W90" s="778">
        <v>28.25</v>
      </c>
      <c r="X90" s="778">
        <v>28.67</v>
      </c>
      <c r="Y90" s="778">
        <v>28.99</v>
      </c>
      <c r="Z90" s="778">
        <v>29.37</v>
      </c>
      <c r="AA90" s="778">
        <v>29.73</v>
      </c>
      <c r="AB90" s="778">
        <v>29.9</v>
      </c>
      <c r="AC90" s="778">
        <v>30.15</v>
      </c>
      <c r="AD90" s="778">
        <v>30.37</v>
      </c>
      <c r="AE90" s="814">
        <v>0</v>
      </c>
      <c r="AF90" s="778"/>
      <c r="AG90" s="778"/>
      <c r="AH90" s="778"/>
      <c r="AI90" s="778"/>
      <c r="AJ90" s="778"/>
      <c r="AK90" s="778"/>
      <c r="AL90" s="778"/>
      <c r="AM90" s="778"/>
      <c r="AN90" s="778"/>
      <c r="AO90" s="778"/>
      <c r="AP90" s="778"/>
      <c r="AQ90" s="778"/>
      <c r="AR90" s="778"/>
      <c r="AS90" s="778"/>
      <c r="AT90" s="778"/>
      <c r="AU90" s="778"/>
      <c r="AV90" s="778"/>
      <c r="AW90" s="778"/>
      <c r="AX90" s="778"/>
      <c r="AY90" s="778"/>
      <c r="AZ90" s="778"/>
      <c r="BA90" s="778"/>
      <c r="BB90" s="778"/>
      <c r="BC90" s="778"/>
      <c r="BD90" s="778"/>
      <c r="BE90" s="778"/>
      <c r="BF90" s="778"/>
      <c r="BG90" s="778"/>
      <c r="BH90" s="778"/>
      <c r="BI90" s="778"/>
      <c r="BJ90" s="778"/>
      <c r="BK90" s="778"/>
      <c r="BL90" s="778"/>
      <c r="BM90" s="778"/>
      <c r="BN90" s="778"/>
      <c r="BO90" s="778"/>
      <c r="BP90" s="778"/>
      <c r="BQ90" s="778"/>
      <c r="BR90" s="778"/>
      <c r="BS90" s="778"/>
      <c r="BT90" s="778"/>
    </row>
    <row r="91" spans="1:72" x14ac:dyDescent="0.25">
      <c r="A91" s="778"/>
      <c r="B91" s="778"/>
      <c r="C91" s="778"/>
      <c r="D91" s="778"/>
      <c r="E91" s="778"/>
      <c r="F91" s="778"/>
      <c r="G91" s="778"/>
      <c r="H91" s="778"/>
      <c r="I91" s="778"/>
      <c r="J91" s="778"/>
      <c r="K91" s="778"/>
      <c r="L91" s="778"/>
      <c r="M91" s="778"/>
      <c r="N91" s="778"/>
      <c r="O91" s="778"/>
      <c r="P91" s="778"/>
      <c r="Q91" s="778"/>
      <c r="R91" s="778"/>
      <c r="S91" s="778"/>
      <c r="T91" s="778"/>
      <c r="U91" s="778"/>
      <c r="V91" s="778"/>
      <c r="W91" s="778"/>
      <c r="X91" s="778"/>
      <c r="Y91" s="778"/>
      <c r="Z91" s="778"/>
      <c r="AA91" s="778"/>
      <c r="AB91" s="778"/>
      <c r="AC91" s="778"/>
      <c r="AD91" s="778"/>
      <c r="AE91" s="778"/>
      <c r="AF91" s="778"/>
      <c r="AG91" s="778"/>
      <c r="AH91" s="778"/>
      <c r="AI91" s="778"/>
      <c r="AJ91" s="778"/>
      <c r="AK91" s="778"/>
      <c r="AL91" s="778"/>
      <c r="AM91" s="778"/>
      <c r="AN91" s="778"/>
      <c r="AO91" s="778"/>
      <c r="AP91" s="778"/>
      <c r="AQ91" s="778"/>
      <c r="AR91" s="778"/>
      <c r="AS91" s="778"/>
      <c r="AT91" s="778"/>
      <c r="AU91" s="778"/>
      <c r="AV91" s="778"/>
      <c r="AW91" s="778"/>
      <c r="AX91" s="778"/>
      <c r="AY91" s="778"/>
      <c r="AZ91" s="778"/>
      <c r="BA91" s="778"/>
      <c r="BB91" s="778"/>
      <c r="BC91" s="778"/>
      <c r="BD91" s="778"/>
      <c r="BE91" s="778"/>
      <c r="BF91" s="778"/>
      <c r="BG91" s="778"/>
      <c r="BH91" s="778"/>
      <c r="BI91" s="778"/>
      <c r="BJ91" s="778"/>
      <c r="BK91" s="778"/>
      <c r="BL91" s="778"/>
      <c r="BM91" s="778"/>
      <c r="BN91" s="778"/>
      <c r="BO91" s="778"/>
      <c r="BP91" s="778"/>
      <c r="BQ91" s="778"/>
      <c r="BR91" s="778"/>
      <c r="BS91" s="778"/>
      <c r="BT91" s="778"/>
    </row>
    <row r="92" spans="1:72" x14ac:dyDescent="0.25">
      <c r="A92" s="778" t="s">
        <v>597</v>
      </c>
      <c r="B92" s="778"/>
      <c r="C92" s="778"/>
      <c r="D92" s="778"/>
      <c r="E92" s="778"/>
      <c r="F92" s="778"/>
      <c r="G92" s="778"/>
      <c r="H92" s="778"/>
      <c r="I92" s="778"/>
      <c r="J92" s="778"/>
      <c r="K92" s="778"/>
      <c r="L92" s="778"/>
      <c r="M92" s="778"/>
      <c r="N92" s="778"/>
      <c r="O92" s="778"/>
      <c r="P92" s="778"/>
      <c r="Q92" s="778"/>
      <c r="R92" s="778"/>
      <c r="S92" s="778"/>
      <c r="T92" s="778"/>
      <c r="U92" s="778"/>
      <c r="V92" s="778"/>
      <c r="W92" s="778"/>
      <c r="X92" s="778"/>
      <c r="Y92" s="778"/>
      <c r="Z92" s="778"/>
      <c r="AA92" s="778"/>
      <c r="AB92" s="778"/>
      <c r="AC92" s="778"/>
      <c r="AD92" s="778"/>
      <c r="AE92" s="778"/>
      <c r="AF92" s="778"/>
      <c r="AG92" s="778"/>
      <c r="AH92" s="778"/>
      <c r="AI92" s="778"/>
      <c r="AJ92" s="778"/>
      <c r="AK92" s="778"/>
      <c r="AL92" s="778"/>
      <c r="AM92" s="778"/>
      <c r="AN92" s="778"/>
      <c r="AO92" s="778"/>
      <c r="AP92" s="778"/>
      <c r="AQ92" s="778"/>
      <c r="AR92" s="778"/>
      <c r="AS92" s="778"/>
      <c r="AT92" s="778"/>
      <c r="AU92" s="778"/>
      <c r="AV92" s="778"/>
      <c r="AW92" s="778"/>
      <c r="AX92" s="778"/>
      <c r="AY92" s="778"/>
      <c r="AZ92" s="778"/>
      <c r="BA92" s="778"/>
      <c r="BB92" s="778"/>
      <c r="BC92" s="778"/>
      <c r="BD92" s="778"/>
      <c r="BE92" s="778"/>
      <c r="BF92" s="778"/>
      <c r="BG92" s="778"/>
      <c r="BH92" s="778"/>
      <c r="BI92" s="778"/>
      <c r="BJ92" s="778"/>
      <c r="BK92" s="778"/>
      <c r="BL92" s="778"/>
      <c r="BM92" s="778"/>
      <c r="BN92" s="778"/>
      <c r="BO92" s="778"/>
      <c r="BP92" s="778"/>
      <c r="BQ92" s="778"/>
      <c r="BR92" s="778"/>
      <c r="BS92" s="778"/>
      <c r="BT92" s="778"/>
    </row>
    <row r="93" spans="1:72" x14ac:dyDescent="0.25">
      <c r="A93" s="778" t="s">
        <v>594</v>
      </c>
      <c r="B93" s="778">
        <v>22.01</v>
      </c>
      <c r="C93" s="778">
        <v>24.2</v>
      </c>
      <c r="D93" s="778">
        <v>18.64</v>
      </c>
      <c r="E93" s="778">
        <v>18.36</v>
      </c>
      <c r="F93" s="778">
        <v>18.46</v>
      </c>
      <c r="G93" s="778">
        <v>19.61</v>
      </c>
      <c r="H93" s="778">
        <v>20.9</v>
      </c>
      <c r="I93" s="778">
        <v>21.9</v>
      </c>
      <c r="J93" s="778">
        <v>22.49</v>
      </c>
      <c r="K93" s="778">
        <v>23.25</v>
      </c>
      <c r="L93" s="778">
        <v>23.76</v>
      </c>
      <c r="M93" s="778">
        <v>24.31</v>
      </c>
      <c r="N93" s="778">
        <v>24.62</v>
      </c>
      <c r="O93" s="778">
        <v>24.86</v>
      </c>
      <c r="P93" s="778">
        <v>25.09</v>
      </c>
      <c r="Q93" s="778">
        <v>25.3</v>
      </c>
      <c r="R93" s="778">
        <v>25.59</v>
      </c>
      <c r="S93" s="778">
        <v>25.86</v>
      </c>
      <c r="T93" s="778">
        <v>26.12</v>
      </c>
      <c r="U93" s="778">
        <v>26.27</v>
      </c>
      <c r="V93" s="778">
        <v>26.55</v>
      </c>
      <c r="W93" s="778">
        <v>26.8</v>
      </c>
      <c r="X93" s="778">
        <v>27.15</v>
      </c>
      <c r="Y93" s="778">
        <v>27.38</v>
      </c>
      <c r="Z93" s="778">
        <v>27.74</v>
      </c>
      <c r="AA93" s="778">
        <v>28.08</v>
      </c>
      <c r="AB93" s="778">
        <v>28.48</v>
      </c>
      <c r="AC93" s="778">
        <v>28.86</v>
      </c>
      <c r="AD93" s="778">
        <v>29.25</v>
      </c>
      <c r="AE93" s="814">
        <v>7.0000000000000001E-3</v>
      </c>
      <c r="AF93" s="778"/>
      <c r="AG93" s="778"/>
      <c r="AH93" s="778"/>
      <c r="AI93" s="778"/>
      <c r="AJ93" s="778"/>
      <c r="AK93" s="778"/>
      <c r="AL93" s="778"/>
      <c r="AM93" s="778"/>
      <c r="AN93" s="778"/>
      <c r="AO93" s="778"/>
      <c r="AP93" s="778"/>
      <c r="AQ93" s="778"/>
      <c r="AR93" s="778"/>
      <c r="AS93" s="778"/>
      <c r="AT93" s="778"/>
      <c r="AU93" s="778"/>
      <c r="AV93" s="778"/>
      <c r="AW93" s="778"/>
      <c r="AX93" s="778"/>
      <c r="AY93" s="778"/>
      <c r="AZ93" s="778"/>
      <c r="BA93" s="778"/>
      <c r="BB93" s="778"/>
      <c r="BC93" s="778"/>
      <c r="BD93" s="778"/>
      <c r="BE93" s="778"/>
      <c r="BF93" s="778"/>
      <c r="BG93" s="778"/>
      <c r="BH93" s="778"/>
      <c r="BI93" s="778"/>
      <c r="BJ93" s="778"/>
      <c r="BK93" s="778"/>
      <c r="BL93" s="778"/>
      <c r="BM93" s="778"/>
      <c r="BN93" s="778"/>
      <c r="BO93" s="778"/>
      <c r="BP93" s="778"/>
      <c r="BQ93" s="778"/>
      <c r="BR93" s="778"/>
      <c r="BS93" s="778"/>
      <c r="BT93" s="778"/>
    </row>
    <row r="94" spans="1:72" x14ac:dyDescent="0.25">
      <c r="A94" s="778" t="s">
        <v>595</v>
      </c>
      <c r="B94" s="778">
        <v>18.07</v>
      </c>
      <c r="C94" s="778">
        <v>22.31</v>
      </c>
      <c r="D94" s="778">
        <v>16.399999999999999</v>
      </c>
      <c r="E94" s="778">
        <v>14.38</v>
      </c>
      <c r="F94" s="778">
        <v>15.38</v>
      </c>
      <c r="G94" s="778">
        <v>16.55</v>
      </c>
      <c r="H94" s="778">
        <v>17.59</v>
      </c>
      <c r="I94" s="778">
        <v>18.32</v>
      </c>
      <c r="J94" s="778">
        <v>19</v>
      </c>
      <c r="K94" s="778">
        <v>19.8</v>
      </c>
      <c r="L94" s="778">
        <v>20.440000000000001</v>
      </c>
      <c r="M94" s="778">
        <v>21.08</v>
      </c>
      <c r="N94" s="778">
        <v>21.49</v>
      </c>
      <c r="O94" s="778">
        <v>21.83</v>
      </c>
      <c r="P94" s="778">
        <v>22.03</v>
      </c>
      <c r="Q94" s="778">
        <v>22.36</v>
      </c>
      <c r="R94" s="778">
        <v>22.56</v>
      </c>
      <c r="S94" s="778">
        <v>22.67</v>
      </c>
      <c r="T94" s="778">
        <v>22.97</v>
      </c>
      <c r="U94" s="778">
        <v>23.22</v>
      </c>
      <c r="V94" s="778">
        <v>23.48</v>
      </c>
      <c r="W94" s="778">
        <v>23.81</v>
      </c>
      <c r="X94" s="778">
        <v>24.22</v>
      </c>
      <c r="Y94" s="778">
        <v>24.4</v>
      </c>
      <c r="Z94" s="778">
        <v>24.84</v>
      </c>
      <c r="AA94" s="778">
        <v>25.25</v>
      </c>
      <c r="AB94" s="778">
        <v>25.6</v>
      </c>
      <c r="AC94" s="778">
        <v>26.02</v>
      </c>
      <c r="AD94" s="778">
        <v>26.48</v>
      </c>
      <c r="AE94" s="814">
        <v>6.0000000000000001E-3</v>
      </c>
      <c r="AF94" s="778"/>
      <c r="AG94" s="778"/>
      <c r="AH94" s="778"/>
      <c r="AI94" s="778"/>
      <c r="AJ94" s="778"/>
      <c r="AK94" s="778"/>
      <c r="AL94" s="778"/>
      <c r="AM94" s="778"/>
      <c r="AN94" s="778"/>
      <c r="AO94" s="778"/>
      <c r="AP94" s="778"/>
      <c r="AQ94" s="778"/>
      <c r="AR94" s="778"/>
      <c r="AS94" s="778"/>
      <c r="AT94" s="778"/>
      <c r="AU94" s="778"/>
      <c r="AV94" s="778"/>
      <c r="AW94" s="778"/>
      <c r="AX94" s="778"/>
      <c r="AY94" s="778"/>
      <c r="AZ94" s="778"/>
      <c r="BA94" s="778"/>
      <c r="BB94" s="778"/>
      <c r="BC94" s="778"/>
      <c r="BD94" s="778"/>
      <c r="BE94" s="778"/>
      <c r="BF94" s="778"/>
      <c r="BG94" s="778"/>
      <c r="BH94" s="778"/>
      <c r="BI94" s="778"/>
      <c r="BJ94" s="778"/>
      <c r="BK94" s="778"/>
      <c r="BL94" s="778"/>
      <c r="BM94" s="778"/>
      <c r="BN94" s="778"/>
      <c r="BO94" s="778"/>
      <c r="BP94" s="778"/>
      <c r="BQ94" s="778"/>
      <c r="BR94" s="778"/>
      <c r="BS94" s="778"/>
      <c r="BT94" s="778"/>
    </row>
    <row r="95" spans="1:72" x14ac:dyDescent="0.25">
      <c r="A95" s="778" t="s">
        <v>596</v>
      </c>
      <c r="B95" s="778">
        <v>8.84</v>
      </c>
      <c r="C95" s="778">
        <v>16.309999999999999</v>
      </c>
      <c r="D95" s="778">
        <v>9.75</v>
      </c>
      <c r="E95" s="778">
        <v>13.12</v>
      </c>
      <c r="F95" s="778">
        <v>13.24</v>
      </c>
      <c r="G95" s="778">
        <v>14.32</v>
      </c>
      <c r="H95" s="778">
        <v>15.31</v>
      </c>
      <c r="I95" s="778">
        <v>16.079999999999998</v>
      </c>
      <c r="J95" s="778">
        <v>16.47</v>
      </c>
      <c r="K95" s="778">
        <v>16.96</v>
      </c>
      <c r="L95" s="778">
        <v>17.37</v>
      </c>
      <c r="M95" s="778">
        <v>17.82</v>
      </c>
      <c r="N95" s="778">
        <v>18.09</v>
      </c>
      <c r="O95" s="778">
        <v>18.2</v>
      </c>
      <c r="P95" s="778">
        <v>18.43</v>
      </c>
      <c r="Q95" s="778">
        <v>18.61</v>
      </c>
      <c r="R95" s="778">
        <v>18.82</v>
      </c>
      <c r="S95" s="778">
        <v>19.03</v>
      </c>
      <c r="T95" s="778">
        <v>19.23</v>
      </c>
      <c r="U95" s="778">
        <v>19.3</v>
      </c>
      <c r="V95" s="778">
        <v>19.489999999999998</v>
      </c>
      <c r="W95" s="778">
        <v>19.73</v>
      </c>
      <c r="X95" s="778">
        <v>19.98</v>
      </c>
      <c r="Y95" s="778">
        <v>20.27</v>
      </c>
      <c r="Z95" s="778">
        <v>20.61</v>
      </c>
      <c r="AA95" s="778">
        <v>20.87</v>
      </c>
      <c r="AB95" s="778">
        <v>21.12</v>
      </c>
      <c r="AC95" s="778">
        <v>21.44</v>
      </c>
      <c r="AD95" s="778">
        <v>21.72</v>
      </c>
      <c r="AE95" s="814">
        <v>1.0999999999999999E-2</v>
      </c>
      <c r="AF95" s="778"/>
      <c r="AG95" s="778"/>
      <c r="AH95" s="778"/>
      <c r="AI95" s="778"/>
      <c r="AJ95" s="778"/>
      <c r="AK95" s="778"/>
      <c r="AL95" s="778"/>
      <c r="AM95" s="778"/>
      <c r="AN95" s="778"/>
      <c r="AO95" s="778"/>
      <c r="AP95" s="778"/>
      <c r="AQ95" s="778"/>
      <c r="AR95" s="778"/>
      <c r="AS95" s="778"/>
      <c r="AT95" s="778"/>
      <c r="AU95" s="778"/>
      <c r="AV95" s="778"/>
      <c r="AW95" s="778"/>
      <c r="AX95" s="778"/>
      <c r="AY95" s="778"/>
      <c r="AZ95" s="778"/>
      <c r="BA95" s="778"/>
      <c r="BB95" s="778"/>
      <c r="BC95" s="778"/>
      <c r="BD95" s="778"/>
      <c r="BE95" s="778"/>
      <c r="BF95" s="778"/>
      <c r="BG95" s="778"/>
      <c r="BH95" s="778"/>
      <c r="BI95" s="778"/>
      <c r="BJ95" s="778"/>
      <c r="BK95" s="778"/>
      <c r="BL95" s="778"/>
      <c r="BM95" s="778"/>
      <c r="BN95" s="778"/>
      <c r="BO95" s="778"/>
      <c r="BP95" s="778"/>
      <c r="BQ95" s="778"/>
      <c r="BR95" s="778"/>
      <c r="BS95" s="778"/>
      <c r="BT95" s="778"/>
    </row>
    <row r="96" spans="1:72" x14ac:dyDescent="0.25">
      <c r="A96" s="778" t="s">
        <v>598</v>
      </c>
      <c r="B96" s="778">
        <v>7.58</v>
      </c>
      <c r="C96" s="778">
        <v>9.11</v>
      </c>
      <c r="D96" s="778">
        <v>4.2</v>
      </c>
      <c r="E96" s="778">
        <v>4.87</v>
      </c>
      <c r="F96" s="778">
        <v>5.97</v>
      </c>
      <c r="G96" s="778">
        <v>6.39</v>
      </c>
      <c r="H96" s="778">
        <v>6.33</v>
      </c>
      <c r="I96" s="778">
        <v>6.28</v>
      </c>
      <c r="J96" s="778">
        <v>6.45</v>
      </c>
      <c r="K96" s="778">
        <v>6.52</v>
      </c>
      <c r="L96" s="778">
        <v>6.51</v>
      </c>
      <c r="M96" s="778">
        <v>6.55</v>
      </c>
      <c r="N96" s="778">
        <v>6.6</v>
      </c>
      <c r="O96" s="778">
        <v>6.7</v>
      </c>
      <c r="P96" s="778">
        <v>6.78</v>
      </c>
      <c r="Q96" s="778">
        <v>6.96</v>
      </c>
      <c r="R96" s="778">
        <v>7.01</v>
      </c>
      <c r="S96" s="778">
        <v>6.96</v>
      </c>
      <c r="T96" s="778">
        <v>7.02</v>
      </c>
      <c r="U96" s="778">
        <v>7.15</v>
      </c>
      <c r="V96" s="778">
        <v>7.29</v>
      </c>
      <c r="W96" s="778">
        <v>7.51</v>
      </c>
      <c r="X96" s="778">
        <v>7.73</v>
      </c>
      <c r="Y96" s="778">
        <v>7.98</v>
      </c>
      <c r="Z96" s="778">
        <v>8.2899999999999991</v>
      </c>
      <c r="AA96" s="778">
        <v>8.4</v>
      </c>
      <c r="AB96" s="778">
        <v>8.42</v>
      </c>
      <c r="AC96" s="778">
        <v>8.61</v>
      </c>
      <c r="AD96" s="778">
        <v>8.73</v>
      </c>
      <c r="AE96" s="814">
        <v>-2E-3</v>
      </c>
      <c r="AF96" s="778"/>
      <c r="AG96" s="778"/>
      <c r="AH96" s="778"/>
      <c r="AI96" s="778"/>
      <c r="AJ96" s="778"/>
      <c r="AK96" s="778"/>
      <c r="AL96" s="778"/>
      <c r="AM96" s="778"/>
      <c r="AN96" s="778"/>
      <c r="AO96" s="778"/>
      <c r="AP96" s="778"/>
      <c r="AQ96" s="778"/>
      <c r="AR96" s="778"/>
      <c r="AS96" s="778"/>
      <c r="AT96" s="778"/>
      <c r="AU96" s="778"/>
      <c r="AV96" s="778"/>
      <c r="AW96" s="778"/>
      <c r="AX96" s="778"/>
      <c r="AY96" s="778"/>
      <c r="AZ96" s="778"/>
      <c r="BA96" s="778"/>
      <c r="BB96" s="778"/>
      <c r="BC96" s="778"/>
      <c r="BD96" s="778"/>
      <c r="BE96" s="778"/>
      <c r="BF96" s="778"/>
      <c r="BG96" s="778"/>
      <c r="BH96" s="778"/>
      <c r="BI96" s="778"/>
      <c r="BJ96" s="778"/>
      <c r="BK96" s="778"/>
      <c r="BL96" s="778"/>
      <c r="BM96" s="778"/>
      <c r="BN96" s="778"/>
      <c r="BO96" s="778"/>
      <c r="BP96" s="778"/>
      <c r="BQ96" s="778"/>
      <c r="BR96" s="778"/>
      <c r="BS96" s="778"/>
      <c r="BT96" s="778"/>
    </row>
    <row r="97" spans="1:72" x14ac:dyDescent="0.25">
      <c r="A97" s="778" t="s">
        <v>599</v>
      </c>
      <c r="B97" s="778">
        <v>3.69</v>
      </c>
      <c r="C97" s="778">
        <v>4.49</v>
      </c>
      <c r="D97" s="778">
        <v>4.72</v>
      </c>
      <c r="E97" s="778">
        <v>4.8</v>
      </c>
      <c r="F97" s="778">
        <v>4.8600000000000003</v>
      </c>
      <c r="G97" s="778">
        <v>5.0199999999999996</v>
      </c>
      <c r="H97" s="778">
        <v>5.05</v>
      </c>
      <c r="I97" s="778">
        <v>5.08</v>
      </c>
      <c r="J97" s="778">
        <v>5.08</v>
      </c>
      <c r="K97" s="778">
        <v>5.09</v>
      </c>
      <c r="L97" s="778">
        <v>5.16</v>
      </c>
      <c r="M97" s="778">
        <v>5.22</v>
      </c>
      <c r="N97" s="778">
        <v>5.29</v>
      </c>
      <c r="O97" s="778">
        <v>5.32</v>
      </c>
      <c r="P97" s="778">
        <v>5.35</v>
      </c>
      <c r="Q97" s="778">
        <v>5.36</v>
      </c>
      <c r="R97" s="778">
        <v>5.35</v>
      </c>
      <c r="S97" s="778">
        <v>5.32</v>
      </c>
      <c r="T97" s="778">
        <v>5.24</v>
      </c>
      <c r="U97" s="778">
        <v>5.16</v>
      </c>
      <c r="V97" s="778">
        <v>5.14</v>
      </c>
      <c r="W97" s="778">
        <v>5.14</v>
      </c>
      <c r="X97" s="778">
        <v>5.1100000000000003</v>
      </c>
      <c r="Y97" s="778">
        <v>5.1100000000000003</v>
      </c>
      <c r="Z97" s="778">
        <v>5.09</v>
      </c>
      <c r="AA97" s="778">
        <v>5.08</v>
      </c>
      <c r="AB97" s="778">
        <v>5.08</v>
      </c>
      <c r="AC97" s="778">
        <v>5.0599999999999996</v>
      </c>
      <c r="AD97" s="778">
        <v>5.0599999999999996</v>
      </c>
      <c r="AE97" s="814">
        <v>4.0000000000000001E-3</v>
      </c>
      <c r="AF97" s="778"/>
      <c r="AG97" s="778"/>
      <c r="AH97" s="778"/>
      <c r="AI97" s="778"/>
      <c r="AJ97" s="778"/>
      <c r="AK97" s="778"/>
      <c r="AL97" s="778"/>
      <c r="AM97" s="778"/>
      <c r="AN97" s="778"/>
      <c r="AO97" s="778"/>
      <c r="AP97" s="778"/>
      <c r="AQ97" s="778"/>
      <c r="AR97" s="778"/>
      <c r="AS97" s="778"/>
      <c r="AT97" s="778"/>
      <c r="AU97" s="778"/>
      <c r="AV97" s="778"/>
      <c r="AW97" s="778"/>
      <c r="AX97" s="778"/>
      <c r="AY97" s="778"/>
      <c r="AZ97" s="778"/>
      <c r="BA97" s="778"/>
      <c r="BB97" s="778"/>
      <c r="BC97" s="778"/>
      <c r="BD97" s="778"/>
      <c r="BE97" s="778"/>
      <c r="BF97" s="778"/>
      <c r="BG97" s="778"/>
      <c r="BH97" s="778"/>
      <c r="BI97" s="778"/>
      <c r="BJ97" s="778"/>
      <c r="BK97" s="778"/>
      <c r="BL97" s="778"/>
      <c r="BM97" s="778"/>
      <c r="BN97" s="778"/>
      <c r="BO97" s="778"/>
      <c r="BP97" s="778"/>
      <c r="BQ97" s="778"/>
      <c r="BR97" s="778"/>
      <c r="BS97" s="778"/>
      <c r="BT97" s="778"/>
    </row>
    <row r="98" spans="1:72" x14ac:dyDescent="0.25">
      <c r="A98" s="778" t="s">
        <v>600</v>
      </c>
      <c r="B98" s="778">
        <v>2.48</v>
      </c>
      <c r="C98" s="778">
        <v>2.84</v>
      </c>
      <c r="D98" s="778">
        <v>2.79</v>
      </c>
      <c r="E98" s="778">
        <v>2.69</v>
      </c>
      <c r="F98" s="778">
        <v>2.69</v>
      </c>
      <c r="G98" s="778">
        <v>2.69</v>
      </c>
      <c r="H98" s="778">
        <v>2.66</v>
      </c>
      <c r="I98" s="778">
        <v>2.68</v>
      </c>
      <c r="J98" s="778">
        <v>2.69</v>
      </c>
      <c r="K98" s="778">
        <v>2.68</v>
      </c>
      <c r="L98" s="778">
        <v>2.69</v>
      </c>
      <c r="M98" s="778">
        <v>2.68</v>
      </c>
      <c r="N98" s="778">
        <v>2.67</v>
      </c>
      <c r="O98" s="778">
        <v>2.66</v>
      </c>
      <c r="P98" s="778">
        <v>2.65</v>
      </c>
      <c r="Q98" s="778">
        <v>2.65</v>
      </c>
      <c r="R98" s="778">
        <v>2.63</v>
      </c>
      <c r="S98" s="778">
        <v>2.63</v>
      </c>
      <c r="T98" s="778">
        <v>2.63</v>
      </c>
      <c r="U98" s="778">
        <v>2.64</v>
      </c>
      <c r="V98" s="778">
        <v>2.63</v>
      </c>
      <c r="W98" s="778">
        <v>2.64</v>
      </c>
      <c r="X98" s="778">
        <v>2.65</v>
      </c>
      <c r="Y98" s="778">
        <v>2.66</v>
      </c>
      <c r="Z98" s="778">
        <v>2.67</v>
      </c>
      <c r="AA98" s="778">
        <v>2.67</v>
      </c>
      <c r="AB98" s="778">
        <v>2.69</v>
      </c>
      <c r="AC98" s="778">
        <v>2.7</v>
      </c>
      <c r="AD98" s="778">
        <v>2.71</v>
      </c>
      <c r="AE98" s="814">
        <v>-2E-3</v>
      </c>
      <c r="AF98" s="778"/>
      <c r="AG98" s="778"/>
      <c r="AH98" s="778"/>
      <c r="AI98" s="778"/>
      <c r="AJ98" s="778"/>
      <c r="AK98" s="778"/>
      <c r="AL98" s="778"/>
      <c r="AM98" s="778"/>
      <c r="AN98" s="778"/>
      <c r="AO98" s="778"/>
      <c r="AP98" s="778"/>
      <c r="AQ98" s="778"/>
      <c r="AR98" s="778"/>
      <c r="AS98" s="778"/>
      <c r="AT98" s="778"/>
      <c r="AU98" s="778"/>
      <c r="AV98" s="778"/>
      <c r="AW98" s="778"/>
      <c r="AX98" s="778"/>
      <c r="AY98" s="778"/>
      <c r="AZ98" s="778"/>
      <c r="BA98" s="778"/>
      <c r="BB98" s="778"/>
      <c r="BC98" s="778"/>
      <c r="BD98" s="778"/>
      <c r="BE98" s="778"/>
      <c r="BF98" s="778"/>
      <c r="BG98" s="778"/>
      <c r="BH98" s="778"/>
      <c r="BI98" s="778"/>
      <c r="BJ98" s="778"/>
      <c r="BK98" s="778"/>
      <c r="BL98" s="778"/>
      <c r="BM98" s="778"/>
      <c r="BN98" s="778"/>
      <c r="BO98" s="778"/>
      <c r="BP98" s="778"/>
      <c r="BQ98" s="778"/>
      <c r="BR98" s="778"/>
      <c r="BS98" s="778"/>
      <c r="BT98" s="778"/>
    </row>
    <row r="99" spans="1:72" x14ac:dyDescent="0.25">
      <c r="A99" s="778" t="s">
        <v>601</v>
      </c>
      <c r="B99" s="778" t="s">
        <v>773</v>
      </c>
      <c r="C99" s="778" t="s">
        <v>773</v>
      </c>
      <c r="D99" s="778" t="s">
        <v>773</v>
      </c>
      <c r="E99" s="778" t="s">
        <v>773</v>
      </c>
      <c r="F99" s="778">
        <v>1.26</v>
      </c>
      <c r="G99" s="778">
        <v>1.04</v>
      </c>
      <c r="H99" s="778">
        <v>1.04</v>
      </c>
      <c r="I99" s="778">
        <v>1.41</v>
      </c>
      <c r="J99" s="778">
        <v>1.42</v>
      </c>
      <c r="K99" s="778">
        <v>1.46</v>
      </c>
      <c r="L99" s="778">
        <v>1.48</v>
      </c>
      <c r="M99" s="778">
        <v>1.48</v>
      </c>
      <c r="N99" s="778">
        <v>1.47</v>
      </c>
      <c r="O99" s="778">
        <v>1.46</v>
      </c>
      <c r="P99" s="778">
        <v>1.49</v>
      </c>
      <c r="Q99" s="778">
        <v>1.5</v>
      </c>
      <c r="R99" s="778">
        <v>1.52</v>
      </c>
      <c r="S99" s="778">
        <v>1.49</v>
      </c>
      <c r="T99" s="778">
        <v>1.49</v>
      </c>
      <c r="U99" s="778">
        <v>1.47</v>
      </c>
      <c r="V99" s="778">
        <v>1.46</v>
      </c>
      <c r="W99" s="778">
        <v>1.45</v>
      </c>
      <c r="X99" s="778">
        <v>1.44</v>
      </c>
      <c r="Y99" s="778">
        <v>1.44</v>
      </c>
      <c r="Z99" s="778">
        <v>1.44</v>
      </c>
      <c r="AA99" s="778">
        <v>1.44</v>
      </c>
      <c r="AB99" s="778">
        <v>1.46</v>
      </c>
      <c r="AC99" s="778">
        <v>1.48</v>
      </c>
      <c r="AD99" s="778">
        <v>1.51</v>
      </c>
      <c r="AE99" s="778" t="s">
        <v>773</v>
      </c>
      <c r="AF99" s="778"/>
      <c r="AG99" s="778"/>
      <c r="AH99" s="778"/>
      <c r="AI99" s="778"/>
      <c r="AJ99" s="778"/>
      <c r="AK99" s="778"/>
      <c r="AL99" s="778"/>
      <c r="AM99" s="778"/>
      <c r="AN99" s="778"/>
      <c r="AO99" s="778"/>
      <c r="AP99" s="778"/>
      <c r="AQ99" s="778"/>
      <c r="AR99" s="778"/>
      <c r="AS99" s="778"/>
      <c r="AT99" s="778"/>
      <c r="AU99" s="778"/>
      <c r="AV99" s="778"/>
      <c r="AW99" s="778"/>
      <c r="AX99" s="778"/>
      <c r="AY99" s="778"/>
      <c r="AZ99" s="778"/>
      <c r="BA99" s="778"/>
      <c r="BB99" s="778"/>
      <c r="BC99" s="778"/>
      <c r="BD99" s="778"/>
      <c r="BE99" s="778"/>
      <c r="BF99" s="778"/>
      <c r="BG99" s="778"/>
      <c r="BH99" s="778"/>
      <c r="BI99" s="778"/>
      <c r="BJ99" s="778"/>
      <c r="BK99" s="778"/>
      <c r="BL99" s="778"/>
      <c r="BM99" s="778"/>
      <c r="BN99" s="778"/>
      <c r="BO99" s="778"/>
      <c r="BP99" s="778"/>
      <c r="BQ99" s="778"/>
      <c r="BR99" s="778"/>
      <c r="BS99" s="778"/>
      <c r="BT99" s="778"/>
    </row>
    <row r="100" spans="1:72" x14ac:dyDescent="0.25">
      <c r="A100" s="778" t="s">
        <v>465</v>
      </c>
      <c r="B100" s="778">
        <v>19.02</v>
      </c>
      <c r="C100" s="778">
        <v>20.21</v>
      </c>
      <c r="D100" s="778">
        <v>20.04</v>
      </c>
      <c r="E100" s="778">
        <v>19.149999999999999</v>
      </c>
      <c r="F100" s="778">
        <v>17.11</v>
      </c>
      <c r="G100" s="778">
        <v>17.73</v>
      </c>
      <c r="H100" s="778">
        <v>17.62</v>
      </c>
      <c r="I100" s="778">
        <v>17.350000000000001</v>
      </c>
      <c r="J100" s="778">
        <v>17.37</v>
      </c>
      <c r="K100" s="778">
        <v>17.62</v>
      </c>
      <c r="L100" s="778">
        <v>17.75</v>
      </c>
      <c r="M100" s="778">
        <v>17.77</v>
      </c>
      <c r="N100" s="778">
        <v>17.75</v>
      </c>
      <c r="O100" s="778">
        <v>17.920000000000002</v>
      </c>
      <c r="P100" s="778">
        <v>18.07</v>
      </c>
      <c r="Q100" s="778">
        <v>18.190000000000001</v>
      </c>
      <c r="R100" s="778">
        <v>18.38</v>
      </c>
      <c r="S100" s="778">
        <v>18.53</v>
      </c>
      <c r="T100" s="778">
        <v>18.5</v>
      </c>
      <c r="U100" s="778">
        <v>18.61</v>
      </c>
      <c r="V100" s="778">
        <v>18.78</v>
      </c>
      <c r="W100" s="778">
        <v>18.97</v>
      </c>
      <c r="X100" s="778">
        <v>19.3</v>
      </c>
      <c r="Y100" s="778">
        <v>19.579999999999998</v>
      </c>
      <c r="Z100" s="778">
        <v>19.88</v>
      </c>
      <c r="AA100" s="778">
        <v>20.16</v>
      </c>
      <c r="AB100" s="778">
        <v>20.3</v>
      </c>
      <c r="AC100" s="778">
        <v>20.52</v>
      </c>
      <c r="AD100" s="778">
        <v>20.71</v>
      </c>
      <c r="AE100" s="814">
        <v>1E-3</v>
      </c>
      <c r="AF100" s="778"/>
      <c r="AG100" s="778"/>
      <c r="AH100" s="778"/>
      <c r="AI100" s="778"/>
      <c r="AJ100" s="778"/>
      <c r="AK100" s="778"/>
      <c r="AL100" s="778"/>
      <c r="AM100" s="778"/>
      <c r="AN100" s="778"/>
      <c r="AO100" s="778"/>
      <c r="AP100" s="778"/>
      <c r="AQ100" s="778"/>
      <c r="AR100" s="778"/>
      <c r="AS100" s="778"/>
      <c r="AT100" s="778"/>
      <c r="AU100" s="778"/>
      <c r="AV100" s="778"/>
      <c r="AW100" s="778"/>
      <c r="AX100" s="778"/>
      <c r="AY100" s="778"/>
      <c r="AZ100" s="778"/>
      <c r="BA100" s="778"/>
      <c r="BB100" s="778"/>
      <c r="BC100" s="778"/>
      <c r="BD100" s="778"/>
      <c r="BE100" s="778"/>
      <c r="BF100" s="778"/>
      <c r="BG100" s="778"/>
      <c r="BH100" s="778"/>
      <c r="BI100" s="778"/>
      <c r="BJ100" s="778"/>
      <c r="BK100" s="778"/>
      <c r="BL100" s="778"/>
      <c r="BM100" s="778"/>
      <c r="BN100" s="778"/>
      <c r="BO100" s="778"/>
      <c r="BP100" s="778"/>
      <c r="BQ100" s="778"/>
      <c r="BR100" s="778"/>
      <c r="BS100" s="778"/>
      <c r="BT100" s="778"/>
    </row>
    <row r="101" spans="1:72" x14ac:dyDescent="0.25">
      <c r="A101" s="778"/>
      <c r="B101" s="778"/>
      <c r="C101" s="778"/>
      <c r="D101" s="778"/>
      <c r="E101" s="778"/>
      <c r="F101" s="778"/>
      <c r="G101" s="778"/>
      <c r="H101" s="778"/>
      <c r="I101" s="778"/>
      <c r="J101" s="778"/>
      <c r="K101" s="778"/>
      <c r="L101" s="778"/>
      <c r="M101" s="778"/>
      <c r="N101" s="778"/>
      <c r="O101" s="778"/>
      <c r="P101" s="778"/>
      <c r="Q101" s="778"/>
      <c r="R101" s="778"/>
      <c r="S101" s="778"/>
      <c r="T101" s="778"/>
      <c r="U101" s="778"/>
      <c r="V101" s="778"/>
      <c r="W101" s="778"/>
      <c r="X101" s="778"/>
      <c r="Y101" s="778"/>
      <c r="Z101" s="778"/>
      <c r="AA101" s="778"/>
      <c r="AB101" s="778"/>
      <c r="AC101" s="778"/>
      <c r="AD101" s="778"/>
      <c r="AE101" s="778"/>
      <c r="AF101" s="778"/>
      <c r="AG101" s="778"/>
      <c r="AH101" s="778"/>
      <c r="AI101" s="778"/>
      <c r="AJ101" s="778"/>
      <c r="AK101" s="778"/>
      <c r="AL101" s="778"/>
      <c r="AM101" s="778"/>
      <c r="AN101" s="778"/>
      <c r="AO101" s="778"/>
      <c r="AP101" s="778"/>
      <c r="AQ101" s="778"/>
      <c r="AR101" s="778"/>
      <c r="AS101" s="778"/>
      <c r="AT101" s="778"/>
      <c r="AU101" s="778"/>
      <c r="AV101" s="778"/>
      <c r="AW101" s="778"/>
      <c r="AX101" s="778"/>
      <c r="AY101" s="778"/>
      <c r="AZ101" s="778"/>
      <c r="BA101" s="778"/>
      <c r="BB101" s="778"/>
      <c r="BC101" s="778"/>
      <c r="BD101" s="778"/>
      <c r="BE101" s="778"/>
      <c r="BF101" s="778"/>
      <c r="BG101" s="778"/>
      <c r="BH101" s="778"/>
      <c r="BI101" s="778"/>
      <c r="BJ101" s="778"/>
      <c r="BK101" s="778"/>
      <c r="BL101" s="778"/>
      <c r="BM101" s="778"/>
      <c r="BN101" s="778"/>
      <c r="BO101" s="778"/>
      <c r="BP101" s="778"/>
      <c r="BQ101" s="778"/>
      <c r="BR101" s="778"/>
      <c r="BS101" s="778"/>
      <c r="BT101" s="778"/>
    </row>
    <row r="102" spans="1:72" x14ac:dyDescent="0.25">
      <c r="A102" s="778" t="s">
        <v>473</v>
      </c>
      <c r="B102" s="778"/>
      <c r="C102" s="778"/>
      <c r="D102" s="778"/>
      <c r="E102" s="778"/>
      <c r="F102" s="778"/>
      <c r="G102" s="778"/>
      <c r="H102" s="778"/>
      <c r="I102" s="778"/>
      <c r="J102" s="778"/>
      <c r="K102" s="778"/>
      <c r="L102" s="778"/>
      <c r="M102" s="778"/>
      <c r="N102" s="778"/>
      <c r="O102" s="778"/>
      <c r="P102" s="778"/>
      <c r="Q102" s="778"/>
      <c r="R102" s="778"/>
      <c r="S102" s="778"/>
      <c r="T102" s="778"/>
      <c r="U102" s="778"/>
      <c r="V102" s="778"/>
      <c r="W102" s="778"/>
      <c r="X102" s="778"/>
      <c r="Y102" s="778"/>
      <c r="Z102" s="778"/>
      <c r="AA102" s="778"/>
      <c r="AB102" s="778"/>
      <c r="AC102" s="778"/>
      <c r="AD102" s="778"/>
      <c r="AE102" s="778"/>
      <c r="AF102" s="778"/>
      <c r="AG102" s="778"/>
      <c r="AH102" s="778"/>
      <c r="AI102" s="778"/>
      <c r="AJ102" s="778"/>
      <c r="AK102" s="778"/>
      <c r="AL102" s="778"/>
      <c r="AM102" s="778"/>
      <c r="AN102" s="778"/>
      <c r="AO102" s="778"/>
      <c r="AP102" s="778"/>
      <c r="AQ102" s="778"/>
      <c r="AR102" s="778"/>
      <c r="AS102" s="778"/>
      <c r="AT102" s="778"/>
      <c r="AU102" s="778"/>
      <c r="AV102" s="778"/>
      <c r="AW102" s="778"/>
      <c r="AX102" s="778"/>
      <c r="AY102" s="778"/>
      <c r="AZ102" s="778"/>
      <c r="BA102" s="778"/>
      <c r="BB102" s="778"/>
      <c r="BC102" s="778"/>
      <c r="BD102" s="778"/>
      <c r="BE102" s="778"/>
      <c r="BF102" s="778"/>
      <c r="BG102" s="778"/>
      <c r="BH102" s="778"/>
      <c r="BI102" s="778"/>
      <c r="BJ102" s="778"/>
      <c r="BK102" s="778"/>
      <c r="BL102" s="778"/>
      <c r="BM102" s="778"/>
      <c r="BN102" s="778"/>
      <c r="BO102" s="778"/>
      <c r="BP102" s="778"/>
      <c r="BQ102" s="778"/>
      <c r="BR102" s="778"/>
      <c r="BS102" s="778"/>
      <c r="BT102" s="778"/>
    </row>
    <row r="103" spans="1:72" x14ac:dyDescent="0.25">
      <c r="A103" s="778" t="s">
        <v>602</v>
      </c>
      <c r="B103" s="778">
        <v>23.83</v>
      </c>
      <c r="C103" s="778">
        <v>29.93</v>
      </c>
      <c r="D103" s="778">
        <v>25.2</v>
      </c>
      <c r="E103" s="778">
        <v>23.89</v>
      </c>
      <c r="F103" s="778">
        <v>23.98</v>
      </c>
      <c r="G103" s="778">
        <v>25.13</v>
      </c>
      <c r="H103" s="778">
        <v>26.33</v>
      </c>
      <c r="I103" s="778">
        <v>27.29</v>
      </c>
      <c r="J103" s="778">
        <v>27.88</v>
      </c>
      <c r="K103" s="778">
        <v>28.53</v>
      </c>
      <c r="L103" s="778">
        <v>29.07</v>
      </c>
      <c r="M103" s="778">
        <v>29.65</v>
      </c>
      <c r="N103" s="778">
        <v>29.91</v>
      </c>
      <c r="O103" s="778">
        <v>30.13</v>
      </c>
      <c r="P103" s="778">
        <v>30.36</v>
      </c>
      <c r="Q103" s="778">
        <v>30.56</v>
      </c>
      <c r="R103" s="778">
        <v>30.83</v>
      </c>
      <c r="S103" s="778">
        <v>31.1</v>
      </c>
      <c r="T103" s="778">
        <v>31.36</v>
      </c>
      <c r="U103" s="778">
        <v>31.5</v>
      </c>
      <c r="V103" s="778">
        <v>31.77</v>
      </c>
      <c r="W103" s="778">
        <v>32.01</v>
      </c>
      <c r="X103" s="778">
        <v>32.36</v>
      </c>
      <c r="Y103" s="778">
        <v>32.58</v>
      </c>
      <c r="Z103" s="778">
        <v>32.93</v>
      </c>
      <c r="AA103" s="778">
        <v>33.26</v>
      </c>
      <c r="AB103" s="778">
        <v>33.64</v>
      </c>
      <c r="AC103" s="778">
        <v>34</v>
      </c>
      <c r="AD103" s="778">
        <v>34.380000000000003</v>
      </c>
      <c r="AE103" s="814">
        <v>5.0000000000000001E-3</v>
      </c>
      <c r="AF103" s="778"/>
      <c r="AG103" s="778"/>
      <c r="AH103" s="778"/>
      <c r="AI103" s="778"/>
      <c r="AJ103" s="778"/>
      <c r="AK103" s="778"/>
      <c r="AL103" s="778"/>
      <c r="AM103" s="778"/>
      <c r="AN103" s="778"/>
      <c r="AO103" s="778"/>
      <c r="AP103" s="778"/>
      <c r="AQ103" s="778"/>
      <c r="AR103" s="778"/>
      <c r="AS103" s="778"/>
      <c r="AT103" s="778"/>
      <c r="AU103" s="778"/>
      <c r="AV103" s="778"/>
      <c r="AW103" s="778"/>
      <c r="AX103" s="778"/>
      <c r="AY103" s="778"/>
      <c r="AZ103" s="778"/>
      <c r="BA103" s="778"/>
      <c r="BB103" s="778"/>
      <c r="BC103" s="778"/>
      <c r="BD103" s="778"/>
      <c r="BE103" s="778"/>
      <c r="BF103" s="778"/>
      <c r="BG103" s="778"/>
      <c r="BH103" s="778"/>
      <c r="BI103" s="778"/>
      <c r="BJ103" s="778"/>
      <c r="BK103" s="778"/>
      <c r="BL103" s="778"/>
      <c r="BM103" s="778"/>
      <c r="BN103" s="778"/>
      <c r="BO103" s="778"/>
      <c r="BP103" s="778"/>
      <c r="BQ103" s="778"/>
      <c r="BR103" s="778"/>
      <c r="BS103" s="778"/>
      <c r="BT103" s="778"/>
    </row>
    <row r="104" spans="1:72" x14ac:dyDescent="0.25">
      <c r="A104" s="778" t="s">
        <v>603</v>
      </c>
      <c r="B104" s="778">
        <v>27.43</v>
      </c>
      <c r="C104" s="778">
        <v>26.93</v>
      </c>
      <c r="D104" s="778">
        <v>23.29</v>
      </c>
      <c r="E104" s="778">
        <v>20.64</v>
      </c>
      <c r="F104" s="778">
        <v>20.97</v>
      </c>
      <c r="G104" s="778">
        <v>22.13</v>
      </c>
      <c r="H104" s="778">
        <v>24.21</v>
      </c>
      <c r="I104" s="778">
        <v>25.23</v>
      </c>
      <c r="J104" s="778">
        <v>25.55</v>
      </c>
      <c r="K104" s="778">
        <v>25.08</v>
      </c>
      <c r="L104" s="778">
        <v>25.9</v>
      </c>
      <c r="M104" s="778">
        <v>26.54</v>
      </c>
      <c r="N104" s="778">
        <v>26.68</v>
      </c>
      <c r="O104" s="778">
        <v>26.95</v>
      </c>
      <c r="P104" s="778">
        <v>27.32</v>
      </c>
      <c r="Q104" s="778">
        <v>27.82</v>
      </c>
      <c r="R104" s="778">
        <v>28.31</v>
      </c>
      <c r="S104" s="778">
        <v>28.55</v>
      </c>
      <c r="T104" s="778">
        <v>28.86</v>
      </c>
      <c r="U104" s="778">
        <v>29.22</v>
      </c>
      <c r="V104" s="778">
        <v>29.49</v>
      </c>
      <c r="W104" s="778">
        <v>30.03</v>
      </c>
      <c r="X104" s="778">
        <v>30.44</v>
      </c>
      <c r="Y104" s="778">
        <v>30.64</v>
      </c>
      <c r="Z104" s="778">
        <v>30.86</v>
      </c>
      <c r="AA104" s="778">
        <v>31.29</v>
      </c>
      <c r="AB104" s="778">
        <v>31.49</v>
      </c>
      <c r="AC104" s="778">
        <v>31.77</v>
      </c>
      <c r="AD104" s="778">
        <v>32.229999999999997</v>
      </c>
      <c r="AE104" s="814">
        <v>7.0000000000000001E-3</v>
      </c>
      <c r="AF104" s="778"/>
      <c r="AG104" s="778"/>
      <c r="AH104" s="778"/>
      <c r="AI104" s="778"/>
      <c r="AJ104" s="778"/>
      <c r="AK104" s="778"/>
      <c r="AL104" s="778"/>
      <c r="AM104" s="778"/>
      <c r="AN104" s="778"/>
      <c r="AO104" s="778"/>
      <c r="AP104" s="778"/>
      <c r="AQ104" s="778"/>
      <c r="AR104" s="778"/>
      <c r="AS104" s="778"/>
      <c r="AT104" s="778"/>
      <c r="AU104" s="778"/>
      <c r="AV104" s="778"/>
      <c r="AW104" s="778"/>
      <c r="AX104" s="778"/>
      <c r="AY104" s="778"/>
      <c r="AZ104" s="778"/>
      <c r="BA104" s="778"/>
      <c r="BB104" s="778"/>
      <c r="BC104" s="778"/>
      <c r="BD104" s="778"/>
      <c r="BE104" s="778"/>
      <c r="BF104" s="778"/>
      <c r="BG104" s="778"/>
      <c r="BH104" s="778"/>
      <c r="BI104" s="778"/>
      <c r="BJ104" s="778"/>
      <c r="BK104" s="778"/>
      <c r="BL104" s="778"/>
      <c r="BM104" s="778"/>
      <c r="BN104" s="778"/>
      <c r="BO104" s="778"/>
      <c r="BP104" s="778"/>
      <c r="BQ104" s="778"/>
      <c r="BR104" s="778"/>
      <c r="BS104" s="778"/>
      <c r="BT104" s="778"/>
    </row>
    <row r="105" spans="1:72" x14ac:dyDescent="0.25">
      <c r="A105" s="778" t="s">
        <v>604</v>
      </c>
      <c r="B105" s="778">
        <v>23.66</v>
      </c>
      <c r="C105" s="778">
        <v>26.76</v>
      </c>
      <c r="D105" s="778">
        <v>19.14</v>
      </c>
      <c r="E105" s="778">
        <v>20.55</v>
      </c>
      <c r="F105" s="778">
        <v>20.88</v>
      </c>
      <c r="G105" s="778">
        <v>22.03</v>
      </c>
      <c r="H105" s="778">
        <v>24.02</v>
      </c>
      <c r="I105" s="778">
        <v>24.94</v>
      </c>
      <c r="J105" s="778">
        <v>25.37</v>
      </c>
      <c r="K105" s="778">
        <v>25.94</v>
      </c>
      <c r="L105" s="778">
        <v>26.47</v>
      </c>
      <c r="M105" s="778">
        <v>26.89</v>
      </c>
      <c r="N105" s="778">
        <v>27.2</v>
      </c>
      <c r="O105" s="778">
        <v>27.59</v>
      </c>
      <c r="P105" s="778">
        <v>27.82</v>
      </c>
      <c r="Q105" s="778">
        <v>28.18</v>
      </c>
      <c r="R105" s="778">
        <v>28.42</v>
      </c>
      <c r="S105" s="778">
        <v>28.54</v>
      </c>
      <c r="T105" s="778">
        <v>28.87</v>
      </c>
      <c r="U105" s="778">
        <v>29.19</v>
      </c>
      <c r="V105" s="778">
        <v>29.47</v>
      </c>
      <c r="W105" s="778">
        <v>29.9</v>
      </c>
      <c r="X105" s="778">
        <v>30.27</v>
      </c>
      <c r="Y105" s="778">
        <v>30.42</v>
      </c>
      <c r="Z105" s="778">
        <v>30.77</v>
      </c>
      <c r="AA105" s="778">
        <v>31.16</v>
      </c>
      <c r="AB105" s="778">
        <v>31.44</v>
      </c>
      <c r="AC105" s="778">
        <v>31.81</v>
      </c>
      <c r="AD105" s="778">
        <v>32.33</v>
      </c>
      <c r="AE105" s="814">
        <v>7.0000000000000001E-3</v>
      </c>
      <c r="AF105" s="778"/>
      <c r="AG105" s="778"/>
      <c r="AH105" s="778"/>
      <c r="AI105" s="778"/>
      <c r="AJ105" s="778"/>
      <c r="AK105" s="778"/>
      <c r="AL105" s="778"/>
      <c r="AM105" s="778"/>
      <c r="AN105" s="778"/>
      <c r="AO105" s="778"/>
      <c r="AP105" s="778"/>
      <c r="AQ105" s="778"/>
      <c r="AR105" s="778"/>
      <c r="AS105" s="778"/>
      <c r="AT105" s="778"/>
      <c r="AU105" s="778"/>
      <c r="AV105" s="778"/>
      <c r="AW105" s="778"/>
      <c r="AX105" s="778"/>
      <c r="AY105" s="778"/>
      <c r="AZ105" s="778"/>
      <c r="BA105" s="778"/>
      <c r="BB105" s="778"/>
      <c r="BC105" s="778"/>
      <c r="BD105" s="778"/>
      <c r="BE105" s="778"/>
      <c r="BF105" s="778"/>
      <c r="BG105" s="778"/>
      <c r="BH105" s="778"/>
      <c r="BI105" s="778"/>
      <c r="BJ105" s="778"/>
      <c r="BK105" s="778"/>
      <c r="BL105" s="778"/>
      <c r="BM105" s="778"/>
      <c r="BN105" s="778"/>
      <c r="BO105" s="778"/>
      <c r="BP105" s="778"/>
      <c r="BQ105" s="778"/>
      <c r="BR105" s="778"/>
      <c r="BS105" s="778"/>
      <c r="BT105" s="778"/>
    </row>
    <row r="106" spans="1:72" x14ac:dyDescent="0.25">
      <c r="A106" s="778" t="s">
        <v>605</v>
      </c>
      <c r="B106" s="778">
        <v>15.77</v>
      </c>
      <c r="C106" s="778">
        <v>22.71</v>
      </c>
      <c r="D106" s="778">
        <v>12.73</v>
      </c>
      <c r="E106" s="778">
        <v>14.79</v>
      </c>
      <c r="F106" s="778">
        <v>15.16</v>
      </c>
      <c r="G106" s="778">
        <v>16.54</v>
      </c>
      <c r="H106" s="778">
        <v>17.690000000000001</v>
      </c>
      <c r="I106" s="778">
        <v>18.46</v>
      </c>
      <c r="J106" s="778">
        <v>19.04</v>
      </c>
      <c r="K106" s="778">
        <v>19.760000000000002</v>
      </c>
      <c r="L106" s="778">
        <v>20.41</v>
      </c>
      <c r="M106" s="778">
        <v>20.97</v>
      </c>
      <c r="N106" s="778">
        <v>21.35</v>
      </c>
      <c r="O106" s="778">
        <v>21.69</v>
      </c>
      <c r="P106" s="778">
        <v>21.85</v>
      </c>
      <c r="Q106" s="778">
        <v>22.09</v>
      </c>
      <c r="R106" s="778">
        <v>22.41</v>
      </c>
      <c r="S106" s="778">
        <v>22.61</v>
      </c>
      <c r="T106" s="778">
        <v>22.92</v>
      </c>
      <c r="U106" s="778">
        <v>23.19</v>
      </c>
      <c r="V106" s="778">
        <v>23.48</v>
      </c>
      <c r="W106" s="778">
        <v>23.9</v>
      </c>
      <c r="X106" s="778">
        <v>24.26</v>
      </c>
      <c r="Y106" s="778">
        <v>24.51</v>
      </c>
      <c r="Z106" s="778">
        <v>24.9</v>
      </c>
      <c r="AA106" s="778">
        <v>25.3</v>
      </c>
      <c r="AB106" s="778">
        <v>25.64</v>
      </c>
      <c r="AC106" s="778">
        <v>26.05</v>
      </c>
      <c r="AD106" s="778">
        <v>26.48</v>
      </c>
      <c r="AE106" s="814">
        <v>6.0000000000000001E-3</v>
      </c>
      <c r="AF106" s="778"/>
      <c r="AG106" s="778"/>
      <c r="AH106" s="778"/>
      <c r="AI106" s="778"/>
      <c r="AJ106" s="778"/>
      <c r="AK106" s="778"/>
      <c r="AL106" s="778"/>
      <c r="AM106" s="778"/>
      <c r="AN106" s="778"/>
      <c r="AO106" s="778"/>
      <c r="AP106" s="778"/>
      <c r="AQ106" s="778"/>
      <c r="AR106" s="778"/>
      <c r="AS106" s="778"/>
      <c r="AT106" s="778"/>
      <c r="AU106" s="778"/>
      <c r="AV106" s="778"/>
      <c r="AW106" s="778"/>
      <c r="AX106" s="778"/>
      <c r="AY106" s="778"/>
      <c r="AZ106" s="778"/>
      <c r="BA106" s="778"/>
      <c r="BB106" s="778"/>
      <c r="BC106" s="778"/>
      <c r="BD106" s="778"/>
      <c r="BE106" s="778"/>
      <c r="BF106" s="778"/>
      <c r="BG106" s="778"/>
      <c r="BH106" s="778"/>
      <c r="BI106" s="778"/>
      <c r="BJ106" s="778"/>
      <c r="BK106" s="778"/>
      <c r="BL106" s="778"/>
      <c r="BM106" s="778"/>
      <c r="BN106" s="778"/>
      <c r="BO106" s="778"/>
      <c r="BP106" s="778"/>
      <c r="BQ106" s="778"/>
      <c r="BR106" s="778"/>
      <c r="BS106" s="778"/>
      <c r="BT106" s="778"/>
    </row>
    <row r="107" spans="1:72" x14ac:dyDescent="0.25">
      <c r="A107" s="778" t="s">
        <v>709</v>
      </c>
      <c r="B107" s="778">
        <v>21.55</v>
      </c>
      <c r="C107" s="778">
        <v>27.65</v>
      </c>
      <c r="D107" s="778">
        <v>17.77</v>
      </c>
      <c r="E107" s="778">
        <v>19.12</v>
      </c>
      <c r="F107" s="778">
        <v>19.309999999999999</v>
      </c>
      <c r="G107" s="778">
        <v>20.51</v>
      </c>
      <c r="H107" s="778">
        <v>21.54</v>
      </c>
      <c r="I107" s="778">
        <v>22.25</v>
      </c>
      <c r="J107" s="778">
        <v>22.93</v>
      </c>
      <c r="K107" s="778">
        <v>23.68</v>
      </c>
      <c r="L107" s="778">
        <v>24.26</v>
      </c>
      <c r="M107" s="778">
        <v>24.91</v>
      </c>
      <c r="N107" s="778">
        <v>25.29</v>
      </c>
      <c r="O107" s="778">
        <v>25.6</v>
      </c>
      <c r="P107" s="778">
        <v>25.79</v>
      </c>
      <c r="Q107" s="778">
        <v>26.12</v>
      </c>
      <c r="R107" s="778">
        <v>26.26</v>
      </c>
      <c r="S107" s="778">
        <v>26.34</v>
      </c>
      <c r="T107" s="778">
        <v>26.63</v>
      </c>
      <c r="U107" s="778">
        <v>26.83</v>
      </c>
      <c r="V107" s="778">
        <v>27.09</v>
      </c>
      <c r="W107" s="778">
        <v>27.4</v>
      </c>
      <c r="X107" s="778">
        <v>27.8</v>
      </c>
      <c r="Y107" s="778">
        <v>27.96</v>
      </c>
      <c r="Z107" s="778">
        <v>28.38</v>
      </c>
      <c r="AA107" s="778">
        <v>28.78</v>
      </c>
      <c r="AB107" s="778">
        <v>29.09</v>
      </c>
      <c r="AC107" s="778">
        <v>29.49</v>
      </c>
      <c r="AD107" s="778">
        <v>29.96</v>
      </c>
      <c r="AE107" s="814">
        <v>3.0000000000000001E-3</v>
      </c>
      <c r="AF107" s="778"/>
      <c r="AG107" s="778"/>
      <c r="AH107" s="778"/>
      <c r="AI107" s="778"/>
      <c r="AJ107" s="778"/>
      <c r="AK107" s="778"/>
      <c r="AL107" s="778"/>
      <c r="AM107" s="778"/>
      <c r="AN107" s="778"/>
      <c r="AO107" s="778"/>
      <c r="AP107" s="778"/>
      <c r="AQ107" s="778"/>
      <c r="AR107" s="778"/>
      <c r="AS107" s="778"/>
      <c r="AT107" s="778"/>
      <c r="AU107" s="778"/>
      <c r="AV107" s="778"/>
      <c r="AW107" s="778"/>
      <c r="AX107" s="778"/>
      <c r="AY107" s="778"/>
      <c r="AZ107" s="778"/>
      <c r="BA107" s="778"/>
      <c r="BB107" s="778"/>
      <c r="BC107" s="778"/>
      <c r="BD107" s="778"/>
      <c r="BE107" s="778"/>
      <c r="BF107" s="778"/>
      <c r="BG107" s="778"/>
      <c r="BH107" s="778"/>
      <c r="BI107" s="778"/>
      <c r="BJ107" s="778"/>
      <c r="BK107" s="778"/>
      <c r="BL107" s="778"/>
      <c r="BM107" s="778"/>
      <c r="BN107" s="778"/>
      <c r="BO107" s="778"/>
      <c r="BP107" s="778"/>
      <c r="BQ107" s="778"/>
      <c r="BR107" s="778"/>
      <c r="BS107" s="778"/>
      <c r="BT107" s="778"/>
    </row>
    <row r="108" spans="1:72" x14ac:dyDescent="0.25">
      <c r="A108" s="778" t="s">
        <v>596</v>
      </c>
      <c r="B108" s="778">
        <v>9.19</v>
      </c>
      <c r="C108" s="778">
        <v>14.49</v>
      </c>
      <c r="D108" s="778">
        <v>8.86</v>
      </c>
      <c r="E108" s="778">
        <v>10.210000000000001</v>
      </c>
      <c r="F108" s="778">
        <v>10.32</v>
      </c>
      <c r="G108" s="778">
        <v>11.5</v>
      </c>
      <c r="H108" s="778">
        <v>12.44</v>
      </c>
      <c r="I108" s="778">
        <v>13.18</v>
      </c>
      <c r="J108" s="778">
        <v>13.58</v>
      </c>
      <c r="K108" s="778">
        <v>13.9</v>
      </c>
      <c r="L108" s="778">
        <v>14.43</v>
      </c>
      <c r="M108" s="778">
        <v>14.81</v>
      </c>
      <c r="N108" s="778">
        <v>14.97</v>
      </c>
      <c r="O108" s="778">
        <v>14.99</v>
      </c>
      <c r="P108" s="778">
        <v>15.23</v>
      </c>
      <c r="Q108" s="778">
        <v>15.34</v>
      </c>
      <c r="R108" s="778">
        <v>15.55</v>
      </c>
      <c r="S108" s="778">
        <v>15.75</v>
      </c>
      <c r="T108" s="778">
        <v>15.93</v>
      </c>
      <c r="U108" s="778">
        <v>15.98</v>
      </c>
      <c r="V108" s="778">
        <v>16.27</v>
      </c>
      <c r="W108" s="778">
        <v>16.5</v>
      </c>
      <c r="X108" s="778">
        <v>16.8</v>
      </c>
      <c r="Y108" s="778">
        <v>17.100000000000001</v>
      </c>
      <c r="Z108" s="778">
        <v>17.420000000000002</v>
      </c>
      <c r="AA108" s="778">
        <v>17.690000000000001</v>
      </c>
      <c r="AB108" s="778">
        <v>17.93</v>
      </c>
      <c r="AC108" s="778">
        <v>18.239999999999998</v>
      </c>
      <c r="AD108" s="778">
        <v>18.600000000000001</v>
      </c>
      <c r="AE108" s="814">
        <v>8.9999999999999993E-3</v>
      </c>
      <c r="AF108" s="778"/>
      <c r="AG108" s="778"/>
      <c r="AH108" s="778"/>
      <c r="AI108" s="778"/>
      <c r="AJ108" s="778"/>
      <c r="AK108" s="778"/>
      <c r="AL108" s="778"/>
      <c r="AM108" s="778"/>
      <c r="AN108" s="778"/>
      <c r="AO108" s="778"/>
      <c r="AP108" s="778"/>
      <c r="AQ108" s="778"/>
      <c r="AR108" s="778"/>
      <c r="AS108" s="778"/>
      <c r="AT108" s="778"/>
      <c r="AU108" s="778"/>
      <c r="AV108" s="778"/>
      <c r="AW108" s="778"/>
      <c r="AX108" s="778"/>
      <c r="AY108" s="778"/>
      <c r="AZ108" s="778"/>
      <c r="BA108" s="778"/>
      <c r="BB108" s="778"/>
      <c r="BC108" s="778"/>
      <c r="BD108" s="778"/>
      <c r="BE108" s="778"/>
      <c r="BF108" s="778"/>
      <c r="BG108" s="778"/>
      <c r="BH108" s="778"/>
      <c r="BI108" s="778"/>
      <c r="BJ108" s="778"/>
      <c r="BK108" s="778"/>
      <c r="BL108" s="778"/>
      <c r="BM108" s="778"/>
      <c r="BN108" s="778"/>
      <c r="BO108" s="778"/>
      <c r="BP108" s="778"/>
      <c r="BQ108" s="778"/>
      <c r="BR108" s="778"/>
      <c r="BS108" s="778"/>
      <c r="BT108" s="778"/>
    </row>
    <row r="109" spans="1:72" x14ac:dyDescent="0.25">
      <c r="A109" s="778" t="s">
        <v>607</v>
      </c>
      <c r="B109" s="778">
        <v>13.84</v>
      </c>
      <c r="C109" s="778">
        <v>15.96</v>
      </c>
      <c r="D109" s="778">
        <v>11.36</v>
      </c>
      <c r="E109" s="778">
        <v>12</v>
      </c>
      <c r="F109" s="778">
        <v>13.09</v>
      </c>
      <c r="G109" s="778">
        <v>13.49</v>
      </c>
      <c r="H109" s="778">
        <v>13.36</v>
      </c>
      <c r="I109" s="778">
        <v>13.25</v>
      </c>
      <c r="J109" s="778">
        <v>13.37</v>
      </c>
      <c r="K109" s="778">
        <v>13.41</v>
      </c>
      <c r="L109" s="778">
        <v>13.38</v>
      </c>
      <c r="M109" s="778">
        <v>13.37</v>
      </c>
      <c r="N109" s="778">
        <v>13.38</v>
      </c>
      <c r="O109" s="778">
        <v>13.44</v>
      </c>
      <c r="P109" s="778">
        <v>13.46</v>
      </c>
      <c r="Q109" s="778">
        <v>13.58</v>
      </c>
      <c r="R109" s="778">
        <v>13.54</v>
      </c>
      <c r="S109" s="778">
        <v>13.41</v>
      </c>
      <c r="T109" s="778">
        <v>13.43</v>
      </c>
      <c r="U109" s="778">
        <v>13.54</v>
      </c>
      <c r="V109" s="778">
        <v>13.65</v>
      </c>
      <c r="W109" s="778">
        <v>13.83</v>
      </c>
      <c r="X109" s="778">
        <v>14</v>
      </c>
      <c r="Y109" s="778">
        <v>14.19</v>
      </c>
      <c r="Z109" s="778">
        <v>14.46</v>
      </c>
      <c r="AA109" s="778">
        <v>14.54</v>
      </c>
      <c r="AB109" s="778">
        <v>14.55</v>
      </c>
      <c r="AC109" s="778">
        <v>14.7</v>
      </c>
      <c r="AD109" s="778">
        <v>14.78</v>
      </c>
      <c r="AE109" s="814">
        <v>-3.0000000000000001E-3</v>
      </c>
      <c r="AF109" s="778"/>
      <c r="AG109" s="778"/>
      <c r="AH109" s="778"/>
      <c r="AI109" s="778"/>
      <c r="AJ109" s="778"/>
      <c r="AK109" s="778"/>
      <c r="AL109" s="778"/>
      <c r="AM109" s="778"/>
      <c r="AN109" s="778"/>
      <c r="AO109" s="778"/>
      <c r="AP109" s="778"/>
      <c r="AQ109" s="778"/>
      <c r="AR109" s="778"/>
      <c r="AS109" s="778"/>
      <c r="AT109" s="778"/>
      <c r="AU109" s="778"/>
      <c r="AV109" s="778"/>
      <c r="AW109" s="778"/>
      <c r="AX109" s="778"/>
      <c r="AY109" s="778"/>
      <c r="AZ109" s="778"/>
      <c r="BA109" s="778"/>
      <c r="BB109" s="778"/>
      <c r="BC109" s="778"/>
      <c r="BD109" s="778"/>
      <c r="BE109" s="778"/>
      <c r="BF109" s="778"/>
      <c r="BG109" s="778"/>
      <c r="BH109" s="778"/>
      <c r="BI109" s="778"/>
      <c r="BJ109" s="778"/>
      <c r="BK109" s="778"/>
      <c r="BL109" s="778"/>
      <c r="BM109" s="778"/>
      <c r="BN109" s="778"/>
      <c r="BO109" s="778"/>
      <c r="BP109" s="778"/>
      <c r="BQ109" s="778"/>
      <c r="BR109" s="778"/>
      <c r="BS109" s="778"/>
      <c r="BT109" s="778"/>
    </row>
    <row r="110" spans="1:72" x14ac:dyDescent="0.25">
      <c r="A110" s="778" t="s">
        <v>465</v>
      </c>
      <c r="B110" s="778">
        <v>32.03</v>
      </c>
      <c r="C110" s="778">
        <v>33.729999999999997</v>
      </c>
      <c r="D110" s="778">
        <v>32.299999999999997</v>
      </c>
      <c r="E110" s="778">
        <v>30.29</v>
      </c>
      <c r="F110" s="778">
        <v>27.63</v>
      </c>
      <c r="G110" s="778">
        <v>29.66</v>
      </c>
      <c r="H110" s="778">
        <v>29.72</v>
      </c>
      <c r="I110" s="778">
        <v>29.07</v>
      </c>
      <c r="J110" s="778">
        <v>28.79</v>
      </c>
      <c r="K110" s="778">
        <v>29.01</v>
      </c>
      <c r="L110" s="778">
        <v>29.04</v>
      </c>
      <c r="M110" s="778">
        <v>28.87</v>
      </c>
      <c r="N110" s="778">
        <v>28.59</v>
      </c>
      <c r="O110" s="778">
        <v>28.55</v>
      </c>
      <c r="P110" s="778">
        <v>28.54</v>
      </c>
      <c r="Q110" s="778">
        <v>28.43</v>
      </c>
      <c r="R110" s="778">
        <v>28.48</v>
      </c>
      <c r="S110" s="778">
        <v>28.64</v>
      </c>
      <c r="T110" s="778">
        <v>28.63</v>
      </c>
      <c r="U110" s="778">
        <v>28.88</v>
      </c>
      <c r="V110" s="778">
        <v>29.32</v>
      </c>
      <c r="W110" s="778">
        <v>29.79</v>
      </c>
      <c r="X110" s="778">
        <v>30.51</v>
      </c>
      <c r="Y110" s="778">
        <v>31.01</v>
      </c>
      <c r="Z110" s="778">
        <v>31.61</v>
      </c>
      <c r="AA110" s="778">
        <v>32.15</v>
      </c>
      <c r="AB110" s="778">
        <v>32.47</v>
      </c>
      <c r="AC110" s="778">
        <v>32.89</v>
      </c>
      <c r="AD110" s="778">
        <v>33.26</v>
      </c>
      <c r="AE110" s="814">
        <v>-1E-3</v>
      </c>
      <c r="AF110" s="778"/>
      <c r="AG110" s="778"/>
      <c r="AH110" s="778"/>
      <c r="AI110" s="778"/>
      <c r="AJ110" s="778"/>
      <c r="AK110" s="778"/>
      <c r="AL110" s="778"/>
      <c r="AM110" s="778"/>
      <c r="AN110" s="778"/>
      <c r="AO110" s="778"/>
      <c r="AP110" s="778"/>
      <c r="AQ110" s="778"/>
      <c r="AR110" s="778"/>
      <c r="AS110" s="778"/>
      <c r="AT110" s="778"/>
      <c r="AU110" s="778"/>
      <c r="AV110" s="778"/>
      <c r="AW110" s="778"/>
      <c r="AX110" s="778"/>
      <c r="AY110" s="778"/>
      <c r="AZ110" s="778"/>
      <c r="BA110" s="778"/>
      <c r="BB110" s="778"/>
      <c r="BC110" s="778"/>
      <c r="BD110" s="778"/>
      <c r="BE110" s="778"/>
      <c r="BF110" s="778"/>
      <c r="BG110" s="778"/>
      <c r="BH110" s="778"/>
      <c r="BI110" s="778"/>
      <c r="BJ110" s="778"/>
      <c r="BK110" s="778"/>
      <c r="BL110" s="778"/>
      <c r="BM110" s="778"/>
      <c r="BN110" s="778"/>
      <c r="BO110" s="778"/>
      <c r="BP110" s="778"/>
      <c r="BQ110" s="778"/>
      <c r="BR110" s="778"/>
      <c r="BS110" s="778"/>
      <c r="BT110" s="778"/>
    </row>
    <row r="111" spans="1:72" x14ac:dyDescent="0.25">
      <c r="A111" s="778"/>
      <c r="B111" s="778"/>
      <c r="C111" s="778"/>
      <c r="D111" s="778"/>
      <c r="E111" s="778"/>
      <c r="F111" s="778"/>
      <c r="G111" s="778"/>
      <c r="H111" s="778"/>
      <c r="I111" s="778"/>
      <c r="J111" s="778"/>
      <c r="K111" s="778"/>
      <c r="L111" s="778"/>
      <c r="M111" s="778"/>
      <c r="N111" s="778"/>
      <c r="O111" s="778"/>
      <c r="P111" s="778"/>
      <c r="Q111" s="778"/>
      <c r="R111" s="778"/>
      <c r="S111" s="778"/>
      <c r="T111" s="778"/>
      <c r="U111" s="778"/>
      <c r="V111" s="778"/>
      <c r="W111" s="778"/>
      <c r="X111" s="778"/>
      <c r="Y111" s="778"/>
      <c r="Z111" s="778"/>
      <c r="AA111" s="778"/>
      <c r="AB111" s="778"/>
      <c r="AC111" s="778"/>
      <c r="AD111" s="778"/>
      <c r="AE111" s="778"/>
      <c r="AF111" s="778"/>
      <c r="AG111" s="778"/>
      <c r="AH111" s="778"/>
      <c r="AI111" s="778"/>
      <c r="AJ111" s="778"/>
      <c r="AK111" s="778"/>
      <c r="AL111" s="778"/>
      <c r="AM111" s="778"/>
      <c r="AN111" s="778"/>
      <c r="AO111" s="778"/>
      <c r="AP111" s="778"/>
      <c r="AQ111" s="778"/>
      <c r="AR111" s="778"/>
      <c r="AS111" s="778"/>
      <c r="AT111" s="778"/>
      <c r="AU111" s="778"/>
      <c r="AV111" s="778"/>
      <c r="AW111" s="778"/>
      <c r="AX111" s="778"/>
      <c r="AY111" s="778"/>
      <c r="AZ111" s="778"/>
      <c r="BA111" s="778"/>
      <c r="BB111" s="778"/>
      <c r="BC111" s="778"/>
      <c r="BD111" s="778"/>
      <c r="BE111" s="778"/>
      <c r="BF111" s="778"/>
      <c r="BG111" s="778"/>
      <c r="BH111" s="778"/>
      <c r="BI111" s="778"/>
      <c r="BJ111" s="778"/>
      <c r="BK111" s="778"/>
      <c r="BL111" s="778"/>
      <c r="BM111" s="778"/>
      <c r="BN111" s="778"/>
      <c r="BO111" s="778"/>
      <c r="BP111" s="778"/>
      <c r="BQ111" s="778"/>
      <c r="BR111" s="778"/>
      <c r="BS111" s="778"/>
      <c r="BT111" s="778"/>
    </row>
    <row r="112" spans="1:72" x14ac:dyDescent="0.25">
      <c r="A112" s="778" t="s">
        <v>608</v>
      </c>
      <c r="B112" s="778"/>
      <c r="C112" s="778"/>
      <c r="D112" s="778"/>
      <c r="E112" s="778"/>
      <c r="F112" s="778"/>
      <c r="G112" s="778"/>
      <c r="H112" s="778"/>
      <c r="I112" s="778"/>
      <c r="J112" s="778"/>
      <c r="K112" s="778"/>
      <c r="L112" s="778"/>
      <c r="M112" s="778"/>
      <c r="N112" s="778"/>
      <c r="O112" s="778"/>
      <c r="P112" s="778"/>
      <c r="Q112" s="778"/>
      <c r="R112" s="778"/>
      <c r="S112" s="778"/>
      <c r="T112" s="778"/>
      <c r="U112" s="778"/>
      <c r="V112" s="778"/>
      <c r="W112" s="778"/>
      <c r="X112" s="778"/>
      <c r="Y112" s="778"/>
      <c r="Z112" s="778"/>
      <c r="AA112" s="778"/>
      <c r="AB112" s="778"/>
      <c r="AC112" s="778"/>
      <c r="AD112" s="778"/>
      <c r="AE112" s="778"/>
      <c r="AF112" s="778"/>
      <c r="AG112" s="778"/>
      <c r="AH112" s="778"/>
      <c r="AI112" s="778"/>
      <c r="AJ112" s="778"/>
      <c r="AK112" s="778"/>
      <c r="AL112" s="778"/>
      <c r="AM112" s="778"/>
      <c r="AN112" s="778"/>
      <c r="AO112" s="778"/>
      <c r="AP112" s="778"/>
      <c r="AQ112" s="778"/>
      <c r="AR112" s="778"/>
      <c r="AS112" s="778"/>
      <c r="AT112" s="778"/>
      <c r="AU112" s="778"/>
      <c r="AV112" s="778"/>
      <c r="AW112" s="778"/>
      <c r="AX112" s="778"/>
      <c r="AY112" s="778"/>
      <c r="AZ112" s="778"/>
      <c r="BA112" s="778"/>
      <c r="BB112" s="778"/>
      <c r="BC112" s="778"/>
      <c r="BD112" s="778"/>
      <c r="BE112" s="778"/>
      <c r="BF112" s="778"/>
      <c r="BG112" s="778"/>
      <c r="BH112" s="778"/>
      <c r="BI112" s="778"/>
      <c r="BJ112" s="778"/>
      <c r="BK112" s="778"/>
      <c r="BL112" s="778"/>
      <c r="BM112" s="778"/>
      <c r="BN112" s="778"/>
      <c r="BO112" s="778"/>
      <c r="BP112" s="778"/>
      <c r="BQ112" s="778"/>
      <c r="BR112" s="778"/>
      <c r="BS112" s="778"/>
      <c r="BT112" s="778"/>
    </row>
    <row r="113" spans="1:72" x14ac:dyDescent="0.25">
      <c r="A113" s="778" t="s">
        <v>595</v>
      </c>
      <c r="B113" s="778">
        <v>15.75</v>
      </c>
      <c r="C113" s="778">
        <v>19.37</v>
      </c>
      <c r="D113" s="778">
        <v>14.24</v>
      </c>
      <c r="E113" s="778">
        <v>13.91</v>
      </c>
      <c r="F113" s="778">
        <v>14.06</v>
      </c>
      <c r="G113" s="778">
        <v>15.2</v>
      </c>
      <c r="H113" s="778">
        <v>16.21</v>
      </c>
      <c r="I113" s="778">
        <v>16.89</v>
      </c>
      <c r="J113" s="778">
        <v>17.36</v>
      </c>
      <c r="K113" s="778">
        <v>18.22</v>
      </c>
      <c r="L113" s="778">
        <v>18.88</v>
      </c>
      <c r="M113" s="778">
        <v>19.510000000000002</v>
      </c>
      <c r="N113" s="778">
        <v>19.920000000000002</v>
      </c>
      <c r="O113" s="778">
        <v>20.25</v>
      </c>
      <c r="P113" s="778">
        <v>20.399999999999999</v>
      </c>
      <c r="Q113" s="778">
        <v>20.58</v>
      </c>
      <c r="R113" s="778">
        <v>20.89</v>
      </c>
      <c r="S113" s="778">
        <v>21.07</v>
      </c>
      <c r="T113" s="778">
        <v>21.35</v>
      </c>
      <c r="U113" s="778">
        <v>21.6</v>
      </c>
      <c r="V113" s="778">
        <v>21.83</v>
      </c>
      <c r="W113" s="778">
        <v>22.14</v>
      </c>
      <c r="X113" s="778">
        <v>22.54</v>
      </c>
      <c r="Y113" s="778">
        <v>22.71</v>
      </c>
      <c r="Z113" s="778">
        <v>23.14</v>
      </c>
      <c r="AA113" s="778">
        <v>23.54</v>
      </c>
      <c r="AB113" s="778">
        <v>23.87</v>
      </c>
      <c r="AC113" s="778">
        <v>24.28</v>
      </c>
      <c r="AD113" s="778">
        <v>24.7</v>
      </c>
      <c r="AE113" s="814">
        <v>8.9999999999999993E-3</v>
      </c>
      <c r="AF113" s="778"/>
      <c r="AG113" s="778"/>
      <c r="AH113" s="778"/>
      <c r="AI113" s="778"/>
      <c r="AJ113" s="778"/>
      <c r="AK113" s="778"/>
      <c r="AL113" s="778"/>
      <c r="AM113" s="778"/>
      <c r="AN113" s="778"/>
      <c r="AO113" s="778"/>
      <c r="AP113" s="778"/>
      <c r="AQ113" s="778"/>
      <c r="AR113" s="778"/>
      <c r="AS113" s="778"/>
      <c r="AT113" s="778"/>
      <c r="AU113" s="778"/>
      <c r="AV113" s="778"/>
      <c r="AW113" s="778"/>
      <c r="AX113" s="778"/>
      <c r="AY113" s="778"/>
      <c r="AZ113" s="778"/>
      <c r="BA113" s="778"/>
      <c r="BB113" s="778"/>
      <c r="BC113" s="778"/>
      <c r="BD113" s="778"/>
      <c r="BE113" s="778"/>
      <c r="BF113" s="778"/>
      <c r="BG113" s="778"/>
      <c r="BH113" s="778"/>
      <c r="BI113" s="778"/>
      <c r="BJ113" s="778"/>
      <c r="BK113" s="778"/>
      <c r="BL113" s="778"/>
      <c r="BM113" s="778"/>
      <c r="BN113" s="778"/>
      <c r="BO113" s="778"/>
      <c r="BP113" s="778"/>
      <c r="BQ113" s="778"/>
      <c r="BR113" s="778"/>
      <c r="BS113" s="778"/>
      <c r="BT113" s="778"/>
    </row>
    <row r="114" spans="1:72" x14ac:dyDescent="0.25">
      <c r="A114" s="778" t="s">
        <v>596</v>
      </c>
      <c r="B114" s="778">
        <v>9.0399999999999991</v>
      </c>
      <c r="C114" s="778">
        <v>14.56</v>
      </c>
      <c r="D114" s="778">
        <v>8.7799999999999994</v>
      </c>
      <c r="E114" s="778">
        <v>12</v>
      </c>
      <c r="F114" s="778">
        <v>12.17</v>
      </c>
      <c r="G114" s="778">
        <v>13.34</v>
      </c>
      <c r="H114" s="778">
        <v>14.37</v>
      </c>
      <c r="I114" s="778">
        <v>15.11</v>
      </c>
      <c r="J114" s="778">
        <v>15.53</v>
      </c>
      <c r="K114" s="778">
        <v>15.93</v>
      </c>
      <c r="L114" s="778">
        <v>16.45</v>
      </c>
      <c r="M114" s="778">
        <v>16.89</v>
      </c>
      <c r="N114" s="778">
        <v>17.14</v>
      </c>
      <c r="O114" s="778">
        <v>17.22</v>
      </c>
      <c r="P114" s="778">
        <v>17.47</v>
      </c>
      <c r="Q114" s="778">
        <v>17.63</v>
      </c>
      <c r="R114" s="778">
        <v>17.850000000000001</v>
      </c>
      <c r="S114" s="778">
        <v>18.079999999999998</v>
      </c>
      <c r="T114" s="778">
        <v>18.3</v>
      </c>
      <c r="U114" s="778">
        <v>18.38</v>
      </c>
      <c r="V114" s="778">
        <v>18.68</v>
      </c>
      <c r="W114" s="778">
        <v>18.940000000000001</v>
      </c>
      <c r="X114" s="778">
        <v>19.23</v>
      </c>
      <c r="Y114" s="778">
        <v>19.55</v>
      </c>
      <c r="Z114" s="778">
        <v>19.899999999999999</v>
      </c>
      <c r="AA114" s="778">
        <v>20.190000000000001</v>
      </c>
      <c r="AB114" s="778">
        <v>20.43</v>
      </c>
      <c r="AC114" s="778">
        <v>20.77</v>
      </c>
      <c r="AD114" s="778">
        <v>21.12</v>
      </c>
      <c r="AE114" s="814">
        <v>1.4E-2</v>
      </c>
      <c r="AF114" s="778"/>
      <c r="AG114" s="778"/>
      <c r="AH114" s="778"/>
      <c r="AI114" s="778"/>
      <c r="AJ114" s="778"/>
      <c r="AK114" s="778"/>
      <c r="AL114" s="778"/>
      <c r="AM114" s="778"/>
      <c r="AN114" s="778"/>
      <c r="AO114" s="778"/>
      <c r="AP114" s="778"/>
      <c r="AQ114" s="778"/>
      <c r="AR114" s="778"/>
      <c r="AS114" s="778"/>
      <c r="AT114" s="778"/>
      <c r="AU114" s="778"/>
      <c r="AV114" s="778"/>
      <c r="AW114" s="778"/>
      <c r="AX114" s="778"/>
      <c r="AY114" s="778"/>
      <c r="AZ114" s="778"/>
      <c r="BA114" s="778"/>
      <c r="BB114" s="778"/>
      <c r="BC114" s="778"/>
      <c r="BD114" s="778"/>
      <c r="BE114" s="778"/>
      <c r="BF114" s="778"/>
      <c r="BG114" s="778"/>
      <c r="BH114" s="778"/>
      <c r="BI114" s="778"/>
      <c r="BJ114" s="778"/>
      <c r="BK114" s="778"/>
      <c r="BL114" s="778"/>
      <c r="BM114" s="778"/>
      <c r="BN114" s="778"/>
      <c r="BO114" s="778"/>
      <c r="BP114" s="778"/>
      <c r="BQ114" s="778"/>
      <c r="BR114" s="778"/>
      <c r="BS114" s="778"/>
      <c r="BT114" s="778"/>
    </row>
    <row r="115" spans="1:72" x14ac:dyDescent="0.25">
      <c r="A115" s="778" t="s">
        <v>496</v>
      </c>
      <c r="B115" s="778">
        <v>7.26</v>
      </c>
      <c r="C115" s="778">
        <v>9.09</v>
      </c>
      <c r="D115" s="778">
        <v>4.1399999999999997</v>
      </c>
      <c r="E115" s="778">
        <v>4.8499999999999996</v>
      </c>
      <c r="F115" s="778">
        <v>5.82</v>
      </c>
      <c r="G115" s="778">
        <v>6.17</v>
      </c>
      <c r="H115" s="778">
        <v>5.94</v>
      </c>
      <c r="I115" s="778">
        <v>5.9</v>
      </c>
      <c r="J115" s="778">
        <v>6.08</v>
      </c>
      <c r="K115" s="778">
        <v>6.16</v>
      </c>
      <c r="L115" s="778">
        <v>6.17</v>
      </c>
      <c r="M115" s="778">
        <v>6.22</v>
      </c>
      <c r="N115" s="778">
        <v>6.29</v>
      </c>
      <c r="O115" s="778">
        <v>6.42</v>
      </c>
      <c r="P115" s="778">
        <v>6.52</v>
      </c>
      <c r="Q115" s="778">
        <v>6.69</v>
      </c>
      <c r="R115" s="778">
        <v>6.74</v>
      </c>
      <c r="S115" s="778">
        <v>6.7</v>
      </c>
      <c r="T115" s="778">
        <v>6.75</v>
      </c>
      <c r="U115" s="778">
        <v>6.91</v>
      </c>
      <c r="V115" s="778">
        <v>7.05</v>
      </c>
      <c r="W115" s="778">
        <v>7.27</v>
      </c>
      <c r="X115" s="778">
        <v>7.51</v>
      </c>
      <c r="Y115" s="778">
        <v>7.73</v>
      </c>
      <c r="Z115" s="778">
        <v>8.02</v>
      </c>
      <c r="AA115" s="778">
        <v>8.14</v>
      </c>
      <c r="AB115" s="778">
        <v>8.17</v>
      </c>
      <c r="AC115" s="778">
        <v>8.35</v>
      </c>
      <c r="AD115" s="778">
        <v>8.4600000000000009</v>
      </c>
      <c r="AE115" s="814">
        <v>-3.0000000000000001E-3</v>
      </c>
      <c r="AF115" s="778"/>
      <c r="AG115" s="778"/>
      <c r="AH115" s="778"/>
      <c r="AI115" s="778"/>
      <c r="AJ115" s="778"/>
      <c r="AK115" s="778"/>
      <c r="AL115" s="778"/>
      <c r="AM115" s="778"/>
      <c r="AN115" s="778"/>
      <c r="AO115" s="778"/>
      <c r="AP115" s="778"/>
      <c r="AQ115" s="778"/>
      <c r="AR115" s="778"/>
      <c r="AS115" s="778"/>
      <c r="AT115" s="778"/>
      <c r="AU115" s="778"/>
      <c r="AV115" s="778"/>
      <c r="AW115" s="778"/>
      <c r="AX115" s="778"/>
      <c r="AY115" s="778"/>
      <c r="AZ115" s="778"/>
      <c r="BA115" s="778"/>
      <c r="BB115" s="778"/>
      <c r="BC115" s="778"/>
      <c r="BD115" s="778"/>
      <c r="BE115" s="778"/>
      <c r="BF115" s="778"/>
      <c r="BG115" s="778"/>
      <c r="BH115" s="778"/>
      <c r="BI115" s="778"/>
      <c r="BJ115" s="778"/>
      <c r="BK115" s="778"/>
      <c r="BL115" s="778"/>
      <c r="BM115" s="778"/>
      <c r="BN115" s="778"/>
      <c r="BO115" s="778"/>
      <c r="BP115" s="778"/>
      <c r="BQ115" s="778"/>
      <c r="BR115" s="778"/>
      <c r="BS115" s="778"/>
      <c r="BT115" s="778"/>
    </row>
    <row r="116" spans="1:72" x14ac:dyDescent="0.25">
      <c r="A116" s="778" t="s">
        <v>609</v>
      </c>
      <c r="B116" s="778">
        <v>1.8</v>
      </c>
      <c r="C116" s="778">
        <v>2.0499999999999998</v>
      </c>
      <c r="D116" s="778">
        <v>2.15</v>
      </c>
      <c r="E116" s="778">
        <v>1.99</v>
      </c>
      <c r="F116" s="778">
        <v>1.98</v>
      </c>
      <c r="G116" s="778">
        <v>1.99</v>
      </c>
      <c r="H116" s="778">
        <v>1.99</v>
      </c>
      <c r="I116" s="778">
        <v>1.99</v>
      </c>
      <c r="J116" s="778">
        <v>2.0099999999999998</v>
      </c>
      <c r="K116" s="778">
        <v>1.99</v>
      </c>
      <c r="L116" s="778">
        <v>2</v>
      </c>
      <c r="M116" s="778">
        <v>1.99</v>
      </c>
      <c r="N116" s="778">
        <v>1.99</v>
      </c>
      <c r="O116" s="778">
        <v>1.98</v>
      </c>
      <c r="P116" s="778">
        <v>1.98</v>
      </c>
      <c r="Q116" s="778">
        <v>1.99</v>
      </c>
      <c r="R116" s="778">
        <v>1.99</v>
      </c>
      <c r="S116" s="778">
        <v>1.99</v>
      </c>
      <c r="T116" s="778">
        <v>1.99</v>
      </c>
      <c r="U116" s="778">
        <v>2</v>
      </c>
      <c r="V116" s="778">
        <v>2</v>
      </c>
      <c r="W116" s="778">
        <v>2.0099999999999998</v>
      </c>
      <c r="X116" s="778">
        <v>2.02</v>
      </c>
      <c r="Y116" s="778">
        <v>2.0299999999999998</v>
      </c>
      <c r="Z116" s="778">
        <v>2.04</v>
      </c>
      <c r="AA116" s="778">
        <v>2.0499999999999998</v>
      </c>
      <c r="AB116" s="778">
        <v>2.06</v>
      </c>
      <c r="AC116" s="778">
        <v>2.0699999999999998</v>
      </c>
      <c r="AD116" s="778">
        <v>2.09</v>
      </c>
      <c r="AE116" s="814">
        <v>1E-3</v>
      </c>
      <c r="AF116" s="778"/>
      <c r="AG116" s="778"/>
      <c r="AH116" s="778"/>
      <c r="AI116" s="778"/>
      <c r="AJ116" s="778"/>
      <c r="AK116" s="778"/>
      <c r="AL116" s="778"/>
      <c r="AM116" s="778"/>
      <c r="AN116" s="778"/>
      <c r="AO116" s="778"/>
      <c r="AP116" s="778"/>
      <c r="AQ116" s="778"/>
      <c r="AR116" s="778"/>
      <c r="AS116" s="778"/>
      <c r="AT116" s="778"/>
      <c r="AU116" s="778"/>
      <c r="AV116" s="778"/>
      <c r="AW116" s="778"/>
      <c r="AX116" s="778"/>
      <c r="AY116" s="778"/>
      <c r="AZ116" s="778"/>
      <c r="BA116" s="778"/>
      <c r="BB116" s="778"/>
      <c r="BC116" s="778"/>
      <c r="BD116" s="778"/>
      <c r="BE116" s="778"/>
      <c r="BF116" s="778"/>
      <c r="BG116" s="778"/>
      <c r="BH116" s="778"/>
      <c r="BI116" s="778"/>
      <c r="BJ116" s="778"/>
      <c r="BK116" s="778"/>
      <c r="BL116" s="778"/>
      <c r="BM116" s="778"/>
      <c r="BN116" s="778"/>
      <c r="BO116" s="778"/>
      <c r="BP116" s="778"/>
      <c r="BQ116" s="778"/>
      <c r="BR116" s="778"/>
      <c r="BS116" s="778"/>
      <c r="BT116" s="778"/>
    </row>
    <row r="117" spans="1:72" x14ac:dyDescent="0.25">
      <c r="A117" s="778"/>
      <c r="B117" s="778"/>
      <c r="C117" s="778"/>
      <c r="D117" s="778"/>
      <c r="E117" s="778"/>
      <c r="F117" s="778"/>
      <c r="G117" s="778"/>
      <c r="H117" s="778"/>
      <c r="I117" s="778"/>
      <c r="J117" s="778"/>
      <c r="K117" s="778"/>
      <c r="L117" s="778"/>
      <c r="M117" s="778"/>
      <c r="N117" s="778"/>
      <c r="O117" s="778"/>
      <c r="P117" s="778"/>
      <c r="Q117" s="778"/>
      <c r="R117" s="778"/>
      <c r="S117" s="778"/>
      <c r="T117" s="778"/>
      <c r="U117" s="778"/>
      <c r="V117" s="778"/>
      <c r="W117" s="778"/>
      <c r="X117" s="778"/>
      <c r="Y117" s="778"/>
      <c r="Z117" s="778"/>
      <c r="AA117" s="778"/>
      <c r="AB117" s="778"/>
      <c r="AC117" s="778"/>
      <c r="AD117" s="778"/>
      <c r="AE117" s="778"/>
      <c r="AF117" s="778"/>
      <c r="AG117" s="778"/>
      <c r="AH117" s="778"/>
      <c r="AI117" s="778"/>
      <c r="AJ117" s="778"/>
      <c r="AK117" s="778"/>
      <c r="AL117" s="778"/>
      <c r="AM117" s="778"/>
      <c r="AN117" s="778"/>
      <c r="AO117" s="778"/>
      <c r="AP117" s="778"/>
      <c r="AQ117" s="778"/>
      <c r="AR117" s="778"/>
      <c r="AS117" s="778"/>
      <c r="AT117" s="778"/>
      <c r="AU117" s="778"/>
      <c r="AV117" s="778"/>
      <c r="AW117" s="778"/>
      <c r="AX117" s="778"/>
      <c r="AY117" s="778"/>
      <c r="AZ117" s="778"/>
      <c r="BA117" s="778"/>
      <c r="BB117" s="778"/>
      <c r="BC117" s="778"/>
      <c r="BD117" s="778"/>
      <c r="BE117" s="778"/>
      <c r="BF117" s="778"/>
      <c r="BG117" s="778"/>
      <c r="BH117" s="778"/>
      <c r="BI117" s="778"/>
      <c r="BJ117" s="778"/>
      <c r="BK117" s="778"/>
      <c r="BL117" s="778"/>
      <c r="BM117" s="778"/>
      <c r="BN117" s="778"/>
      <c r="BO117" s="778"/>
      <c r="BP117" s="778"/>
      <c r="BQ117" s="778"/>
      <c r="BR117" s="778"/>
      <c r="BS117" s="778"/>
      <c r="BT117" s="778"/>
    </row>
    <row r="118" spans="1:72" x14ac:dyDescent="0.25">
      <c r="A118" s="778" t="s">
        <v>610</v>
      </c>
      <c r="B118" s="778"/>
      <c r="C118" s="778"/>
      <c r="D118" s="778"/>
      <c r="E118" s="778"/>
      <c r="F118" s="778"/>
      <c r="G118" s="778"/>
      <c r="H118" s="778"/>
      <c r="I118" s="778"/>
      <c r="J118" s="778"/>
      <c r="K118" s="778"/>
      <c r="L118" s="778"/>
      <c r="M118" s="778"/>
      <c r="N118" s="778"/>
      <c r="O118" s="778"/>
      <c r="P118" s="778"/>
      <c r="Q118" s="778"/>
      <c r="R118" s="778"/>
      <c r="S118" s="778"/>
      <c r="T118" s="778"/>
      <c r="U118" s="778"/>
      <c r="V118" s="778"/>
      <c r="W118" s="778"/>
      <c r="X118" s="778"/>
      <c r="Y118" s="778"/>
      <c r="Z118" s="778"/>
      <c r="AA118" s="778"/>
      <c r="AB118" s="778"/>
      <c r="AC118" s="778"/>
      <c r="AD118" s="778"/>
      <c r="AE118" s="778"/>
      <c r="AF118" s="778"/>
      <c r="AG118" s="778"/>
      <c r="AH118" s="778"/>
      <c r="AI118" s="778"/>
      <c r="AJ118" s="778"/>
      <c r="AK118" s="778"/>
      <c r="AL118" s="778"/>
      <c r="AM118" s="778"/>
      <c r="AN118" s="778"/>
      <c r="AO118" s="778"/>
      <c r="AP118" s="778"/>
      <c r="AQ118" s="778"/>
      <c r="AR118" s="778"/>
      <c r="AS118" s="778"/>
      <c r="AT118" s="778"/>
      <c r="AU118" s="778"/>
      <c r="AV118" s="778"/>
      <c r="AW118" s="778"/>
      <c r="AX118" s="778"/>
      <c r="AY118" s="778"/>
      <c r="AZ118" s="778"/>
      <c r="BA118" s="778"/>
      <c r="BB118" s="778"/>
      <c r="BC118" s="778"/>
      <c r="BD118" s="778"/>
      <c r="BE118" s="778"/>
      <c r="BF118" s="778"/>
      <c r="BG118" s="778"/>
      <c r="BH118" s="778"/>
      <c r="BI118" s="778"/>
      <c r="BJ118" s="778"/>
      <c r="BK118" s="778"/>
      <c r="BL118" s="778"/>
      <c r="BM118" s="778"/>
      <c r="BN118" s="778"/>
      <c r="BO118" s="778"/>
      <c r="BP118" s="778"/>
      <c r="BQ118" s="778"/>
      <c r="BR118" s="778"/>
      <c r="BS118" s="778"/>
      <c r="BT118" s="778"/>
    </row>
    <row r="119" spans="1:72" x14ac:dyDescent="0.25">
      <c r="A119" s="778" t="s">
        <v>594</v>
      </c>
      <c r="B119" s="778">
        <v>18.940000000000001</v>
      </c>
      <c r="C119" s="778">
        <v>20.190000000000001</v>
      </c>
      <c r="D119" s="778">
        <v>18.36</v>
      </c>
      <c r="E119" s="778">
        <v>16.850000000000001</v>
      </c>
      <c r="F119" s="778">
        <v>16.87</v>
      </c>
      <c r="G119" s="778">
        <v>17.87</v>
      </c>
      <c r="H119" s="778">
        <v>18.97</v>
      </c>
      <c r="I119" s="778">
        <v>19.82</v>
      </c>
      <c r="J119" s="778">
        <v>20.3</v>
      </c>
      <c r="K119" s="778">
        <v>20.84</v>
      </c>
      <c r="L119" s="778">
        <v>21.26</v>
      </c>
      <c r="M119" s="778">
        <v>21.71</v>
      </c>
      <c r="N119" s="778">
        <v>21.93</v>
      </c>
      <c r="O119" s="778">
        <v>22.15</v>
      </c>
      <c r="P119" s="778">
        <v>22.36</v>
      </c>
      <c r="Q119" s="778">
        <v>22.56</v>
      </c>
      <c r="R119" s="778">
        <v>22.83</v>
      </c>
      <c r="S119" s="778">
        <v>23.09</v>
      </c>
      <c r="T119" s="778">
        <v>23.34</v>
      </c>
      <c r="U119" s="778">
        <v>23.49</v>
      </c>
      <c r="V119" s="778">
        <v>23.75</v>
      </c>
      <c r="W119" s="778">
        <v>24</v>
      </c>
      <c r="X119" s="778">
        <v>24.34</v>
      </c>
      <c r="Y119" s="778">
        <v>24.55</v>
      </c>
      <c r="Z119" s="778">
        <v>24.91</v>
      </c>
      <c r="AA119" s="778">
        <v>25.25</v>
      </c>
      <c r="AB119" s="778">
        <v>25.63</v>
      </c>
      <c r="AC119" s="778">
        <v>25.99</v>
      </c>
      <c r="AD119" s="778">
        <v>26.37</v>
      </c>
      <c r="AE119" s="814">
        <v>0.01</v>
      </c>
      <c r="AF119" s="778"/>
      <c r="AG119" s="778"/>
      <c r="AH119" s="778"/>
      <c r="AI119" s="778"/>
      <c r="AJ119" s="778"/>
      <c r="AK119" s="778"/>
      <c r="AL119" s="778"/>
      <c r="AM119" s="778"/>
      <c r="AN119" s="778"/>
      <c r="AO119" s="778"/>
      <c r="AP119" s="778"/>
      <c r="AQ119" s="778"/>
      <c r="AR119" s="778"/>
      <c r="AS119" s="778"/>
      <c r="AT119" s="778"/>
      <c r="AU119" s="778"/>
      <c r="AV119" s="778"/>
      <c r="AW119" s="778"/>
      <c r="AX119" s="778"/>
      <c r="AY119" s="778"/>
      <c r="AZ119" s="778"/>
      <c r="BA119" s="778"/>
      <c r="BB119" s="778"/>
      <c r="BC119" s="778"/>
      <c r="BD119" s="778"/>
      <c r="BE119" s="778"/>
      <c r="BF119" s="778"/>
      <c r="BG119" s="778"/>
      <c r="BH119" s="778"/>
      <c r="BI119" s="778"/>
      <c r="BJ119" s="778"/>
      <c r="BK119" s="778"/>
      <c r="BL119" s="778"/>
      <c r="BM119" s="778"/>
      <c r="BN119" s="778"/>
      <c r="BO119" s="778"/>
      <c r="BP119" s="778"/>
      <c r="BQ119" s="778"/>
      <c r="BR119" s="778"/>
      <c r="BS119" s="778"/>
      <c r="BT119" s="778"/>
    </row>
    <row r="120" spans="1:72" x14ac:dyDescent="0.25">
      <c r="A120" s="778" t="s">
        <v>603</v>
      </c>
      <c r="B120" s="778">
        <v>27.43</v>
      </c>
      <c r="C120" s="778">
        <v>26.93</v>
      </c>
      <c r="D120" s="778">
        <v>23.29</v>
      </c>
      <c r="E120" s="778">
        <v>20.64</v>
      </c>
      <c r="F120" s="778">
        <v>20.97</v>
      </c>
      <c r="G120" s="778">
        <v>22.13</v>
      </c>
      <c r="H120" s="778">
        <v>24.21</v>
      </c>
      <c r="I120" s="778">
        <v>25.23</v>
      </c>
      <c r="J120" s="778">
        <v>25.55</v>
      </c>
      <c r="K120" s="778">
        <v>25.08</v>
      </c>
      <c r="L120" s="778">
        <v>25.9</v>
      </c>
      <c r="M120" s="778">
        <v>26.54</v>
      </c>
      <c r="N120" s="778">
        <v>26.68</v>
      </c>
      <c r="O120" s="778">
        <v>26.95</v>
      </c>
      <c r="P120" s="778">
        <v>27.32</v>
      </c>
      <c r="Q120" s="778">
        <v>27.82</v>
      </c>
      <c r="R120" s="778">
        <v>28.31</v>
      </c>
      <c r="S120" s="778">
        <v>28.55</v>
      </c>
      <c r="T120" s="778">
        <v>28.86</v>
      </c>
      <c r="U120" s="778">
        <v>29.22</v>
      </c>
      <c r="V120" s="778">
        <v>29.49</v>
      </c>
      <c r="W120" s="778">
        <v>30.03</v>
      </c>
      <c r="X120" s="778">
        <v>30.44</v>
      </c>
      <c r="Y120" s="778">
        <v>30.64</v>
      </c>
      <c r="Z120" s="778">
        <v>30.86</v>
      </c>
      <c r="AA120" s="778">
        <v>31.29</v>
      </c>
      <c r="AB120" s="778">
        <v>31.49</v>
      </c>
      <c r="AC120" s="778">
        <v>31.77</v>
      </c>
      <c r="AD120" s="778">
        <v>32.229999999999997</v>
      </c>
      <c r="AE120" s="814">
        <v>7.0000000000000001E-3</v>
      </c>
      <c r="AF120" s="778"/>
      <c r="AG120" s="778"/>
      <c r="AH120" s="778"/>
      <c r="AI120" s="778"/>
      <c r="AJ120" s="778"/>
      <c r="AK120" s="778"/>
      <c r="AL120" s="778"/>
      <c r="AM120" s="778"/>
      <c r="AN120" s="778"/>
      <c r="AO120" s="778"/>
      <c r="AP120" s="778"/>
      <c r="AQ120" s="778"/>
      <c r="AR120" s="778"/>
      <c r="AS120" s="778"/>
      <c r="AT120" s="778"/>
      <c r="AU120" s="778"/>
      <c r="AV120" s="778"/>
      <c r="AW120" s="778"/>
      <c r="AX120" s="778"/>
      <c r="AY120" s="778"/>
      <c r="AZ120" s="778"/>
      <c r="BA120" s="778"/>
      <c r="BB120" s="778"/>
      <c r="BC120" s="778"/>
      <c r="BD120" s="778"/>
      <c r="BE120" s="778"/>
      <c r="BF120" s="778"/>
      <c r="BG120" s="778"/>
      <c r="BH120" s="778"/>
      <c r="BI120" s="778"/>
      <c r="BJ120" s="778"/>
      <c r="BK120" s="778"/>
      <c r="BL120" s="778"/>
      <c r="BM120" s="778"/>
      <c r="BN120" s="778"/>
      <c r="BO120" s="778"/>
      <c r="BP120" s="778"/>
      <c r="BQ120" s="778"/>
      <c r="BR120" s="778"/>
      <c r="BS120" s="778"/>
      <c r="BT120" s="778"/>
    </row>
    <row r="121" spans="1:72" x14ac:dyDescent="0.25">
      <c r="A121" s="778" t="s">
        <v>604</v>
      </c>
      <c r="B121" s="778">
        <v>23.55</v>
      </c>
      <c r="C121" s="778">
        <v>26.54</v>
      </c>
      <c r="D121" s="778">
        <v>19.149999999999999</v>
      </c>
      <c r="E121" s="778">
        <v>20.55</v>
      </c>
      <c r="F121" s="778">
        <v>20.88</v>
      </c>
      <c r="G121" s="778">
        <v>22.03</v>
      </c>
      <c r="H121" s="778">
        <v>24.01</v>
      </c>
      <c r="I121" s="778">
        <v>24.94</v>
      </c>
      <c r="J121" s="778">
        <v>25.36</v>
      </c>
      <c r="K121" s="778">
        <v>25.93</v>
      </c>
      <c r="L121" s="778">
        <v>26.46</v>
      </c>
      <c r="M121" s="778">
        <v>26.89</v>
      </c>
      <c r="N121" s="778">
        <v>27.2</v>
      </c>
      <c r="O121" s="778">
        <v>27.59</v>
      </c>
      <c r="P121" s="778">
        <v>27.82</v>
      </c>
      <c r="Q121" s="778">
        <v>28.17</v>
      </c>
      <c r="R121" s="778">
        <v>28.41</v>
      </c>
      <c r="S121" s="778">
        <v>28.54</v>
      </c>
      <c r="T121" s="778">
        <v>28.87</v>
      </c>
      <c r="U121" s="778">
        <v>29.18</v>
      </c>
      <c r="V121" s="778">
        <v>29.47</v>
      </c>
      <c r="W121" s="778">
        <v>29.9</v>
      </c>
      <c r="X121" s="778">
        <v>30.27</v>
      </c>
      <c r="Y121" s="778">
        <v>30.41</v>
      </c>
      <c r="Z121" s="778">
        <v>30.76</v>
      </c>
      <c r="AA121" s="778">
        <v>31.16</v>
      </c>
      <c r="AB121" s="778">
        <v>31.43</v>
      </c>
      <c r="AC121" s="778">
        <v>31.81</v>
      </c>
      <c r="AD121" s="778">
        <v>32.32</v>
      </c>
      <c r="AE121" s="814">
        <v>7.0000000000000001E-3</v>
      </c>
      <c r="AF121" s="778"/>
      <c r="AG121" s="778"/>
      <c r="AH121" s="778"/>
      <c r="AI121" s="778"/>
      <c r="AJ121" s="778"/>
      <c r="AK121" s="778"/>
      <c r="AL121" s="778"/>
      <c r="AM121" s="778"/>
      <c r="AN121" s="778"/>
      <c r="AO121" s="778"/>
      <c r="AP121" s="778"/>
      <c r="AQ121" s="778"/>
      <c r="AR121" s="778"/>
      <c r="AS121" s="778"/>
      <c r="AT121" s="778"/>
      <c r="AU121" s="778"/>
      <c r="AV121" s="778"/>
      <c r="AW121" s="778"/>
      <c r="AX121" s="778"/>
      <c r="AY121" s="778"/>
      <c r="AZ121" s="778"/>
      <c r="BA121" s="778"/>
      <c r="BB121" s="778"/>
      <c r="BC121" s="778"/>
      <c r="BD121" s="778"/>
      <c r="BE121" s="778"/>
      <c r="BF121" s="778"/>
      <c r="BG121" s="778"/>
      <c r="BH121" s="778"/>
      <c r="BI121" s="778"/>
      <c r="BJ121" s="778"/>
      <c r="BK121" s="778"/>
      <c r="BL121" s="778"/>
      <c r="BM121" s="778"/>
      <c r="BN121" s="778"/>
      <c r="BO121" s="778"/>
      <c r="BP121" s="778"/>
      <c r="BQ121" s="778"/>
      <c r="BR121" s="778"/>
      <c r="BS121" s="778"/>
      <c r="BT121" s="778"/>
    </row>
    <row r="122" spans="1:72" x14ac:dyDescent="0.25">
      <c r="A122" s="778" t="s">
        <v>611</v>
      </c>
      <c r="B122" s="778">
        <v>15.77</v>
      </c>
      <c r="C122" s="778">
        <v>22.71</v>
      </c>
      <c r="D122" s="778">
        <v>12.73</v>
      </c>
      <c r="E122" s="778">
        <v>14.79</v>
      </c>
      <c r="F122" s="778">
        <v>15.16</v>
      </c>
      <c r="G122" s="778">
        <v>16.54</v>
      </c>
      <c r="H122" s="778">
        <v>17.690000000000001</v>
      </c>
      <c r="I122" s="778">
        <v>18.46</v>
      </c>
      <c r="J122" s="778">
        <v>19.04</v>
      </c>
      <c r="K122" s="778">
        <v>19.760000000000002</v>
      </c>
      <c r="L122" s="778">
        <v>20.41</v>
      </c>
      <c r="M122" s="778">
        <v>20.97</v>
      </c>
      <c r="N122" s="778">
        <v>21.35</v>
      </c>
      <c r="O122" s="778">
        <v>21.69</v>
      </c>
      <c r="P122" s="778">
        <v>21.85</v>
      </c>
      <c r="Q122" s="778">
        <v>22.09</v>
      </c>
      <c r="R122" s="778">
        <v>22.41</v>
      </c>
      <c r="S122" s="778">
        <v>22.61</v>
      </c>
      <c r="T122" s="778">
        <v>22.92</v>
      </c>
      <c r="U122" s="778">
        <v>23.19</v>
      </c>
      <c r="V122" s="778">
        <v>23.48</v>
      </c>
      <c r="W122" s="778">
        <v>23.9</v>
      </c>
      <c r="X122" s="778">
        <v>24.26</v>
      </c>
      <c r="Y122" s="778">
        <v>24.51</v>
      </c>
      <c r="Z122" s="778">
        <v>24.9</v>
      </c>
      <c r="AA122" s="778">
        <v>25.3</v>
      </c>
      <c r="AB122" s="778">
        <v>25.64</v>
      </c>
      <c r="AC122" s="778">
        <v>26.05</v>
      </c>
      <c r="AD122" s="778">
        <v>26.48</v>
      </c>
      <c r="AE122" s="814">
        <v>6.0000000000000001E-3</v>
      </c>
      <c r="AF122" s="778"/>
      <c r="AG122" s="778"/>
      <c r="AH122" s="778"/>
      <c r="AI122" s="778"/>
      <c r="AJ122" s="778"/>
      <c r="AK122" s="778"/>
      <c r="AL122" s="778"/>
      <c r="AM122" s="778"/>
      <c r="AN122" s="778"/>
      <c r="AO122" s="778"/>
      <c r="AP122" s="778"/>
      <c r="AQ122" s="778"/>
      <c r="AR122" s="778"/>
      <c r="AS122" s="778"/>
      <c r="AT122" s="778"/>
      <c r="AU122" s="778"/>
      <c r="AV122" s="778"/>
      <c r="AW122" s="778"/>
      <c r="AX122" s="778"/>
      <c r="AY122" s="778"/>
      <c r="AZ122" s="778"/>
      <c r="BA122" s="778"/>
      <c r="BB122" s="778"/>
      <c r="BC122" s="778"/>
      <c r="BD122" s="778"/>
      <c r="BE122" s="778"/>
      <c r="BF122" s="778"/>
      <c r="BG122" s="778"/>
      <c r="BH122" s="778"/>
      <c r="BI122" s="778"/>
      <c r="BJ122" s="778"/>
      <c r="BK122" s="778"/>
      <c r="BL122" s="778"/>
      <c r="BM122" s="778"/>
      <c r="BN122" s="778"/>
      <c r="BO122" s="778"/>
      <c r="BP122" s="778"/>
      <c r="BQ122" s="778"/>
      <c r="BR122" s="778"/>
      <c r="BS122" s="778"/>
      <c r="BT122" s="778"/>
    </row>
    <row r="123" spans="1:72" x14ac:dyDescent="0.25">
      <c r="A123" s="778" t="s">
        <v>595</v>
      </c>
      <c r="B123" s="778">
        <v>20.71</v>
      </c>
      <c r="C123" s="778">
        <v>26.27</v>
      </c>
      <c r="D123" s="778">
        <v>17.46</v>
      </c>
      <c r="E123" s="778">
        <v>17.73</v>
      </c>
      <c r="F123" s="778">
        <v>18.149999999999999</v>
      </c>
      <c r="G123" s="778">
        <v>19.45</v>
      </c>
      <c r="H123" s="778">
        <v>20.62</v>
      </c>
      <c r="I123" s="778">
        <v>21.35</v>
      </c>
      <c r="J123" s="778">
        <v>22.03</v>
      </c>
      <c r="K123" s="778">
        <v>22.8</v>
      </c>
      <c r="L123" s="778">
        <v>23.45</v>
      </c>
      <c r="M123" s="778">
        <v>24.07</v>
      </c>
      <c r="N123" s="778">
        <v>24.47</v>
      </c>
      <c r="O123" s="778">
        <v>24.79</v>
      </c>
      <c r="P123" s="778">
        <v>24.99</v>
      </c>
      <c r="Q123" s="778">
        <v>25.32</v>
      </c>
      <c r="R123" s="778">
        <v>25.5</v>
      </c>
      <c r="S123" s="778">
        <v>25.59</v>
      </c>
      <c r="T123" s="778">
        <v>25.89</v>
      </c>
      <c r="U123" s="778">
        <v>26.12</v>
      </c>
      <c r="V123" s="778">
        <v>26.38</v>
      </c>
      <c r="W123" s="778">
        <v>26.71</v>
      </c>
      <c r="X123" s="778">
        <v>27.11</v>
      </c>
      <c r="Y123" s="778">
        <v>27.29</v>
      </c>
      <c r="Z123" s="778">
        <v>27.73</v>
      </c>
      <c r="AA123" s="778">
        <v>28.13</v>
      </c>
      <c r="AB123" s="778">
        <v>28.46</v>
      </c>
      <c r="AC123" s="778">
        <v>28.87</v>
      </c>
      <c r="AD123" s="778">
        <v>29.34</v>
      </c>
      <c r="AE123" s="814">
        <v>4.0000000000000001E-3</v>
      </c>
      <c r="AF123" s="778"/>
      <c r="AG123" s="778"/>
      <c r="AH123" s="778"/>
      <c r="AI123" s="778"/>
      <c r="AJ123" s="778"/>
      <c r="AK123" s="778"/>
      <c r="AL123" s="778"/>
      <c r="AM123" s="778"/>
      <c r="AN123" s="778"/>
      <c r="AO123" s="778"/>
      <c r="AP123" s="778"/>
      <c r="AQ123" s="778"/>
      <c r="AR123" s="778"/>
      <c r="AS123" s="778"/>
      <c r="AT123" s="778"/>
      <c r="AU123" s="778"/>
      <c r="AV123" s="778"/>
      <c r="AW123" s="778"/>
      <c r="AX123" s="778"/>
      <c r="AY123" s="778"/>
      <c r="AZ123" s="778"/>
      <c r="BA123" s="778"/>
      <c r="BB123" s="778"/>
      <c r="BC123" s="778"/>
      <c r="BD123" s="778"/>
      <c r="BE123" s="778"/>
      <c r="BF123" s="778"/>
      <c r="BG123" s="778"/>
      <c r="BH123" s="778"/>
      <c r="BI123" s="778"/>
      <c r="BJ123" s="778"/>
      <c r="BK123" s="778"/>
      <c r="BL123" s="778"/>
      <c r="BM123" s="778"/>
      <c r="BN123" s="778"/>
      <c r="BO123" s="778"/>
      <c r="BP123" s="778"/>
      <c r="BQ123" s="778"/>
      <c r="BR123" s="778"/>
      <c r="BS123" s="778"/>
      <c r="BT123" s="778"/>
    </row>
    <row r="124" spans="1:72" x14ac:dyDescent="0.25">
      <c r="A124" s="778" t="s">
        <v>596</v>
      </c>
      <c r="B124" s="778">
        <v>9.07</v>
      </c>
      <c r="C124" s="778">
        <v>14.77</v>
      </c>
      <c r="D124" s="778">
        <v>8.9600000000000009</v>
      </c>
      <c r="E124" s="778">
        <v>10.9</v>
      </c>
      <c r="F124" s="778">
        <v>11.01</v>
      </c>
      <c r="G124" s="778">
        <v>12.17</v>
      </c>
      <c r="H124" s="778">
        <v>13.13</v>
      </c>
      <c r="I124" s="778">
        <v>13.86</v>
      </c>
      <c r="J124" s="778">
        <v>14.26</v>
      </c>
      <c r="K124" s="778">
        <v>14.63</v>
      </c>
      <c r="L124" s="778">
        <v>15.14</v>
      </c>
      <c r="M124" s="778">
        <v>15.55</v>
      </c>
      <c r="N124" s="778">
        <v>15.76</v>
      </c>
      <c r="O124" s="778">
        <v>15.81</v>
      </c>
      <c r="P124" s="778">
        <v>16.05</v>
      </c>
      <c r="Q124" s="778">
        <v>16.190000000000001</v>
      </c>
      <c r="R124" s="778">
        <v>16.399999999999999</v>
      </c>
      <c r="S124" s="778">
        <v>16.600000000000001</v>
      </c>
      <c r="T124" s="778">
        <v>16.8</v>
      </c>
      <c r="U124" s="778">
        <v>16.850000000000001</v>
      </c>
      <c r="V124" s="778">
        <v>17.13</v>
      </c>
      <c r="W124" s="778">
        <v>17.37</v>
      </c>
      <c r="X124" s="778">
        <v>17.66</v>
      </c>
      <c r="Y124" s="778">
        <v>17.96</v>
      </c>
      <c r="Z124" s="778">
        <v>18.3</v>
      </c>
      <c r="AA124" s="778">
        <v>18.559999999999999</v>
      </c>
      <c r="AB124" s="778">
        <v>18.79</v>
      </c>
      <c r="AC124" s="778">
        <v>19.12</v>
      </c>
      <c r="AD124" s="778">
        <v>19.46</v>
      </c>
      <c r="AE124" s="814">
        <v>0.01</v>
      </c>
      <c r="AF124" s="778"/>
      <c r="AG124" s="778"/>
      <c r="AH124" s="778"/>
      <c r="AI124" s="778"/>
      <c r="AJ124" s="778"/>
      <c r="AK124" s="778"/>
      <c r="AL124" s="778"/>
      <c r="AM124" s="778"/>
      <c r="AN124" s="778"/>
      <c r="AO124" s="778"/>
      <c r="AP124" s="778"/>
      <c r="AQ124" s="778"/>
      <c r="AR124" s="778"/>
      <c r="AS124" s="778"/>
      <c r="AT124" s="778"/>
      <c r="AU124" s="778"/>
      <c r="AV124" s="778"/>
      <c r="AW124" s="778"/>
      <c r="AX124" s="778"/>
      <c r="AY124" s="778"/>
      <c r="AZ124" s="778"/>
      <c r="BA124" s="778"/>
      <c r="BB124" s="778"/>
      <c r="BC124" s="778"/>
      <c r="BD124" s="778"/>
      <c r="BE124" s="778"/>
      <c r="BF124" s="778"/>
      <c r="BG124" s="778"/>
      <c r="BH124" s="778"/>
      <c r="BI124" s="778"/>
      <c r="BJ124" s="778"/>
      <c r="BK124" s="778"/>
      <c r="BL124" s="778"/>
      <c r="BM124" s="778"/>
      <c r="BN124" s="778"/>
      <c r="BO124" s="778"/>
      <c r="BP124" s="778"/>
      <c r="BQ124" s="778"/>
      <c r="BR124" s="778"/>
      <c r="BS124" s="778"/>
      <c r="BT124" s="778"/>
    </row>
    <row r="125" spans="1:72" x14ac:dyDescent="0.25">
      <c r="A125" s="778" t="s">
        <v>496</v>
      </c>
      <c r="B125" s="778">
        <v>9.19</v>
      </c>
      <c r="C125" s="778">
        <v>10.53</v>
      </c>
      <c r="D125" s="778">
        <v>6.57</v>
      </c>
      <c r="E125" s="778">
        <v>6.87</v>
      </c>
      <c r="F125" s="778">
        <v>7.87</v>
      </c>
      <c r="G125" s="778">
        <v>8.1999999999999993</v>
      </c>
      <c r="H125" s="778">
        <v>8.0500000000000007</v>
      </c>
      <c r="I125" s="778">
        <v>8.02</v>
      </c>
      <c r="J125" s="778">
        <v>8.14</v>
      </c>
      <c r="K125" s="778">
        <v>8.2200000000000006</v>
      </c>
      <c r="L125" s="778">
        <v>8.2200000000000006</v>
      </c>
      <c r="M125" s="778">
        <v>8.27</v>
      </c>
      <c r="N125" s="778">
        <v>8.33</v>
      </c>
      <c r="O125" s="778">
        <v>8.44</v>
      </c>
      <c r="P125" s="778">
        <v>8.5500000000000007</v>
      </c>
      <c r="Q125" s="778">
        <v>8.73</v>
      </c>
      <c r="R125" s="778">
        <v>8.77</v>
      </c>
      <c r="S125" s="778">
        <v>8.68</v>
      </c>
      <c r="T125" s="778">
        <v>8.75</v>
      </c>
      <c r="U125" s="778">
        <v>8.89</v>
      </c>
      <c r="V125" s="778">
        <v>9.0399999999999991</v>
      </c>
      <c r="W125" s="778">
        <v>9.26</v>
      </c>
      <c r="X125" s="778">
        <v>9.49</v>
      </c>
      <c r="Y125" s="778">
        <v>9.74</v>
      </c>
      <c r="Z125" s="778">
        <v>10.050000000000001</v>
      </c>
      <c r="AA125" s="778">
        <v>10.17</v>
      </c>
      <c r="AB125" s="778">
        <v>10.210000000000001</v>
      </c>
      <c r="AC125" s="778">
        <v>10.4</v>
      </c>
      <c r="AD125" s="778">
        <v>10.54</v>
      </c>
      <c r="AE125" s="814">
        <v>0</v>
      </c>
      <c r="AF125" s="778"/>
      <c r="AG125" s="778"/>
      <c r="AH125" s="778"/>
      <c r="AI125" s="778"/>
      <c r="AJ125" s="778"/>
      <c r="AK125" s="778"/>
      <c r="AL125" s="778"/>
      <c r="AM125" s="778"/>
      <c r="AN125" s="778"/>
      <c r="AO125" s="778"/>
      <c r="AP125" s="778"/>
      <c r="AQ125" s="778"/>
      <c r="AR125" s="778"/>
      <c r="AS125" s="778"/>
      <c r="AT125" s="778"/>
      <c r="AU125" s="778"/>
      <c r="AV125" s="778"/>
      <c r="AW125" s="778"/>
      <c r="AX125" s="778"/>
      <c r="AY125" s="778"/>
      <c r="AZ125" s="778"/>
      <c r="BA125" s="778"/>
      <c r="BB125" s="778"/>
      <c r="BC125" s="778"/>
      <c r="BD125" s="778"/>
      <c r="BE125" s="778"/>
      <c r="BF125" s="778"/>
      <c r="BG125" s="778"/>
      <c r="BH125" s="778"/>
      <c r="BI125" s="778"/>
      <c r="BJ125" s="778"/>
      <c r="BK125" s="778"/>
      <c r="BL125" s="778"/>
      <c r="BM125" s="778"/>
      <c r="BN125" s="778"/>
      <c r="BO125" s="778"/>
      <c r="BP125" s="778"/>
      <c r="BQ125" s="778"/>
      <c r="BR125" s="778"/>
      <c r="BS125" s="778"/>
      <c r="BT125" s="778"/>
    </row>
    <row r="126" spans="1:72" x14ac:dyDescent="0.25">
      <c r="A126" s="778" t="s">
        <v>599</v>
      </c>
      <c r="B126" s="778">
        <v>3.69</v>
      </c>
      <c r="C126" s="778">
        <v>4.49</v>
      </c>
      <c r="D126" s="778">
        <v>4.72</v>
      </c>
      <c r="E126" s="778">
        <v>4.8</v>
      </c>
      <c r="F126" s="778">
        <v>4.8600000000000003</v>
      </c>
      <c r="G126" s="778">
        <v>5.0199999999999996</v>
      </c>
      <c r="H126" s="778">
        <v>5.05</v>
      </c>
      <c r="I126" s="778">
        <v>5.08</v>
      </c>
      <c r="J126" s="778">
        <v>5.08</v>
      </c>
      <c r="K126" s="778">
        <v>5.09</v>
      </c>
      <c r="L126" s="778">
        <v>5.16</v>
      </c>
      <c r="M126" s="778">
        <v>5.22</v>
      </c>
      <c r="N126" s="778">
        <v>5.29</v>
      </c>
      <c r="O126" s="778">
        <v>5.32</v>
      </c>
      <c r="P126" s="778">
        <v>5.35</v>
      </c>
      <c r="Q126" s="778">
        <v>5.36</v>
      </c>
      <c r="R126" s="778">
        <v>5.35</v>
      </c>
      <c r="S126" s="778">
        <v>5.32</v>
      </c>
      <c r="T126" s="778">
        <v>5.24</v>
      </c>
      <c r="U126" s="778">
        <v>5.16</v>
      </c>
      <c r="V126" s="778">
        <v>5.14</v>
      </c>
      <c r="W126" s="778">
        <v>5.14</v>
      </c>
      <c r="X126" s="778">
        <v>5.1100000000000003</v>
      </c>
      <c r="Y126" s="778">
        <v>5.1100000000000003</v>
      </c>
      <c r="Z126" s="778">
        <v>5.09</v>
      </c>
      <c r="AA126" s="778">
        <v>5.08</v>
      </c>
      <c r="AB126" s="778">
        <v>5.08</v>
      </c>
      <c r="AC126" s="778">
        <v>5.0599999999999996</v>
      </c>
      <c r="AD126" s="778">
        <v>5.0599999999999996</v>
      </c>
      <c r="AE126" s="814">
        <v>4.0000000000000001E-3</v>
      </c>
      <c r="AF126" s="778"/>
      <c r="AG126" s="778"/>
      <c r="AH126" s="778"/>
      <c r="AI126" s="778"/>
      <c r="AJ126" s="778"/>
      <c r="AK126" s="778"/>
      <c r="AL126" s="778"/>
      <c r="AM126" s="778"/>
      <c r="AN126" s="778"/>
      <c r="AO126" s="778"/>
      <c r="AP126" s="778"/>
      <c r="AQ126" s="778"/>
      <c r="AR126" s="778"/>
      <c r="AS126" s="778"/>
      <c r="AT126" s="778"/>
      <c r="AU126" s="778"/>
      <c r="AV126" s="778"/>
      <c r="AW126" s="778"/>
      <c r="AX126" s="778"/>
      <c r="AY126" s="778"/>
      <c r="AZ126" s="778"/>
      <c r="BA126" s="778"/>
      <c r="BB126" s="778"/>
      <c r="BC126" s="778"/>
      <c r="BD126" s="778"/>
      <c r="BE126" s="778"/>
      <c r="BF126" s="778"/>
      <c r="BG126" s="778"/>
      <c r="BH126" s="778"/>
      <c r="BI126" s="778"/>
      <c r="BJ126" s="778"/>
      <c r="BK126" s="778"/>
      <c r="BL126" s="778"/>
      <c r="BM126" s="778"/>
      <c r="BN126" s="778"/>
      <c r="BO126" s="778"/>
      <c r="BP126" s="778"/>
      <c r="BQ126" s="778"/>
      <c r="BR126" s="778"/>
      <c r="BS126" s="778"/>
      <c r="BT126" s="778"/>
    </row>
    <row r="127" spans="1:72" x14ac:dyDescent="0.25">
      <c r="A127" s="778" t="s">
        <v>612</v>
      </c>
      <c r="B127" s="778">
        <v>1.84</v>
      </c>
      <c r="C127" s="778">
        <v>2.1</v>
      </c>
      <c r="D127" s="778">
        <v>2.19</v>
      </c>
      <c r="E127" s="778">
        <v>2.0299999999999998</v>
      </c>
      <c r="F127" s="778">
        <v>2.02</v>
      </c>
      <c r="G127" s="778">
        <v>2.0299999999999998</v>
      </c>
      <c r="H127" s="778">
        <v>2.0299999999999998</v>
      </c>
      <c r="I127" s="778">
        <v>2.0299999999999998</v>
      </c>
      <c r="J127" s="778">
        <v>2.0499999999999998</v>
      </c>
      <c r="K127" s="778">
        <v>2.0299999999999998</v>
      </c>
      <c r="L127" s="778">
        <v>2.04</v>
      </c>
      <c r="M127" s="778">
        <v>2.0299999999999998</v>
      </c>
      <c r="N127" s="778">
        <v>2.02</v>
      </c>
      <c r="O127" s="778">
        <v>2.02</v>
      </c>
      <c r="P127" s="778">
        <v>2.02</v>
      </c>
      <c r="Q127" s="778">
        <v>2.0299999999999998</v>
      </c>
      <c r="R127" s="778">
        <v>2.02</v>
      </c>
      <c r="S127" s="778">
        <v>2.02</v>
      </c>
      <c r="T127" s="778">
        <v>2.02</v>
      </c>
      <c r="U127" s="778">
        <v>2.0299999999999998</v>
      </c>
      <c r="V127" s="778">
        <v>2.0299999999999998</v>
      </c>
      <c r="W127" s="778">
        <v>2.04</v>
      </c>
      <c r="X127" s="778">
        <v>2.0499999999999998</v>
      </c>
      <c r="Y127" s="778">
        <v>2.06</v>
      </c>
      <c r="Z127" s="778">
        <v>2.0699999999999998</v>
      </c>
      <c r="AA127" s="778">
        <v>2.08</v>
      </c>
      <c r="AB127" s="778">
        <v>2.09</v>
      </c>
      <c r="AC127" s="778">
        <v>2.1</v>
      </c>
      <c r="AD127" s="778">
        <v>2.12</v>
      </c>
      <c r="AE127" s="814">
        <v>0</v>
      </c>
      <c r="AF127" s="778"/>
      <c r="AG127" s="778"/>
      <c r="AH127" s="778"/>
      <c r="AI127" s="778"/>
      <c r="AJ127" s="778"/>
      <c r="AK127" s="778"/>
      <c r="AL127" s="778"/>
      <c r="AM127" s="778"/>
      <c r="AN127" s="778"/>
      <c r="AO127" s="778"/>
      <c r="AP127" s="778"/>
      <c r="AQ127" s="778"/>
      <c r="AR127" s="778"/>
      <c r="AS127" s="778"/>
      <c r="AT127" s="778"/>
      <c r="AU127" s="778"/>
      <c r="AV127" s="778"/>
      <c r="AW127" s="778"/>
      <c r="AX127" s="778"/>
      <c r="AY127" s="778"/>
      <c r="AZ127" s="778"/>
      <c r="BA127" s="778"/>
      <c r="BB127" s="778"/>
      <c r="BC127" s="778"/>
      <c r="BD127" s="778"/>
      <c r="BE127" s="778"/>
      <c r="BF127" s="778"/>
      <c r="BG127" s="778"/>
      <c r="BH127" s="778"/>
      <c r="BI127" s="778"/>
      <c r="BJ127" s="778"/>
      <c r="BK127" s="778"/>
      <c r="BL127" s="778"/>
      <c r="BM127" s="778"/>
      <c r="BN127" s="778"/>
      <c r="BO127" s="778"/>
      <c r="BP127" s="778"/>
      <c r="BQ127" s="778"/>
      <c r="BR127" s="778"/>
      <c r="BS127" s="778"/>
      <c r="BT127" s="778"/>
    </row>
    <row r="128" spans="1:72" x14ac:dyDescent="0.25">
      <c r="A128" s="778" t="s">
        <v>601</v>
      </c>
      <c r="B128" s="778" t="s">
        <v>773</v>
      </c>
      <c r="C128" s="778" t="s">
        <v>773</v>
      </c>
      <c r="D128" s="778" t="s">
        <v>773</v>
      </c>
      <c r="E128" s="778" t="s">
        <v>773</v>
      </c>
      <c r="F128" s="778">
        <v>1.26</v>
      </c>
      <c r="G128" s="778">
        <v>1.04</v>
      </c>
      <c r="H128" s="778">
        <v>1.04</v>
      </c>
      <c r="I128" s="778">
        <v>1.41</v>
      </c>
      <c r="J128" s="778">
        <v>1.42</v>
      </c>
      <c r="K128" s="778">
        <v>1.46</v>
      </c>
      <c r="L128" s="778">
        <v>1.48</v>
      </c>
      <c r="M128" s="778">
        <v>1.48</v>
      </c>
      <c r="N128" s="778">
        <v>1.47</v>
      </c>
      <c r="O128" s="778">
        <v>1.46</v>
      </c>
      <c r="P128" s="778">
        <v>1.49</v>
      </c>
      <c r="Q128" s="778">
        <v>1.5</v>
      </c>
      <c r="R128" s="778">
        <v>1.52</v>
      </c>
      <c r="S128" s="778">
        <v>1.49</v>
      </c>
      <c r="T128" s="778">
        <v>1.49</v>
      </c>
      <c r="U128" s="778">
        <v>1.47</v>
      </c>
      <c r="V128" s="778">
        <v>1.46</v>
      </c>
      <c r="W128" s="778">
        <v>1.45</v>
      </c>
      <c r="X128" s="778">
        <v>1.44</v>
      </c>
      <c r="Y128" s="778">
        <v>1.44</v>
      </c>
      <c r="Z128" s="778">
        <v>1.44</v>
      </c>
      <c r="AA128" s="778">
        <v>1.44</v>
      </c>
      <c r="AB128" s="778">
        <v>1.46</v>
      </c>
      <c r="AC128" s="778">
        <v>1.48</v>
      </c>
      <c r="AD128" s="778">
        <v>1.51</v>
      </c>
      <c r="AE128" s="778" t="s">
        <v>773</v>
      </c>
      <c r="AF128" s="778"/>
      <c r="AG128" s="778"/>
      <c r="AH128" s="778"/>
      <c r="AI128" s="778"/>
      <c r="AJ128" s="778"/>
      <c r="AK128" s="778"/>
      <c r="AL128" s="778"/>
      <c r="AM128" s="778"/>
      <c r="AN128" s="778"/>
      <c r="AO128" s="778"/>
      <c r="AP128" s="778"/>
      <c r="AQ128" s="778"/>
      <c r="AR128" s="778"/>
      <c r="AS128" s="778"/>
      <c r="AT128" s="778"/>
      <c r="AU128" s="778"/>
      <c r="AV128" s="778"/>
      <c r="AW128" s="778"/>
      <c r="AX128" s="778"/>
      <c r="AY128" s="778"/>
      <c r="AZ128" s="778"/>
      <c r="BA128" s="778"/>
      <c r="BB128" s="778"/>
      <c r="BC128" s="778"/>
      <c r="BD128" s="778"/>
      <c r="BE128" s="778"/>
      <c r="BF128" s="778"/>
      <c r="BG128" s="778"/>
      <c r="BH128" s="778"/>
      <c r="BI128" s="778"/>
      <c r="BJ128" s="778"/>
      <c r="BK128" s="778"/>
      <c r="BL128" s="778"/>
      <c r="BM128" s="778"/>
      <c r="BN128" s="778"/>
      <c r="BO128" s="778"/>
      <c r="BP128" s="778"/>
      <c r="BQ128" s="778"/>
      <c r="BR128" s="778"/>
      <c r="BS128" s="778"/>
      <c r="BT128" s="778"/>
    </row>
    <row r="129" spans="1:72" x14ac:dyDescent="0.25">
      <c r="A129" s="778" t="s">
        <v>465</v>
      </c>
      <c r="B129" s="778">
        <v>27.25</v>
      </c>
      <c r="C129" s="778">
        <v>28.81</v>
      </c>
      <c r="D129" s="778">
        <v>28.07</v>
      </c>
      <c r="E129" s="778">
        <v>26.77</v>
      </c>
      <c r="F129" s="778">
        <v>25.2</v>
      </c>
      <c r="G129" s="778">
        <v>26.1</v>
      </c>
      <c r="H129" s="778">
        <v>26.17</v>
      </c>
      <c r="I129" s="778">
        <v>25.97</v>
      </c>
      <c r="J129" s="778">
        <v>25.95</v>
      </c>
      <c r="K129" s="778">
        <v>26.2</v>
      </c>
      <c r="L129" s="778">
        <v>26.36</v>
      </c>
      <c r="M129" s="778">
        <v>26.37</v>
      </c>
      <c r="N129" s="778">
        <v>26.31</v>
      </c>
      <c r="O129" s="778">
        <v>26.51</v>
      </c>
      <c r="P129" s="778">
        <v>26.7</v>
      </c>
      <c r="Q129" s="778">
        <v>26.84</v>
      </c>
      <c r="R129" s="778">
        <v>27.04</v>
      </c>
      <c r="S129" s="778">
        <v>27.19</v>
      </c>
      <c r="T129" s="778">
        <v>27.17</v>
      </c>
      <c r="U129" s="778">
        <v>27.33</v>
      </c>
      <c r="V129" s="778">
        <v>27.53</v>
      </c>
      <c r="W129" s="778">
        <v>27.74</v>
      </c>
      <c r="X129" s="778">
        <v>28.16</v>
      </c>
      <c r="Y129" s="778">
        <v>28.49</v>
      </c>
      <c r="Z129" s="778">
        <v>28.86</v>
      </c>
      <c r="AA129" s="778">
        <v>29.21</v>
      </c>
      <c r="AB129" s="778">
        <v>29.38</v>
      </c>
      <c r="AC129" s="778">
        <v>29.64</v>
      </c>
      <c r="AD129" s="778">
        <v>29.87</v>
      </c>
      <c r="AE129" s="814">
        <v>1E-3</v>
      </c>
      <c r="AF129" s="778"/>
      <c r="AG129" s="778"/>
      <c r="AH129" s="778"/>
      <c r="AI129" s="778"/>
      <c r="AJ129" s="778"/>
      <c r="AK129" s="778"/>
      <c r="AL129" s="778"/>
      <c r="AM129" s="778"/>
      <c r="AN129" s="778"/>
      <c r="AO129" s="778"/>
      <c r="AP129" s="778"/>
      <c r="AQ129" s="778"/>
      <c r="AR129" s="778"/>
      <c r="AS129" s="778"/>
      <c r="AT129" s="778"/>
      <c r="AU129" s="778"/>
      <c r="AV129" s="778"/>
      <c r="AW129" s="778"/>
      <c r="AX129" s="778"/>
      <c r="AY129" s="778"/>
      <c r="AZ129" s="778"/>
      <c r="BA129" s="778"/>
      <c r="BB129" s="778"/>
      <c r="BC129" s="778"/>
      <c r="BD129" s="778"/>
      <c r="BE129" s="778"/>
      <c r="BF129" s="778"/>
      <c r="BG129" s="778"/>
      <c r="BH129" s="778"/>
      <c r="BI129" s="778"/>
      <c r="BJ129" s="778"/>
      <c r="BK129" s="778"/>
      <c r="BL129" s="778"/>
      <c r="BM129" s="778"/>
      <c r="BN129" s="778"/>
      <c r="BO129" s="778"/>
      <c r="BP129" s="778"/>
      <c r="BQ129" s="778"/>
      <c r="BR129" s="778"/>
      <c r="BS129" s="778"/>
      <c r="BT129" s="778"/>
    </row>
    <row r="130" spans="1:72" x14ac:dyDescent="0.25">
      <c r="A130" s="778"/>
      <c r="B130" s="778"/>
      <c r="C130" s="778"/>
      <c r="D130" s="778"/>
      <c r="E130" s="778"/>
      <c r="F130" s="778"/>
      <c r="G130" s="778"/>
      <c r="H130" s="778"/>
      <c r="I130" s="778"/>
      <c r="J130" s="778"/>
      <c r="K130" s="778"/>
      <c r="L130" s="778"/>
      <c r="M130" s="778"/>
      <c r="N130" s="778"/>
      <c r="O130" s="778"/>
      <c r="P130" s="778"/>
      <c r="Q130" s="778"/>
      <c r="R130" s="778"/>
      <c r="S130" s="778"/>
      <c r="T130" s="778"/>
      <c r="U130" s="778"/>
      <c r="V130" s="778"/>
      <c r="W130" s="778"/>
      <c r="X130" s="778"/>
      <c r="Y130" s="778"/>
      <c r="Z130" s="778"/>
      <c r="AA130" s="778"/>
      <c r="AB130" s="778"/>
      <c r="AC130" s="778"/>
      <c r="AD130" s="778"/>
      <c r="AE130" s="778"/>
      <c r="AF130" s="778"/>
      <c r="AG130" s="778"/>
      <c r="AH130" s="778"/>
      <c r="AI130" s="778"/>
      <c r="AJ130" s="778"/>
      <c r="AK130" s="778"/>
      <c r="AL130" s="778"/>
      <c r="AM130" s="778"/>
      <c r="AN130" s="778"/>
      <c r="AO130" s="778"/>
      <c r="AP130" s="778"/>
      <c r="AQ130" s="778"/>
      <c r="AR130" s="778"/>
      <c r="AS130" s="778"/>
      <c r="AT130" s="778"/>
      <c r="AU130" s="778"/>
      <c r="AV130" s="778"/>
      <c r="AW130" s="778"/>
      <c r="AX130" s="778"/>
      <c r="AY130" s="778"/>
      <c r="AZ130" s="778"/>
      <c r="BA130" s="778"/>
      <c r="BB130" s="778"/>
      <c r="BC130" s="778"/>
      <c r="BD130" s="778"/>
      <c r="BE130" s="778"/>
      <c r="BF130" s="778"/>
      <c r="BG130" s="778"/>
      <c r="BH130" s="778"/>
      <c r="BI130" s="778"/>
      <c r="BJ130" s="778"/>
      <c r="BK130" s="778"/>
      <c r="BL130" s="778"/>
      <c r="BM130" s="778"/>
      <c r="BN130" s="778"/>
      <c r="BO130" s="778"/>
      <c r="BP130" s="778"/>
      <c r="BQ130" s="778"/>
      <c r="BR130" s="778"/>
      <c r="BS130" s="778"/>
      <c r="BT130" s="778"/>
    </row>
    <row r="131" spans="1:72" x14ac:dyDescent="0.25">
      <c r="A131" s="778" t="s">
        <v>499</v>
      </c>
      <c r="B131" s="778"/>
      <c r="C131" s="778"/>
      <c r="D131" s="778"/>
      <c r="E131" s="778"/>
      <c r="F131" s="778"/>
      <c r="G131" s="778"/>
      <c r="H131" s="778"/>
      <c r="I131" s="778"/>
      <c r="J131" s="778"/>
      <c r="K131" s="778"/>
      <c r="L131" s="778"/>
      <c r="M131" s="778"/>
      <c r="N131" s="778"/>
      <c r="O131" s="778"/>
      <c r="P131" s="778"/>
      <c r="Q131" s="778"/>
      <c r="R131" s="778"/>
      <c r="S131" s="778"/>
      <c r="T131" s="778"/>
      <c r="U131" s="778"/>
      <c r="V131" s="778"/>
      <c r="W131" s="778"/>
      <c r="X131" s="778"/>
      <c r="Y131" s="778"/>
      <c r="Z131" s="778"/>
      <c r="AA131" s="778"/>
      <c r="AB131" s="778"/>
      <c r="AC131" s="778"/>
      <c r="AD131" s="778"/>
      <c r="AE131" s="778"/>
      <c r="AF131" s="778"/>
      <c r="AG131" s="778"/>
      <c r="AH131" s="778"/>
      <c r="AI131" s="778"/>
      <c r="AJ131" s="778"/>
      <c r="AK131" s="778"/>
      <c r="AL131" s="778"/>
      <c r="AM131" s="778"/>
      <c r="AN131" s="778"/>
      <c r="AO131" s="778"/>
      <c r="AP131" s="778"/>
      <c r="AQ131" s="778"/>
      <c r="AR131" s="778"/>
      <c r="AS131" s="778"/>
      <c r="AT131" s="778"/>
      <c r="AU131" s="778"/>
      <c r="AV131" s="778"/>
      <c r="AW131" s="778"/>
      <c r="AX131" s="778"/>
      <c r="AY131" s="778"/>
      <c r="AZ131" s="778"/>
      <c r="BA131" s="778"/>
      <c r="BB131" s="778"/>
      <c r="BC131" s="778"/>
      <c r="BD131" s="778"/>
      <c r="BE131" s="778"/>
      <c r="BF131" s="778"/>
      <c r="BG131" s="778"/>
      <c r="BH131" s="778"/>
      <c r="BI131" s="778"/>
      <c r="BJ131" s="778"/>
      <c r="BK131" s="778"/>
      <c r="BL131" s="778"/>
      <c r="BM131" s="778"/>
      <c r="BN131" s="778"/>
      <c r="BO131" s="778"/>
      <c r="BP131" s="778"/>
      <c r="BQ131" s="778"/>
      <c r="BR131" s="778"/>
      <c r="BS131" s="778"/>
      <c r="BT131" s="778"/>
    </row>
    <row r="132" spans="1:72" x14ac:dyDescent="0.25">
      <c r="A132" s="778" t="s">
        <v>774</v>
      </c>
      <c r="B132" s="778"/>
      <c r="C132" s="778"/>
      <c r="D132" s="778"/>
      <c r="E132" s="778"/>
      <c r="F132" s="778"/>
      <c r="G132" s="778"/>
      <c r="H132" s="778"/>
      <c r="I132" s="778"/>
      <c r="J132" s="778"/>
      <c r="K132" s="778"/>
      <c r="L132" s="778"/>
      <c r="M132" s="778"/>
      <c r="N132" s="778"/>
      <c r="O132" s="778"/>
      <c r="P132" s="778"/>
      <c r="Q132" s="778"/>
      <c r="R132" s="778"/>
      <c r="S132" s="778"/>
      <c r="T132" s="778"/>
      <c r="U132" s="778"/>
      <c r="V132" s="778"/>
      <c r="W132" s="778"/>
      <c r="X132" s="778"/>
      <c r="Y132" s="778"/>
      <c r="Z132" s="778"/>
      <c r="AA132" s="778"/>
      <c r="AB132" s="778"/>
      <c r="AC132" s="778"/>
      <c r="AD132" s="778"/>
      <c r="AE132" s="778"/>
      <c r="AF132" s="778"/>
      <c r="AG132" s="778"/>
      <c r="AH132" s="778"/>
      <c r="AI132" s="778"/>
      <c r="AJ132" s="778"/>
      <c r="AK132" s="778"/>
      <c r="AL132" s="778"/>
      <c r="AM132" s="778"/>
      <c r="AN132" s="778"/>
      <c r="AO132" s="778"/>
      <c r="AP132" s="778"/>
      <c r="AQ132" s="778"/>
      <c r="AR132" s="778"/>
      <c r="AS132" s="778"/>
      <c r="AT132" s="778"/>
      <c r="AU132" s="778"/>
      <c r="AV132" s="778"/>
      <c r="AW132" s="778"/>
      <c r="AX132" s="778"/>
      <c r="AY132" s="778"/>
      <c r="AZ132" s="778"/>
      <c r="BA132" s="778"/>
      <c r="BB132" s="778"/>
      <c r="BC132" s="778"/>
      <c r="BD132" s="778"/>
      <c r="BE132" s="778"/>
      <c r="BF132" s="778"/>
      <c r="BG132" s="778"/>
      <c r="BH132" s="778"/>
      <c r="BI132" s="778"/>
      <c r="BJ132" s="778"/>
      <c r="BK132" s="778"/>
      <c r="BL132" s="778"/>
      <c r="BM132" s="778"/>
      <c r="BN132" s="778"/>
      <c r="BO132" s="778"/>
      <c r="BP132" s="778"/>
      <c r="BQ132" s="778"/>
      <c r="BR132" s="778"/>
      <c r="BS132" s="778"/>
      <c r="BT132" s="778"/>
    </row>
    <row r="133" spans="1:72" x14ac:dyDescent="0.25">
      <c r="A133" s="778" t="s">
        <v>459</v>
      </c>
      <c r="B133" s="778">
        <v>241.67</v>
      </c>
      <c r="C133" s="778">
        <v>254.66</v>
      </c>
      <c r="D133" s="778">
        <v>231.65</v>
      </c>
      <c r="E133" s="778">
        <v>223.76</v>
      </c>
      <c r="F133" s="778">
        <v>222.61</v>
      </c>
      <c r="G133" s="778">
        <v>230.62</v>
      </c>
      <c r="H133" s="778">
        <v>228.9</v>
      </c>
      <c r="I133" s="778">
        <v>229.4</v>
      </c>
      <c r="J133" s="778">
        <v>230.89</v>
      </c>
      <c r="K133" s="778">
        <v>234.53</v>
      </c>
      <c r="L133" s="778">
        <v>236.76</v>
      </c>
      <c r="M133" s="778">
        <v>239.14</v>
      </c>
      <c r="N133" s="778">
        <v>241.36</v>
      </c>
      <c r="O133" s="778">
        <v>245.14</v>
      </c>
      <c r="P133" s="778">
        <v>247.96</v>
      </c>
      <c r="Q133" s="778">
        <v>251.14</v>
      </c>
      <c r="R133" s="778">
        <v>253.92</v>
      </c>
      <c r="S133" s="778">
        <v>256.67</v>
      </c>
      <c r="T133" s="778">
        <v>258.7</v>
      </c>
      <c r="U133" s="778">
        <v>262.54000000000002</v>
      </c>
      <c r="V133" s="778">
        <v>266.58999999999997</v>
      </c>
      <c r="W133" s="778">
        <v>271.26</v>
      </c>
      <c r="X133" s="778">
        <v>275.8</v>
      </c>
      <c r="Y133" s="778">
        <v>280.39999999999998</v>
      </c>
      <c r="Z133" s="778">
        <v>285.83</v>
      </c>
      <c r="AA133" s="778">
        <v>290.58999999999997</v>
      </c>
      <c r="AB133" s="778">
        <v>292.89999999999998</v>
      </c>
      <c r="AC133" s="778">
        <v>297.16000000000003</v>
      </c>
      <c r="AD133" s="778">
        <v>301.11</v>
      </c>
      <c r="AE133" s="814">
        <v>6.0000000000000001E-3</v>
      </c>
      <c r="AF133" s="778"/>
      <c r="AG133" s="778"/>
      <c r="AH133" s="778"/>
      <c r="AI133" s="778"/>
      <c r="AJ133" s="778"/>
      <c r="AK133" s="778"/>
      <c r="AL133" s="778"/>
      <c r="AM133" s="778"/>
      <c r="AN133" s="778"/>
      <c r="AO133" s="778"/>
      <c r="AP133" s="778"/>
      <c r="AQ133" s="778"/>
      <c r="AR133" s="778"/>
      <c r="AS133" s="778"/>
      <c r="AT133" s="778"/>
      <c r="AU133" s="778"/>
      <c r="AV133" s="778"/>
      <c r="AW133" s="778"/>
      <c r="AX133" s="778"/>
      <c r="AY133" s="778"/>
      <c r="AZ133" s="778"/>
      <c r="BA133" s="778"/>
      <c r="BB133" s="778"/>
      <c r="BC133" s="778"/>
      <c r="BD133" s="778"/>
      <c r="BE133" s="778"/>
      <c r="BF133" s="778"/>
      <c r="BG133" s="778"/>
      <c r="BH133" s="778"/>
      <c r="BI133" s="778"/>
      <c r="BJ133" s="778"/>
      <c r="BK133" s="778"/>
      <c r="BL133" s="778"/>
      <c r="BM133" s="778"/>
      <c r="BN133" s="778"/>
      <c r="BO133" s="778"/>
      <c r="BP133" s="778"/>
      <c r="BQ133" s="778"/>
      <c r="BR133" s="778"/>
      <c r="BS133" s="778"/>
      <c r="BT133" s="778"/>
    </row>
    <row r="134" spans="1:72" x14ac:dyDescent="0.25">
      <c r="A134" s="778" t="s">
        <v>466</v>
      </c>
      <c r="B134" s="778">
        <v>176.61</v>
      </c>
      <c r="C134" s="778">
        <v>191.19</v>
      </c>
      <c r="D134" s="778">
        <v>168.7</v>
      </c>
      <c r="E134" s="778">
        <v>163.43</v>
      </c>
      <c r="F134" s="778">
        <v>163.69</v>
      </c>
      <c r="G134" s="778">
        <v>172.64</v>
      </c>
      <c r="H134" s="778">
        <v>173.85</v>
      </c>
      <c r="I134" s="778">
        <v>174.18</v>
      </c>
      <c r="J134" s="778">
        <v>176.9</v>
      </c>
      <c r="K134" s="778">
        <v>180.82</v>
      </c>
      <c r="L134" s="778">
        <v>184.11</v>
      </c>
      <c r="M134" s="778">
        <v>186.86</v>
      </c>
      <c r="N134" s="778">
        <v>189.36</v>
      </c>
      <c r="O134" s="778">
        <v>193.15</v>
      </c>
      <c r="P134" s="778">
        <v>196.83</v>
      </c>
      <c r="Q134" s="778">
        <v>200.4</v>
      </c>
      <c r="R134" s="778">
        <v>204.1</v>
      </c>
      <c r="S134" s="778">
        <v>207.27</v>
      </c>
      <c r="T134" s="778">
        <v>210.07</v>
      </c>
      <c r="U134" s="778">
        <v>214.23</v>
      </c>
      <c r="V134" s="778">
        <v>218.63</v>
      </c>
      <c r="W134" s="778">
        <v>223.34</v>
      </c>
      <c r="X134" s="778">
        <v>229.36</v>
      </c>
      <c r="Y134" s="778">
        <v>234.79</v>
      </c>
      <c r="Z134" s="778">
        <v>240.94</v>
      </c>
      <c r="AA134" s="778">
        <v>246.37</v>
      </c>
      <c r="AB134" s="778">
        <v>250.61</v>
      </c>
      <c r="AC134" s="778">
        <v>256.01</v>
      </c>
      <c r="AD134" s="778">
        <v>261.07</v>
      </c>
      <c r="AE134" s="814">
        <v>1.2E-2</v>
      </c>
      <c r="AF134" s="778"/>
      <c r="AG134" s="778"/>
      <c r="AH134" s="778"/>
      <c r="AI134" s="778"/>
      <c r="AJ134" s="778"/>
      <c r="AK134" s="778"/>
      <c r="AL134" s="778"/>
      <c r="AM134" s="778"/>
      <c r="AN134" s="778"/>
      <c r="AO134" s="778"/>
      <c r="AP134" s="778"/>
      <c r="AQ134" s="778"/>
      <c r="AR134" s="778"/>
      <c r="AS134" s="778"/>
      <c r="AT134" s="778"/>
      <c r="AU134" s="778"/>
      <c r="AV134" s="778"/>
      <c r="AW134" s="778"/>
      <c r="AX134" s="778"/>
      <c r="AY134" s="778"/>
      <c r="AZ134" s="778"/>
      <c r="BA134" s="778"/>
      <c r="BB134" s="778"/>
      <c r="BC134" s="778"/>
      <c r="BD134" s="778"/>
      <c r="BE134" s="778"/>
      <c r="BF134" s="778"/>
      <c r="BG134" s="778"/>
      <c r="BH134" s="778"/>
      <c r="BI134" s="778"/>
      <c r="BJ134" s="778"/>
      <c r="BK134" s="778"/>
      <c r="BL134" s="778"/>
      <c r="BM134" s="778"/>
      <c r="BN134" s="778"/>
      <c r="BO134" s="778"/>
      <c r="BP134" s="778"/>
      <c r="BQ134" s="778"/>
      <c r="BR134" s="778"/>
      <c r="BS134" s="778"/>
      <c r="BT134" s="778"/>
    </row>
    <row r="135" spans="1:72" x14ac:dyDescent="0.25">
      <c r="A135" s="778" t="s">
        <v>501</v>
      </c>
      <c r="B135" s="778">
        <v>219.69</v>
      </c>
      <c r="C135" s="778">
        <v>244.81</v>
      </c>
      <c r="D135" s="778">
        <v>175.42</v>
      </c>
      <c r="E135" s="778">
        <v>163.24</v>
      </c>
      <c r="F135" s="778">
        <v>173.51</v>
      </c>
      <c r="G135" s="778">
        <v>191.66</v>
      </c>
      <c r="H135" s="778">
        <v>201.52</v>
      </c>
      <c r="I135" s="778">
        <v>207.49</v>
      </c>
      <c r="J135" s="778">
        <v>213.14</v>
      </c>
      <c r="K135" s="778">
        <v>218.86</v>
      </c>
      <c r="L135" s="778">
        <v>223.15</v>
      </c>
      <c r="M135" s="778">
        <v>228.05</v>
      </c>
      <c r="N135" s="778">
        <v>231.33</v>
      </c>
      <c r="O135" s="778">
        <v>234.86</v>
      </c>
      <c r="P135" s="778">
        <v>236.42</v>
      </c>
      <c r="Q135" s="778">
        <v>237.67</v>
      </c>
      <c r="R135" s="778">
        <v>239.07</v>
      </c>
      <c r="S135" s="778">
        <v>240.3</v>
      </c>
      <c r="T135" s="778">
        <v>241.75</v>
      </c>
      <c r="U135" s="778">
        <v>242.96</v>
      </c>
      <c r="V135" s="778">
        <v>245.17</v>
      </c>
      <c r="W135" s="778">
        <v>247.67</v>
      </c>
      <c r="X135" s="778">
        <v>250.95</v>
      </c>
      <c r="Y135" s="778">
        <v>253.51</v>
      </c>
      <c r="Z135" s="778">
        <v>257.7</v>
      </c>
      <c r="AA135" s="778">
        <v>259.55</v>
      </c>
      <c r="AB135" s="778">
        <v>261.58</v>
      </c>
      <c r="AC135" s="778">
        <v>265.05</v>
      </c>
      <c r="AD135" s="778">
        <v>267.18</v>
      </c>
      <c r="AE135" s="814">
        <v>3.0000000000000001E-3</v>
      </c>
      <c r="AF135" s="778"/>
      <c r="AG135" s="778"/>
      <c r="AH135" s="778"/>
      <c r="AI135" s="778"/>
      <c r="AJ135" s="778"/>
      <c r="AK135" s="778"/>
      <c r="AL135" s="778"/>
      <c r="AM135" s="778"/>
      <c r="AN135" s="778"/>
      <c r="AO135" s="778"/>
      <c r="AP135" s="778"/>
      <c r="AQ135" s="778"/>
      <c r="AR135" s="778"/>
      <c r="AS135" s="778"/>
      <c r="AT135" s="778"/>
      <c r="AU135" s="778"/>
      <c r="AV135" s="778"/>
      <c r="AW135" s="778"/>
      <c r="AX135" s="778"/>
      <c r="AY135" s="778"/>
      <c r="AZ135" s="778"/>
      <c r="BA135" s="778"/>
      <c r="BB135" s="778"/>
      <c r="BC135" s="778"/>
      <c r="BD135" s="778"/>
      <c r="BE135" s="778"/>
      <c r="BF135" s="778"/>
      <c r="BG135" s="778"/>
      <c r="BH135" s="778"/>
      <c r="BI135" s="778"/>
      <c r="BJ135" s="778"/>
      <c r="BK135" s="778"/>
      <c r="BL135" s="778"/>
      <c r="BM135" s="778"/>
      <c r="BN135" s="778"/>
      <c r="BO135" s="778"/>
      <c r="BP135" s="778"/>
      <c r="BQ135" s="778"/>
      <c r="BR135" s="778"/>
      <c r="BS135" s="778"/>
      <c r="BT135" s="778"/>
    </row>
    <row r="136" spans="1:72" x14ac:dyDescent="0.25">
      <c r="A136" s="778" t="s">
        <v>473</v>
      </c>
      <c r="B136" s="778">
        <v>613.37</v>
      </c>
      <c r="C136" s="778">
        <v>705.86</v>
      </c>
      <c r="D136" s="778">
        <v>465.68</v>
      </c>
      <c r="E136" s="778">
        <v>508.22</v>
      </c>
      <c r="F136" s="778">
        <v>528.5</v>
      </c>
      <c r="G136" s="778">
        <v>567.33000000000004</v>
      </c>
      <c r="H136" s="778">
        <v>615.79</v>
      </c>
      <c r="I136" s="778">
        <v>640.91999999999996</v>
      </c>
      <c r="J136" s="778">
        <v>655.77</v>
      </c>
      <c r="K136" s="778">
        <v>671.91</v>
      </c>
      <c r="L136" s="778">
        <v>690.32</v>
      </c>
      <c r="M136" s="778">
        <v>704.34</v>
      </c>
      <c r="N136" s="778">
        <v>717.08</v>
      </c>
      <c r="O136" s="778">
        <v>729.77</v>
      </c>
      <c r="P136" s="778">
        <v>737.71</v>
      </c>
      <c r="Q136" s="778">
        <v>743.52</v>
      </c>
      <c r="R136" s="778">
        <v>757.24</v>
      </c>
      <c r="S136" s="778">
        <v>767.89</v>
      </c>
      <c r="T136" s="778">
        <v>782.71</v>
      </c>
      <c r="U136" s="778">
        <v>795.25</v>
      </c>
      <c r="V136" s="778">
        <v>808.06</v>
      </c>
      <c r="W136" s="778">
        <v>822.03</v>
      </c>
      <c r="X136" s="778">
        <v>834.45</v>
      </c>
      <c r="Y136" s="778">
        <v>846.64</v>
      </c>
      <c r="Z136" s="778">
        <v>856.24</v>
      </c>
      <c r="AA136" s="778">
        <v>869.12</v>
      </c>
      <c r="AB136" s="778">
        <v>883.55</v>
      </c>
      <c r="AC136" s="778">
        <v>894.05</v>
      </c>
      <c r="AD136" s="778">
        <v>908.01</v>
      </c>
      <c r="AE136" s="814">
        <v>8.9999999999999993E-3</v>
      </c>
      <c r="AF136" s="778"/>
      <c r="AG136" s="778"/>
      <c r="AH136" s="778"/>
      <c r="AI136" s="778"/>
      <c r="AJ136" s="778"/>
      <c r="AK136" s="778"/>
      <c r="AL136" s="778"/>
      <c r="AM136" s="778"/>
      <c r="AN136" s="778"/>
      <c r="AO136" s="778"/>
      <c r="AP136" s="778"/>
      <c r="AQ136" s="778"/>
      <c r="AR136" s="778"/>
      <c r="AS136" s="778"/>
      <c r="AT136" s="778"/>
      <c r="AU136" s="778"/>
      <c r="AV136" s="778"/>
      <c r="AW136" s="778"/>
      <c r="AX136" s="778"/>
      <c r="AY136" s="778"/>
      <c r="AZ136" s="778"/>
      <c r="BA136" s="778"/>
      <c r="BB136" s="778"/>
      <c r="BC136" s="778"/>
      <c r="BD136" s="778"/>
      <c r="BE136" s="778"/>
      <c r="BF136" s="778"/>
      <c r="BG136" s="778"/>
      <c r="BH136" s="778"/>
      <c r="BI136" s="778"/>
      <c r="BJ136" s="778"/>
      <c r="BK136" s="778"/>
      <c r="BL136" s="778"/>
      <c r="BM136" s="778"/>
      <c r="BN136" s="778"/>
      <c r="BO136" s="778"/>
      <c r="BP136" s="778"/>
      <c r="BQ136" s="778"/>
      <c r="BR136" s="778"/>
      <c r="BS136" s="778"/>
      <c r="BT136" s="778"/>
    </row>
    <row r="137" spans="1:72" x14ac:dyDescent="0.25">
      <c r="A137" s="778" t="s">
        <v>502</v>
      </c>
      <c r="B137" s="778">
        <v>1251.3499999999999</v>
      </c>
      <c r="C137" s="778">
        <v>1396.52</v>
      </c>
      <c r="D137" s="778">
        <v>1041.45</v>
      </c>
      <c r="E137" s="778">
        <v>1058.6500000000001</v>
      </c>
      <c r="F137" s="778">
        <v>1088.31</v>
      </c>
      <c r="G137" s="778">
        <v>1162.25</v>
      </c>
      <c r="H137" s="778">
        <v>1220.05</v>
      </c>
      <c r="I137" s="778">
        <v>1251.99</v>
      </c>
      <c r="J137" s="778">
        <v>1276.69</v>
      </c>
      <c r="K137" s="778">
        <v>1306.1199999999999</v>
      </c>
      <c r="L137" s="778">
        <v>1334.33</v>
      </c>
      <c r="M137" s="778">
        <v>1358.39</v>
      </c>
      <c r="N137" s="778">
        <v>1379.14</v>
      </c>
      <c r="O137" s="778">
        <v>1402.91</v>
      </c>
      <c r="P137" s="778">
        <v>1418.92</v>
      </c>
      <c r="Q137" s="778">
        <v>1432.73</v>
      </c>
      <c r="R137" s="778">
        <v>1454.32</v>
      </c>
      <c r="S137" s="778">
        <v>1472.13</v>
      </c>
      <c r="T137" s="778">
        <v>1493.23</v>
      </c>
      <c r="U137" s="778">
        <v>1514.98</v>
      </c>
      <c r="V137" s="778">
        <v>1538.45</v>
      </c>
      <c r="W137" s="778">
        <v>1564.3</v>
      </c>
      <c r="X137" s="778">
        <v>1590.55</v>
      </c>
      <c r="Y137" s="778">
        <v>1615.34</v>
      </c>
      <c r="Z137" s="778">
        <v>1640.71</v>
      </c>
      <c r="AA137" s="778">
        <v>1665.62</v>
      </c>
      <c r="AB137" s="778">
        <v>1688.65</v>
      </c>
      <c r="AC137" s="778">
        <v>1712.28</v>
      </c>
      <c r="AD137" s="778">
        <v>1737.37</v>
      </c>
      <c r="AE137" s="814">
        <v>8.0000000000000002E-3</v>
      </c>
      <c r="AF137" s="778"/>
      <c r="AG137" s="778"/>
      <c r="AH137" s="778"/>
      <c r="AI137" s="778"/>
      <c r="AJ137" s="778"/>
      <c r="AK137" s="778"/>
      <c r="AL137" s="778"/>
      <c r="AM137" s="778"/>
      <c r="AN137" s="778"/>
      <c r="AO137" s="778"/>
      <c r="AP137" s="778"/>
      <c r="AQ137" s="778"/>
      <c r="AR137" s="778"/>
      <c r="AS137" s="778"/>
      <c r="AT137" s="778"/>
      <c r="AU137" s="778"/>
      <c r="AV137" s="778"/>
      <c r="AW137" s="778"/>
      <c r="AX137" s="778"/>
      <c r="AY137" s="778"/>
      <c r="AZ137" s="778"/>
      <c r="BA137" s="778"/>
      <c r="BB137" s="778"/>
      <c r="BC137" s="778"/>
      <c r="BD137" s="778"/>
      <c r="BE137" s="778"/>
      <c r="BF137" s="778"/>
      <c r="BG137" s="778"/>
      <c r="BH137" s="778"/>
      <c r="BI137" s="778"/>
      <c r="BJ137" s="778"/>
      <c r="BK137" s="778"/>
      <c r="BL137" s="778"/>
      <c r="BM137" s="778"/>
      <c r="BN137" s="778"/>
      <c r="BO137" s="778"/>
      <c r="BP137" s="778"/>
      <c r="BQ137" s="778"/>
      <c r="BR137" s="778"/>
      <c r="BS137" s="778"/>
      <c r="BT137" s="778"/>
    </row>
    <row r="138" spans="1:72" x14ac:dyDescent="0.25">
      <c r="A138" s="778" t="s">
        <v>614</v>
      </c>
      <c r="B138" s="778">
        <v>0.05</v>
      </c>
      <c r="C138" s="778">
        <v>0.17</v>
      </c>
      <c r="D138" s="778">
        <v>0.04</v>
      </c>
      <c r="E138" s="778">
        <v>0.09</v>
      </c>
      <c r="F138" s="778">
        <v>0.11</v>
      </c>
      <c r="G138" s="778">
        <v>0.13</v>
      </c>
      <c r="H138" s="778">
        <v>0.15</v>
      </c>
      <c r="I138" s="778">
        <v>0.17</v>
      </c>
      <c r="J138" s="778">
        <v>0.21</v>
      </c>
      <c r="K138" s="778">
        <v>2.34</v>
      </c>
      <c r="L138" s="778">
        <v>3.15</v>
      </c>
      <c r="M138" s="778">
        <v>4</v>
      </c>
      <c r="N138" s="778">
        <v>5.31</v>
      </c>
      <c r="O138" s="778">
        <v>7.12</v>
      </c>
      <c r="P138" s="778">
        <v>9.59</v>
      </c>
      <c r="Q138" s="778">
        <v>17.39</v>
      </c>
      <c r="R138" s="778">
        <v>15.56</v>
      </c>
      <c r="S138" s="778">
        <v>14.53</v>
      </c>
      <c r="T138" s="778">
        <v>15.06</v>
      </c>
      <c r="U138" s="778">
        <v>16.98</v>
      </c>
      <c r="V138" s="778">
        <v>18.95</v>
      </c>
      <c r="W138" s="778">
        <v>20.57</v>
      </c>
      <c r="X138" s="778">
        <v>23.66</v>
      </c>
      <c r="Y138" s="778">
        <v>25.05</v>
      </c>
      <c r="Z138" s="778">
        <v>31.91</v>
      </c>
      <c r="AA138" s="778">
        <v>36.74</v>
      </c>
      <c r="AB138" s="778">
        <v>40.74</v>
      </c>
      <c r="AC138" s="778">
        <v>48.35</v>
      </c>
      <c r="AD138" s="778">
        <v>56.42</v>
      </c>
      <c r="AE138" s="814">
        <v>0.24099999999999999</v>
      </c>
      <c r="AF138" s="778"/>
      <c r="AG138" s="778"/>
      <c r="AH138" s="778"/>
      <c r="AI138" s="778"/>
      <c r="AJ138" s="778"/>
      <c r="AK138" s="778"/>
      <c r="AL138" s="778"/>
      <c r="AM138" s="778"/>
      <c r="AN138" s="778"/>
      <c r="AO138" s="778"/>
      <c r="AP138" s="778"/>
      <c r="AQ138" s="778"/>
      <c r="AR138" s="778"/>
      <c r="AS138" s="778"/>
      <c r="AT138" s="778"/>
      <c r="AU138" s="778"/>
      <c r="AV138" s="778"/>
      <c r="AW138" s="778"/>
      <c r="AX138" s="778"/>
      <c r="AY138" s="778"/>
      <c r="AZ138" s="778"/>
      <c r="BA138" s="778"/>
      <c r="BB138" s="778"/>
      <c r="BC138" s="778"/>
      <c r="BD138" s="778"/>
      <c r="BE138" s="778"/>
      <c r="BF138" s="778"/>
      <c r="BG138" s="778"/>
      <c r="BH138" s="778"/>
      <c r="BI138" s="778"/>
      <c r="BJ138" s="778"/>
      <c r="BK138" s="778"/>
      <c r="BL138" s="778"/>
      <c r="BM138" s="778"/>
      <c r="BN138" s="778"/>
      <c r="BO138" s="778"/>
      <c r="BP138" s="778"/>
      <c r="BQ138" s="778"/>
      <c r="BR138" s="778"/>
      <c r="BS138" s="778"/>
      <c r="BT138" s="778"/>
    </row>
    <row r="139" spans="1:72" x14ac:dyDescent="0.25">
      <c r="A139" s="778" t="s">
        <v>504</v>
      </c>
      <c r="B139" s="778">
        <v>1251.3900000000001</v>
      </c>
      <c r="C139" s="778">
        <v>1396.69</v>
      </c>
      <c r="D139" s="778">
        <v>1041.49</v>
      </c>
      <c r="E139" s="778">
        <v>1058.74</v>
      </c>
      <c r="F139" s="778">
        <v>1088.42</v>
      </c>
      <c r="G139" s="778">
        <v>1162.3699999999999</v>
      </c>
      <c r="H139" s="778">
        <v>1220.2</v>
      </c>
      <c r="I139" s="778">
        <v>1252.1600000000001</v>
      </c>
      <c r="J139" s="778">
        <v>1276.9000000000001</v>
      </c>
      <c r="K139" s="778">
        <v>1308.46</v>
      </c>
      <c r="L139" s="778">
        <v>1337.48</v>
      </c>
      <c r="M139" s="778">
        <v>1362.4</v>
      </c>
      <c r="N139" s="778">
        <v>1384.44</v>
      </c>
      <c r="O139" s="778">
        <v>1410.03</v>
      </c>
      <c r="P139" s="778">
        <v>1428.51</v>
      </c>
      <c r="Q139" s="778">
        <v>1450.12</v>
      </c>
      <c r="R139" s="778">
        <v>1469.88</v>
      </c>
      <c r="S139" s="778">
        <v>1486.66</v>
      </c>
      <c r="T139" s="778">
        <v>1508.29</v>
      </c>
      <c r="U139" s="778">
        <v>1531.96</v>
      </c>
      <c r="V139" s="778">
        <v>1557.41</v>
      </c>
      <c r="W139" s="778">
        <v>1584.86</v>
      </c>
      <c r="X139" s="778">
        <v>1614.21</v>
      </c>
      <c r="Y139" s="778">
        <v>1640.39</v>
      </c>
      <c r="Z139" s="778">
        <v>1672.62</v>
      </c>
      <c r="AA139" s="778">
        <v>1702.37</v>
      </c>
      <c r="AB139" s="778">
        <v>1729.39</v>
      </c>
      <c r="AC139" s="778">
        <v>1760.62</v>
      </c>
      <c r="AD139" s="778">
        <v>1793.79</v>
      </c>
      <c r="AE139" s="814">
        <v>8.9999999999999993E-3</v>
      </c>
      <c r="AF139" s="778"/>
      <c r="AG139" s="778"/>
      <c r="AH139" s="778"/>
      <c r="AI139" s="778"/>
      <c r="AJ139" s="778"/>
      <c r="AK139" s="778"/>
      <c r="AL139" s="778"/>
      <c r="AM139" s="778"/>
      <c r="AN139" s="778"/>
      <c r="AO139" s="778"/>
      <c r="AP139" s="778"/>
      <c r="AQ139" s="778"/>
      <c r="AR139" s="778"/>
      <c r="AS139" s="778"/>
      <c r="AT139" s="778"/>
      <c r="AU139" s="778"/>
      <c r="AV139" s="778"/>
      <c r="AW139" s="778"/>
      <c r="AX139" s="778"/>
      <c r="AY139" s="778"/>
      <c r="AZ139" s="778"/>
      <c r="BA139" s="778"/>
      <c r="BB139" s="778"/>
      <c r="BC139" s="778"/>
      <c r="BD139" s="778"/>
      <c r="BE139" s="778"/>
      <c r="BF139" s="778"/>
      <c r="BG139" s="778"/>
      <c r="BH139" s="778"/>
      <c r="BI139" s="778"/>
      <c r="BJ139" s="778"/>
      <c r="BK139" s="778"/>
      <c r="BL139" s="778"/>
      <c r="BM139" s="778"/>
      <c r="BN139" s="778"/>
      <c r="BO139" s="778"/>
      <c r="BP139" s="778"/>
      <c r="BQ139" s="778"/>
      <c r="BR139" s="778"/>
      <c r="BS139" s="778"/>
      <c r="BT139" s="778"/>
    </row>
    <row r="140" spans="1:72" x14ac:dyDescent="0.25">
      <c r="A140" s="778"/>
      <c r="B140" s="778"/>
      <c r="C140" s="778"/>
      <c r="D140" s="778"/>
      <c r="E140" s="778"/>
      <c r="F140" s="778"/>
      <c r="G140" s="778"/>
      <c r="H140" s="778"/>
      <c r="I140" s="778"/>
      <c r="J140" s="778"/>
      <c r="K140" s="778"/>
      <c r="L140" s="778"/>
      <c r="M140" s="778"/>
      <c r="N140" s="778"/>
      <c r="O140" s="778"/>
      <c r="P140" s="778"/>
      <c r="Q140" s="778"/>
      <c r="R140" s="778"/>
      <c r="S140" s="778"/>
      <c r="T140" s="778"/>
      <c r="U140" s="778"/>
      <c r="V140" s="778"/>
      <c r="W140" s="778"/>
      <c r="X140" s="778"/>
      <c r="Y140" s="778"/>
      <c r="Z140" s="778"/>
      <c r="AA140" s="778"/>
      <c r="AB140" s="778"/>
      <c r="AC140" s="778"/>
      <c r="AD140" s="778"/>
      <c r="AE140" s="778"/>
      <c r="AF140" s="778"/>
      <c r="AG140" s="778"/>
      <c r="AH140" s="778"/>
      <c r="AI140" s="778"/>
      <c r="AJ140" s="778"/>
      <c r="AK140" s="778"/>
      <c r="AL140" s="778"/>
      <c r="AM140" s="778"/>
      <c r="AN140" s="778"/>
      <c r="AO140" s="778"/>
      <c r="AP140" s="778"/>
      <c r="AQ140" s="778"/>
      <c r="AR140" s="778"/>
      <c r="AS140" s="778"/>
      <c r="AT140" s="778"/>
      <c r="AU140" s="778"/>
      <c r="AV140" s="778"/>
      <c r="AW140" s="778"/>
      <c r="AX140" s="778"/>
      <c r="AY140" s="778"/>
      <c r="AZ140" s="778"/>
      <c r="BA140" s="778"/>
      <c r="BB140" s="778"/>
      <c r="BC140" s="778"/>
      <c r="BD140" s="778"/>
      <c r="BE140" s="778"/>
      <c r="BF140" s="778"/>
      <c r="BG140" s="778"/>
      <c r="BH140" s="778"/>
      <c r="BI140" s="778"/>
      <c r="BJ140" s="778"/>
      <c r="BK140" s="778"/>
      <c r="BL140" s="778"/>
      <c r="BM140" s="778"/>
      <c r="BN140" s="778"/>
      <c r="BO140" s="778"/>
      <c r="BP140" s="778"/>
      <c r="BQ140" s="778"/>
      <c r="BR140" s="778"/>
      <c r="BS140" s="778"/>
      <c r="BT140" s="778"/>
    </row>
    <row r="141" spans="1:72" x14ac:dyDescent="0.25">
      <c r="A141" s="778"/>
      <c r="B141" s="778"/>
      <c r="C141" s="778"/>
      <c r="D141" s="778"/>
      <c r="E141" s="778"/>
      <c r="F141" s="778"/>
      <c r="G141" s="778"/>
      <c r="H141" s="778"/>
      <c r="I141" s="778"/>
      <c r="J141" s="778"/>
      <c r="K141" s="778"/>
      <c r="L141" s="778"/>
      <c r="M141" s="778"/>
      <c r="N141" s="778"/>
      <c r="O141" s="778"/>
      <c r="P141" s="778"/>
      <c r="Q141" s="778"/>
      <c r="R141" s="778"/>
      <c r="S141" s="778"/>
      <c r="T141" s="778"/>
      <c r="U141" s="778"/>
      <c r="V141" s="778"/>
      <c r="W141" s="778"/>
      <c r="X141" s="778"/>
      <c r="Y141" s="778"/>
      <c r="Z141" s="778"/>
      <c r="AA141" s="778"/>
      <c r="AB141" s="778"/>
      <c r="AC141" s="778"/>
      <c r="AD141" s="778"/>
      <c r="AE141" s="778"/>
      <c r="AF141" s="778"/>
      <c r="AG141" s="778"/>
      <c r="AH141" s="778"/>
      <c r="AI141" s="778"/>
      <c r="AJ141" s="778"/>
      <c r="AK141" s="778"/>
      <c r="AL141" s="778"/>
      <c r="AM141" s="778"/>
      <c r="AN141" s="778"/>
      <c r="AO141" s="778"/>
      <c r="AP141" s="778"/>
      <c r="AQ141" s="778"/>
      <c r="AR141" s="778"/>
      <c r="AS141" s="778"/>
      <c r="AT141" s="778"/>
      <c r="AU141" s="778"/>
      <c r="AV141" s="778"/>
      <c r="AW141" s="778"/>
      <c r="AX141" s="778"/>
      <c r="AY141" s="778"/>
      <c r="AZ141" s="778"/>
      <c r="BA141" s="778"/>
      <c r="BB141" s="778"/>
      <c r="BC141" s="778"/>
      <c r="BD141" s="778"/>
      <c r="BE141" s="778"/>
      <c r="BF141" s="778"/>
      <c r="BG141" s="778"/>
      <c r="BH141" s="778"/>
      <c r="BI141" s="778"/>
      <c r="BJ141" s="778"/>
      <c r="BK141" s="778"/>
      <c r="BL141" s="778"/>
      <c r="BM141" s="778"/>
      <c r="BN141" s="778"/>
      <c r="BO141" s="778"/>
      <c r="BP141" s="778"/>
      <c r="BQ141" s="778"/>
      <c r="BR141" s="778"/>
      <c r="BS141" s="778"/>
      <c r="BT141" s="778"/>
    </row>
    <row r="142" spans="1:72" x14ac:dyDescent="0.25">
      <c r="A142" s="778" t="s">
        <v>711</v>
      </c>
      <c r="B142" s="778"/>
      <c r="C142" s="778"/>
      <c r="D142" s="778"/>
      <c r="E142" s="778"/>
      <c r="F142" s="778"/>
      <c r="G142" s="778"/>
      <c r="H142" s="778"/>
      <c r="I142" s="778"/>
      <c r="J142" s="778"/>
      <c r="K142" s="778"/>
      <c r="L142" s="778"/>
      <c r="M142" s="778"/>
      <c r="N142" s="778"/>
      <c r="O142" s="778"/>
      <c r="P142" s="778"/>
      <c r="Q142" s="778"/>
      <c r="R142" s="778"/>
      <c r="S142" s="778"/>
      <c r="T142" s="778"/>
      <c r="U142" s="778"/>
      <c r="V142" s="778"/>
      <c r="W142" s="778"/>
      <c r="X142" s="778"/>
      <c r="Y142" s="778"/>
      <c r="Z142" s="778"/>
      <c r="AA142" s="778"/>
      <c r="AB142" s="778"/>
      <c r="AC142" s="778"/>
      <c r="AD142" s="778"/>
      <c r="AE142" s="778"/>
      <c r="AF142" s="778"/>
      <c r="AG142" s="778"/>
      <c r="AH142" s="778"/>
      <c r="AI142" s="778"/>
      <c r="AJ142" s="778"/>
      <c r="AK142" s="778"/>
      <c r="AL142" s="778"/>
      <c r="AM142" s="778"/>
      <c r="AN142" s="778"/>
      <c r="AO142" s="778"/>
      <c r="AP142" s="778"/>
      <c r="AQ142" s="778"/>
      <c r="AR142" s="778"/>
      <c r="AS142" s="778"/>
      <c r="AT142" s="778"/>
      <c r="AU142" s="778"/>
      <c r="AV142" s="778"/>
      <c r="AW142" s="778"/>
      <c r="AX142" s="778"/>
      <c r="AY142" s="778"/>
      <c r="AZ142" s="778"/>
      <c r="BA142" s="778"/>
      <c r="BB142" s="778"/>
      <c r="BC142" s="778"/>
      <c r="BD142" s="778"/>
      <c r="BE142" s="778"/>
      <c r="BF142" s="778"/>
      <c r="BG142" s="778"/>
      <c r="BH142" s="778"/>
      <c r="BI142" s="778"/>
      <c r="BJ142" s="778"/>
      <c r="BK142" s="778"/>
      <c r="BL142" s="778"/>
      <c r="BM142" s="778"/>
      <c r="BN142" s="778"/>
      <c r="BO142" s="778"/>
      <c r="BP142" s="778"/>
      <c r="BQ142" s="778"/>
      <c r="BR142" s="778"/>
      <c r="BS142" s="778"/>
      <c r="BT142" s="778"/>
    </row>
    <row r="143" spans="1:72" x14ac:dyDescent="0.25">
      <c r="A143" s="778" t="s">
        <v>459</v>
      </c>
      <c r="B143" s="778"/>
      <c r="C143" s="778"/>
      <c r="D143" s="778"/>
      <c r="E143" s="778"/>
      <c r="F143" s="778"/>
      <c r="G143" s="778"/>
      <c r="H143" s="778"/>
      <c r="I143" s="778"/>
      <c r="J143" s="778"/>
      <c r="K143" s="778"/>
      <c r="L143" s="778"/>
      <c r="M143" s="778"/>
      <c r="N143" s="778"/>
      <c r="O143" s="778"/>
      <c r="P143" s="778"/>
      <c r="Q143" s="778"/>
      <c r="R143" s="778"/>
      <c r="S143" s="778"/>
      <c r="T143" s="778"/>
      <c r="U143" s="778"/>
      <c r="V143" s="778"/>
      <c r="W143" s="778"/>
      <c r="X143" s="778"/>
      <c r="Y143" s="778"/>
      <c r="Z143" s="778"/>
      <c r="AA143" s="778"/>
      <c r="AB143" s="778"/>
      <c r="AC143" s="778"/>
      <c r="AD143" s="778"/>
      <c r="AE143" s="778"/>
      <c r="AF143" s="778"/>
      <c r="AG143" s="778"/>
      <c r="AH143" s="778"/>
      <c r="AI143" s="778"/>
      <c r="AJ143" s="778"/>
      <c r="AK143" s="778"/>
      <c r="AL143" s="778"/>
      <c r="AM143" s="778"/>
      <c r="AN143" s="778"/>
      <c r="AO143" s="778"/>
      <c r="AP143" s="778"/>
      <c r="AQ143" s="778"/>
      <c r="AR143" s="778"/>
      <c r="AS143" s="778"/>
      <c r="AT143" s="778"/>
      <c r="AU143" s="778"/>
      <c r="AV143" s="778"/>
      <c r="AW143" s="778"/>
      <c r="AX143" s="778"/>
      <c r="AY143" s="778"/>
      <c r="AZ143" s="778"/>
      <c r="BA143" s="778"/>
      <c r="BB143" s="778"/>
      <c r="BC143" s="778"/>
      <c r="BD143" s="778"/>
      <c r="BE143" s="778"/>
      <c r="BF143" s="778"/>
      <c r="BG143" s="778"/>
      <c r="BH143" s="778"/>
      <c r="BI143" s="778"/>
      <c r="BJ143" s="778"/>
      <c r="BK143" s="778"/>
      <c r="BL143" s="778"/>
      <c r="BM143" s="778"/>
      <c r="BN143" s="778"/>
      <c r="BO143" s="778"/>
      <c r="BP143" s="778"/>
      <c r="BQ143" s="778"/>
      <c r="BR143" s="778"/>
      <c r="BS143" s="778"/>
      <c r="BT143" s="778"/>
    </row>
    <row r="144" spans="1:72" x14ac:dyDescent="0.25">
      <c r="A144" s="778" t="s">
        <v>594</v>
      </c>
      <c r="B144" s="778">
        <v>25.67</v>
      </c>
      <c r="C144" s="778">
        <v>29.35</v>
      </c>
      <c r="D144" s="778">
        <v>25.28</v>
      </c>
      <c r="E144" s="778">
        <v>24.73</v>
      </c>
      <c r="F144" s="778">
        <v>25.15</v>
      </c>
      <c r="G144" s="778">
        <v>26.73</v>
      </c>
      <c r="H144" s="778">
        <v>28.51</v>
      </c>
      <c r="I144" s="778">
        <v>30.06</v>
      </c>
      <c r="J144" s="778">
        <v>31.23</v>
      </c>
      <c r="K144" s="778">
        <v>32.520000000000003</v>
      </c>
      <c r="L144" s="778">
        <v>33.75</v>
      </c>
      <c r="M144" s="778">
        <v>35.06</v>
      </c>
      <c r="N144" s="778">
        <v>36.020000000000003</v>
      </c>
      <c r="O144" s="778">
        <v>37.020000000000003</v>
      </c>
      <c r="P144" s="778">
        <v>38.1</v>
      </c>
      <c r="Q144" s="778">
        <v>39.200000000000003</v>
      </c>
      <c r="R144" s="778">
        <v>40.409999999999997</v>
      </c>
      <c r="S144" s="778">
        <v>41.61</v>
      </c>
      <c r="T144" s="778">
        <v>42.82</v>
      </c>
      <c r="U144" s="778">
        <v>43.92</v>
      </c>
      <c r="V144" s="778">
        <v>45.24</v>
      </c>
      <c r="W144" s="778">
        <v>46.58</v>
      </c>
      <c r="X144" s="778">
        <v>48.12</v>
      </c>
      <c r="Y144" s="778">
        <v>49.52</v>
      </c>
      <c r="Z144" s="778">
        <v>51.18</v>
      </c>
      <c r="AA144" s="778">
        <v>52.85</v>
      </c>
      <c r="AB144" s="778">
        <v>54.62</v>
      </c>
      <c r="AC144" s="778">
        <v>56.39</v>
      </c>
      <c r="AD144" s="778">
        <v>58.23</v>
      </c>
      <c r="AE144" s="814">
        <v>2.5999999999999999E-2</v>
      </c>
      <c r="AF144" s="778"/>
      <c r="AG144" s="778"/>
      <c r="AH144" s="778"/>
      <c r="AI144" s="778"/>
      <c r="AJ144" s="778"/>
      <c r="AK144" s="778"/>
      <c r="AL144" s="778"/>
      <c r="AM144" s="778"/>
      <c r="AN144" s="778"/>
      <c r="AO144" s="778"/>
      <c r="AP144" s="778"/>
      <c r="AQ144" s="778"/>
      <c r="AR144" s="778"/>
      <c r="AS144" s="778"/>
      <c r="AT144" s="778"/>
      <c r="AU144" s="778"/>
      <c r="AV144" s="778"/>
      <c r="AW144" s="778"/>
      <c r="AX144" s="778"/>
      <c r="AY144" s="778"/>
      <c r="AZ144" s="778"/>
      <c r="BA144" s="778"/>
      <c r="BB144" s="778"/>
      <c r="BC144" s="778"/>
      <c r="BD144" s="778"/>
      <c r="BE144" s="778"/>
      <c r="BF144" s="778"/>
      <c r="BG144" s="778"/>
      <c r="BH144" s="778"/>
      <c r="BI144" s="778"/>
      <c r="BJ144" s="778"/>
      <c r="BK144" s="778"/>
      <c r="BL144" s="778"/>
      <c r="BM144" s="778"/>
      <c r="BN144" s="778"/>
      <c r="BO144" s="778"/>
      <c r="BP144" s="778"/>
      <c r="BQ144" s="778"/>
      <c r="BR144" s="778"/>
      <c r="BS144" s="778"/>
      <c r="BT144" s="778"/>
    </row>
    <row r="145" spans="1:72" x14ac:dyDescent="0.25">
      <c r="A145" s="778" t="s">
        <v>595</v>
      </c>
      <c r="B145" s="778">
        <v>19.86</v>
      </c>
      <c r="C145" s="778">
        <v>24.47</v>
      </c>
      <c r="D145" s="778">
        <v>18.260000000000002</v>
      </c>
      <c r="E145" s="778">
        <v>18.100000000000001</v>
      </c>
      <c r="F145" s="778">
        <v>18.489999999999998</v>
      </c>
      <c r="G145" s="778">
        <v>19.940000000000001</v>
      </c>
      <c r="H145" s="778">
        <v>21.4</v>
      </c>
      <c r="I145" s="778">
        <v>22.55</v>
      </c>
      <c r="J145" s="778">
        <v>23.49</v>
      </c>
      <c r="K145" s="778">
        <v>24.96</v>
      </c>
      <c r="L145" s="778">
        <v>26.17</v>
      </c>
      <c r="M145" s="778">
        <v>27.44</v>
      </c>
      <c r="N145" s="778">
        <v>28.46</v>
      </c>
      <c r="O145" s="778">
        <v>29.45</v>
      </c>
      <c r="P145" s="778">
        <v>30.25</v>
      </c>
      <c r="Q145" s="778">
        <v>31.17</v>
      </c>
      <c r="R145" s="778">
        <v>32.25</v>
      </c>
      <c r="S145" s="778">
        <v>33.17</v>
      </c>
      <c r="T145" s="778">
        <v>34.24</v>
      </c>
      <c r="U145" s="778">
        <v>35.33</v>
      </c>
      <c r="V145" s="778">
        <v>36.380000000000003</v>
      </c>
      <c r="W145" s="778">
        <v>37.630000000000003</v>
      </c>
      <c r="X145" s="778">
        <v>39.049999999999997</v>
      </c>
      <c r="Y145" s="778">
        <v>40.159999999999997</v>
      </c>
      <c r="Z145" s="778">
        <v>41.73</v>
      </c>
      <c r="AA145" s="778">
        <v>43.3</v>
      </c>
      <c r="AB145" s="778">
        <v>44.82</v>
      </c>
      <c r="AC145" s="778">
        <v>46.47</v>
      </c>
      <c r="AD145" s="778">
        <v>48.16</v>
      </c>
      <c r="AE145" s="814">
        <v>2.5000000000000001E-2</v>
      </c>
      <c r="AF145" s="778"/>
      <c r="AG145" s="778"/>
      <c r="AH145" s="778"/>
      <c r="AI145" s="778"/>
      <c r="AJ145" s="778"/>
      <c r="AK145" s="778"/>
      <c r="AL145" s="778"/>
      <c r="AM145" s="778"/>
      <c r="AN145" s="778"/>
      <c r="AO145" s="778"/>
      <c r="AP145" s="778"/>
      <c r="AQ145" s="778"/>
      <c r="AR145" s="778"/>
      <c r="AS145" s="778"/>
      <c r="AT145" s="778"/>
      <c r="AU145" s="778"/>
      <c r="AV145" s="778"/>
      <c r="AW145" s="778"/>
      <c r="AX145" s="778"/>
      <c r="AY145" s="778"/>
      <c r="AZ145" s="778"/>
      <c r="BA145" s="778"/>
      <c r="BB145" s="778"/>
      <c r="BC145" s="778"/>
      <c r="BD145" s="778"/>
      <c r="BE145" s="778"/>
      <c r="BF145" s="778"/>
      <c r="BG145" s="778"/>
      <c r="BH145" s="778"/>
      <c r="BI145" s="778"/>
      <c r="BJ145" s="778"/>
      <c r="BK145" s="778"/>
      <c r="BL145" s="778"/>
      <c r="BM145" s="778"/>
      <c r="BN145" s="778"/>
      <c r="BO145" s="778"/>
      <c r="BP145" s="778"/>
      <c r="BQ145" s="778"/>
      <c r="BR145" s="778"/>
      <c r="BS145" s="778"/>
      <c r="BT145" s="778"/>
    </row>
    <row r="146" spans="1:72" x14ac:dyDescent="0.25">
      <c r="A146" s="778" t="s">
        <v>496</v>
      </c>
      <c r="B146" s="778">
        <v>12.66</v>
      </c>
      <c r="C146" s="778">
        <v>13.48</v>
      </c>
      <c r="D146" s="778">
        <v>11.57</v>
      </c>
      <c r="E146" s="778">
        <v>11.22</v>
      </c>
      <c r="F146" s="778">
        <v>12.29</v>
      </c>
      <c r="G146" s="778">
        <v>12.56</v>
      </c>
      <c r="H146" s="778">
        <v>12.36</v>
      </c>
      <c r="I146" s="778">
        <v>12.51</v>
      </c>
      <c r="J146" s="778">
        <v>12.88</v>
      </c>
      <c r="K146" s="778">
        <v>13.22</v>
      </c>
      <c r="L146" s="778">
        <v>13.5</v>
      </c>
      <c r="M146" s="778">
        <v>13.83</v>
      </c>
      <c r="N146" s="778">
        <v>14.18</v>
      </c>
      <c r="O146" s="778">
        <v>14.61</v>
      </c>
      <c r="P146" s="778">
        <v>15.06</v>
      </c>
      <c r="Q146" s="778">
        <v>15.64</v>
      </c>
      <c r="R146" s="778">
        <v>16.010000000000002</v>
      </c>
      <c r="S146" s="778">
        <v>16.22</v>
      </c>
      <c r="T146" s="778">
        <v>16.68</v>
      </c>
      <c r="U146" s="778">
        <v>17.260000000000002</v>
      </c>
      <c r="V146" s="778">
        <v>17.91</v>
      </c>
      <c r="W146" s="778">
        <v>18.649999999999999</v>
      </c>
      <c r="X146" s="778">
        <v>19.440000000000001</v>
      </c>
      <c r="Y146" s="778">
        <v>20.29</v>
      </c>
      <c r="Z146" s="778">
        <v>21.26</v>
      </c>
      <c r="AA146" s="778">
        <v>21.98</v>
      </c>
      <c r="AB146" s="778">
        <v>22.61</v>
      </c>
      <c r="AC146" s="778">
        <v>23.44</v>
      </c>
      <c r="AD146" s="778">
        <v>24.2</v>
      </c>
      <c r="AE146" s="814">
        <v>2.1999999999999999E-2</v>
      </c>
      <c r="AF146" s="778"/>
      <c r="AG146" s="778"/>
      <c r="AH146" s="778"/>
      <c r="AI146" s="778"/>
      <c r="AJ146" s="778"/>
      <c r="AK146" s="778"/>
      <c r="AL146" s="778"/>
      <c r="AM146" s="778"/>
      <c r="AN146" s="778"/>
      <c r="AO146" s="778"/>
      <c r="AP146" s="778"/>
      <c r="AQ146" s="778"/>
      <c r="AR146" s="778"/>
      <c r="AS146" s="778"/>
      <c r="AT146" s="778"/>
      <c r="AU146" s="778"/>
      <c r="AV146" s="778"/>
      <c r="AW146" s="778"/>
      <c r="AX146" s="778"/>
      <c r="AY146" s="778"/>
      <c r="AZ146" s="778"/>
      <c r="BA146" s="778"/>
      <c r="BB146" s="778"/>
      <c r="BC146" s="778"/>
      <c r="BD146" s="778"/>
      <c r="BE146" s="778"/>
      <c r="BF146" s="778"/>
      <c r="BG146" s="778"/>
      <c r="BH146" s="778"/>
      <c r="BI146" s="778"/>
      <c r="BJ146" s="778"/>
      <c r="BK146" s="778"/>
      <c r="BL146" s="778"/>
      <c r="BM146" s="778"/>
      <c r="BN146" s="778"/>
      <c r="BO146" s="778"/>
      <c r="BP146" s="778"/>
      <c r="BQ146" s="778"/>
      <c r="BR146" s="778"/>
      <c r="BS146" s="778"/>
      <c r="BT146" s="778"/>
    </row>
    <row r="147" spans="1:72" x14ac:dyDescent="0.25">
      <c r="A147" s="778" t="s">
        <v>465</v>
      </c>
      <c r="B147" s="778">
        <v>31.12</v>
      </c>
      <c r="C147" s="778">
        <v>33.29</v>
      </c>
      <c r="D147" s="778">
        <v>32.83</v>
      </c>
      <c r="E147" s="778">
        <v>31.88</v>
      </c>
      <c r="F147" s="778">
        <v>31.21</v>
      </c>
      <c r="G147" s="778">
        <v>32.9</v>
      </c>
      <c r="H147" s="778">
        <v>33.9</v>
      </c>
      <c r="I147" s="778">
        <v>34.5</v>
      </c>
      <c r="J147" s="778">
        <v>35.020000000000003</v>
      </c>
      <c r="K147" s="778">
        <v>35.89</v>
      </c>
      <c r="L147" s="778">
        <v>36.74</v>
      </c>
      <c r="M147" s="778">
        <v>37.39</v>
      </c>
      <c r="N147" s="778">
        <v>37.97</v>
      </c>
      <c r="O147" s="778">
        <v>38.92</v>
      </c>
      <c r="P147" s="778">
        <v>39.950000000000003</v>
      </c>
      <c r="Q147" s="778">
        <v>40.92</v>
      </c>
      <c r="R147" s="778">
        <v>41.95</v>
      </c>
      <c r="S147" s="778">
        <v>42.94</v>
      </c>
      <c r="T147" s="778">
        <v>43.78</v>
      </c>
      <c r="U147" s="778">
        <v>44.88</v>
      </c>
      <c r="V147" s="778">
        <v>46.07</v>
      </c>
      <c r="W147" s="778">
        <v>47.3</v>
      </c>
      <c r="X147" s="778">
        <v>48.93</v>
      </c>
      <c r="Y147" s="778">
        <v>50.5</v>
      </c>
      <c r="Z147" s="778">
        <v>52.16</v>
      </c>
      <c r="AA147" s="778">
        <v>53.81</v>
      </c>
      <c r="AB147" s="778">
        <v>55.2</v>
      </c>
      <c r="AC147" s="778">
        <v>56.77</v>
      </c>
      <c r="AD147" s="778">
        <v>58.33</v>
      </c>
      <c r="AE147" s="814">
        <v>2.1000000000000001E-2</v>
      </c>
      <c r="AF147" s="778"/>
      <c r="AG147" s="778"/>
      <c r="AH147" s="778"/>
      <c r="AI147" s="778"/>
      <c r="AJ147" s="778"/>
      <c r="AK147" s="778"/>
      <c r="AL147" s="778"/>
      <c r="AM147" s="778"/>
      <c r="AN147" s="778"/>
      <c r="AO147" s="778"/>
      <c r="AP147" s="778"/>
      <c r="AQ147" s="778"/>
      <c r="AR147" s="778"/>
      <c r="AS147" s="778"/>
      <c r="AT147" s="778"/>
      <c r="AU147" s="778"/>
      <c r="AV147" s="778"/>
      <c r="AW147" s="778"/>
      <c r="AX147" s="778"/>
      <c r="AY147" s="778"/>
      <c r="AZ147" s="778"/>
      <c r="BA147" s="778"/>
      <c r="BB147" s="778"/>
      <c r="BC147" s="778"/>
      <c r="BD147" s="778"/>
      <c r="BE147" s="778"/>
      <c r="BF147" s="778"/>
      <c r="BG147" s="778"/>
      <c r="BH147" s="778"/>
      <c r="BI147" s="778"/>
      <c r="BJ147" s="778"/>
      <c r="BK147" s="778"/>
      <c r="BL147" s="778"/>
      <c r="BM147" s="778"/>
      <c r="BN147" s="778"/>
      <c r="BO147" s="778"/>
      <c r="BP147" s="778"/>
      <c r="BQ147" s="778"/>
      <c r="BR147" s="778"/>
      <c r="BS147" s="778"/>
      <c r="BT147" s="778"/>
    </row>
    <row r="148" spans="1:72" x14ac:dyDescent="0.25">
      <c r="A148" s="778"/>
      <c r="B148" s="778"/>
      <c r="C148" s="778"/>
      <c r="D148" s="778"/>
      <c r="E148" s="778"/>
      <c r="F148" s="778"/>
      <c r="G148" s="778"/>
      <c r="H148" s="778"/>
      <c r="I148" s="778"/>
      <c r="J148" s="778"/>
      <c r="K148" s="778"/>
      <c r="L148" s="778"/>
      <c r="M148" s="778"/>
      <c r="N148" s="778"/>
      <c r="O148" s="778"/>
      <c r="P148" s="778"/>
      <c r="Q148" s="778"/>
      <c r="R148" s="778"/>
      <c r="S148" s="778"/>
      <c r="T148" s="778"/>
      <c r="U148" s="778"/>
      <c r="V148" s="778"/>
      <c r="W148" s="778"/>
      <c r="X148" s="778"/>
      <c r="Y148" s="778"/>
      <c r="Z148" s="778"/>
      <c r="AA148" s="778"/>
      <c r="AB148" s="778"/>
      <c r="AC148" s="778"/>
      <c r="AD148" s="778"/>
      <c r="AE148" s="778"/>
      <c r="AF148" s="778"/>
      <c r="AG148" s="778"/>
      <c r="AH148" s="778"/>
      <c r="AI148" s="778"/>
      <c r="AJ148" s="778"/>
      <c r="AK148" s="778"/>
      <c r="AL148" s="778"/>
      <c r="AM148" s="778"/>
      <c r="AN148" s="778"/>
      <c r="AO148" s="778"/>
      <c r="AP148" s="778"/>
      <c r="AQ148" s="778"/>
      <c r="AR148" s="778"/>
      <c r="AS148" s="778"/>
      <c r="AT148" s="778"/>
      <c r="AU148" s="778"/>
      <c r="AV148" s="778"/>
      <c r="AW148" s="778"/>
      <c r="AX148" s="778"/>
      <c r="AY148" s="778"/>
      <c r="AZ148" s="778"/>
      <c r="BA148" s="778"/>
      <c r="BB148" s="778"/>
      <c r="BC148" s="778"/>
      <c r="BD148" s="778"/>
      <c r="BE148" s="778"/>
      <c r="BF148" s="778"/>
      <c r="BG148" s="778"/>
      <c r="BH148" s="778"/>
      <c r="BI148" s="778"/>
      <c r="BJ148" s="778"/>
      <c r="BK148" s="778"/>
      <c r="BL148" s="778"/>
      <c r="BM148" s="778"/>
      <c r="BN148" s="778"/>
      <c r="BO148" s="778"/>
      <c r="BP148" s="778"/>
      <c r="BQ148" s="778"/>
      <c r="BR148" s="778"/>
      <c r="BS148" s="778"/>
      <c r="BT148" s="778"/>
    </row>
    <row r="149" spans="1:72" x14ac:dyDescent="0.25">
      <c r="A149" s="778" t="s">
        <v>466</v>
      </c>
      <c r="B149" s="778"/>
      <c r="C149" s="778"/>
      <c r="D149" s="778"/>
      <c r="E149" s="778"/>
      <c r="F149" s="778"/>
      <c r="G149" s="778"/>
      <c r="H149" s="778"/>
      <c r="I149" s="778"/>
      <c r="J149" s="778"/>
      <c r="K149" s="778"/>
      <c r="L149" s="778"/>
      <c r="M149" s="778"/>
      <c r="N149" s="778"/>
      <c r="O149" s="778"/>
      <c r="P149" s="778"/>
      <c r="Q149" s="778"/>
      <c r="R149" s="778"/>
      <c r="S149" s="778"/>
      <c r="T149" s="778"/>
      <c r="U149" s="778"/>
      <c r="V149" s="778"/>
      <c r="W149" s="778"/>
      <c r="X149" s="778"/>
      <c r="Y149" s="778"/>
      <c r="Z149" s="778"/>
      <c r="AA149" s="778"/>
      <c r="AB149" s="778"/>
      <c r="AC149" s="778"/>
      <c r="AD149" s="778"/>
      <c r="AE149" s="778"/>
      <c r="AF149" s="778"/>
      <c r="AG149" s="778"/>
      <c r="AH149" s="778"/>
      <c r="AI149" s="778"/>
      <c r="AJ149" s="778"/>
      <c r="AK149" s="778"/>
      <c r="AL149" s="778"/>
      <c r="AM149" s="778"/>
      <c r="AN149" s="778"/>
      <c r="AO149" s="778"/>
      <c r="AP149" s="778"/>
      <c r="AQ149" s="778"/>
      <c r="AR149" s="778"/>
      <c r="AS149" s="778"/>
      <c r="AT149" s="778"/>
      <c r="AU149" s="778"/>
      <c r="AV149" s="778"/>
      <c r="AW149" s="778"/>
      <c r="AX149" s="778"/>
      <c r="AY149" s="778"/>
      <c r="AZ149" s="778"/>
      <c r="BA149" s="778"/>
      <c r="BB149" s="778"/>
      <c r="BC149" s="778"/>
      <c r="BD149" s="778"/>
      <c r="BE149" s="778"/>
      <c r="BF149" s="778"/>
      <c r="BG149" s="778"/>
      <c r="BH149" s="778"/>
      <c r="BI149" s="778"/>
      <c r="BJ149" s="778"/>
      <c r="BK149" s="778"/>
      <c r="BL149" s="778"/>
      <c r="BM149" s="778"/>
      <c r="BN149" s="778"/>
      <c r="BO149" s="778"/>
      <c r="BP149" s="778"/>
      <c r="BQ149" s="778"/>
      <c r="BR149" s="778"/>
      <c r="BS149" s="778"/>
      <c r="BT149" s="778"/>
    </row>
    <row r="150" spans="1:72" x14ac:dyDescent="0.25">
      <c r="A150" s="778" t="s">
        <v>594</v>
      </c>
      <c r="B150" s="778">
        <v>20.2</v>
      </c>
      <c r="C150" s="778">
        <v>26.15</v>
      </c>
      <c r="D150" s="778">
        <v>20.12</v>
      </c>
      <c r="E150" s="778">
        <v>21.4</v>
      </c>
      <c r="F150" s="778">
        <v>21.77</v>
      </c>
      <c r="G150" s="778">
        <v>23.3</v>
      </c>
      <c r="H150" s="778">
        <v>25.02</v>
      </c>
      <c r="I150" s="778">
        <v>26.51</v>
      </c>
      <c r="J150" s="778">
        <v>27.61</v>
      </c>
      <c r="K150" s="778">
        <v>28.83</v>
      </c>
      <c r="L150" s="778">
        <v>29.98</v>
      </c>
      <c r="M150" s="778">
        <v>31.22</v>
      </c>
      <c r="N150" s="778">
        <v>32.11</v>
      </c>
      <c r="O150" s="778">
        <v>33.020000000000003</v>
      </c>
      <c r="P150" s="778">
        <v>34.01</v>
      </c>
      <c r="Q150" s="778">
        <v>35.020000000000003</v>
      </c>
      <c r="R150" s="778">
        <v>36.130000000000003</v>
      </c>
      <c r="S150" s="778">
        <v>37.24</v>
      </c>
      <c r="T150" s="778">
        <v>38.35</v>
      </c>
      <c r="U150" s="778">
        <v>39.36</v>
      </c>
      <c r="V150" s="778">
        <v>40.57</v>
      </c>
      <c r="W150" s="778">
        <v>41.81</v>
      </c>
      <c r="X150" s="778">
        <v>43.24</v>
      </c>
      <c r="Y150" s="778">
        <v>44.53</v>
      </c>
      <c r="Z150" s="778">
        <v>46.07</v>
      </c>
      <c r="AA150" s="778">
        <v>47.62</v>
      </c>
      <c r="AB150" s="778">
        <v>49.27</v>
      </c>
      <c r="AC150" s="778">
        <v>50.92</v>
      </c>
      <c r="AD150" s="778">
        <v>52.64</v>
      </c>
      <c r="AE150" s="814">
        <v>2.5999999999999999E-2</v>
      </c>
      <c r="AF150" s="778"/>
      <c r="AG150" s="778"/>
      <c r="AH150" s="778"/>
      <c r="AI150" s="778"/>
      <c r="AJ150" s="778"/>
      <c r="AK150" s="778"/>
      <c r="AL150" s="778"/>
      <c r="AM150" s="778"/>
      <c r="AN150" s="778"/>
      <c r="AO150" s="778"/>
      <c r="AP150" s="778"/>
      <c r="AQ150" s="778"/>
      <c r="AR150" s="778"/>
      <c r="AS150" s="778"/>
      <c r="AT150" s="778"/>
      <c r="AU150" s="778"/>
      <c r="AV150" s="778"/>
      <c r="AW150" s="778"/>
      <c r="AX150" s="778"/>
      <c r="AY150" s="778"/>
      <c r="AZ150" s="778"/>
      <c r="BA150" s="778"/>
      <c r="BB150" s="778"/>
      <c r="BC150" s="778"/>
      <c r="BD150" s="778"/>
      <c r="BE150" s="778"/>
      <c r="BF150" s="778"/>
      <c r="BG150" s="778"/>
      <c r="BH150" s="778"/>
      <c r="BI150" s="778"/>
      <c r="BJ150" s="778"/>
      <c r="BK150" s="778"/>
      <c r="BL150" s="778"/>
      <c r="BM150" s="778"/>
      <c r="BN150" s="778"/>
      <c r="BO150" s="778"/>
      <c r="BP150" s="778"/>
      <c r="BQ150" s="778"/>
      <c r="BR150" s="778"/>
      <c r="BS150" s="778"/>
      <c r="BT150" s="778"/>
    </row>
    <row r="151" spans="1:72" x14ac:dyDescent="0.25">
      <c r="A151" s="778" t="s">
        <v>595</v>
      </c>
      <c r="B151" s="778">
        <v>17.100000000000001</v>
      </c>
      <c r="C151" s="778">
        <v>21.5</v>
      </c>
      <c r="D151" s="778">
        <v>16.04</v>
      </c>
      <c r="E151" s="778">
        <v>15.27</v>
      </c>
      <c r="F151" s="778">
        <v>15.91</v>
      </c>
      <c r="G151" s="778">
        <v>17.34</v>
      </c>
      <c r="H151" s="778">
        <v>18.739999999999998</v>
      </c>
      <c r="I151" s="778">
        <v>19.850000000000001</v>
      </c>
      <c r="J151" s="778">
        <v>20.86</v>
      </c>
      <c r="K151" s="778">
        <v>22.18</v>
      </c>
      <c r="L151" s="778">
        <v>23.33</v>
      </c>
      <c r="M151" s="778">
        <v>24.52</v>
      </c>
      <c r="N151" s="778">
        <v>25.47</v>
      </c>
      <c r="O151" s="778">
        <v>26.39</v>
      </c>
      <c r="P151" s="778">
        <v>27.18</v>
      </c>
      <c r="Q151" s="778">
        <v>28.11</v>
      </c>
      <c r="R151" s="778">
        <v>29.04</v>
      </c>
      <c r="S151" s="778">
        <v>29.83</v>
      </c>
      <c r="T151" s="778">
        <v>30.83</v>
      </c>
      <c r="U151" s="778">
        <v>31.82</v>
      </c>
      <c r="V151" s="778">
        <v>32.83</v>
      </c>
      <c r="W151" s="778">
        <v>34.01</v>
      </c>
      <c r="X151" s="778">
        <v>35.340000000000003</v>
      </c>
      <c r="Y151" s="778">
        <v>36.380000000000003</v>
      </c>
      <c r="Z151" s="778">
        <v>37.86</v>
      </c>
      <c r="AA151" s="778">
        <v>39.340000000000003</v>
      </c>
      <c r="AB151" s="778">
        <v>40.74</v>
      </c>
      <c r="AC151" s="778">
        <v>42.29</v>
      </c>
      <c r="AD151" s="778">
        <v>43.92</v>
      </c>
      <c r="AE151" s="814">
        <v>2.7E-2</v>
      </c>
      <c r="AF151" s="778"/>
      <c r="AG151" s="778"/>
      <c r="AH151" s="778"/>
      <c r="AI151" s="778"/>
      <c r="AJ151" s="778"/>
      <c r="AK151" s="778"/>
      <c r="AL151" s="778"/>
      <c r="AM151" s="778"/>
      <c r="AN151" s="778"/>
      <c r="AO151" s="778"/>
      <c r="AP151" s="778"/>
      <c r="AQ151" s="778"/>
      <c r="AR151" s="778"/>
      <c r="AS151" s="778"/>
      <c r="AT151" s="778"/>
      <c r="AU151" s="778"/>
      <c r="AV151" s="778"/>
      <c r="AW151" s="778"/>
      <c r="AX151" s="778"/>
      <c r="AY151" s="778"/>
      <c r="AZ151" s="778"/>
      <c r="BA151" s="778"/>
      <c r="BB151" s="778"/>
      <c r="BC151" s="778"/>
      <c r="BD151" s="778"/>
      <c r="BE151" s="778"/>
      <c r="BF151" s="778"/>
      <c r="BG151" s="778"/>
      <c r="BH151" s="778"/>
      <c r="BI151" s="778"/>
      <c r="BJ151" s="778"/>
      <c r="BK151" s="778"/>
      <c r="BL151" s="778"/>
      <c r="BM151" s="778"/>
      <c r="BN151" s="778"/>
      <c r="BO151" s="778"/>
      <c r="BP151" s="778"/>
      <c r="BQ151" s="778"/>
      <c r="BR151" s="778"/>
      <c r="BS151" s="778"/>
      <c r="BT151" s="778"/>
    </row>
    <row r="152" spans="1:72" x14ac:dyDescent="0.25">
      <c r="A152" s="778" t="s">
        <v>708</v>
      </c>
      <c r="B152" s="778">
        <v>8.2100000000000009</v>
      </c>
      <c r="C152" s="778">
        <v>15.52</v>
      </c>
      <c r="D152" s="778">
        <v>9.41</v>
      </c>
      <c r="E152" s="778">
        <v>9.74</v>
      </c>
      <c r="F152" s="778">
        <v>10.050000000000001</v>
      </c>
      <c r="G152" s="778">
        <v>11.48</v>
      </c>
      <c r="H152" s="778">
        <v>12.9</v>
      </c>
      <c r="I152" s="778">
        <v>13.98</v>
      </c>
      <c r="J152" s="778">
        <v>14.63</v>
      </c>
      <c r="K152" s="778">
        <v>15.52</v>
      </c>
      <c r="L152" s="778">
        <v>16.37</v>
      </c>
      <c r="M152" s="778">
        <v>17.29</v>
      </c>
      <c r="N152" s="778">
        <v>18.29</v>
      </c>
      <c r="O152" s="778">
        <v>18.899999999999999</v>
      </c>
      <c r="P152" s="778">
        <v>19.57</v>
      </c>
      <c r="Q152" s="778">
        <v>20.27</v>
      </c>
      <c r="R152" s="778">
        <v>21.01</v>
      </c>
      <c r="S152" s="778">
        <v>21.73</v>
      </c>
      <c r="T152" s="778">
        <v>22.45</v>
      </c>
      <c r="U152" s="778">
        <v>23.04</v>
      </c>
      <c r="V152" s="778">
        <v>23.8</v>
      </c>
      <c r="W152" s="778">
        <v>24.66</v>
      </c>
      <c r="X152" s="778">
        <v>25.52</v>
      </c>
      <c r="Y152" s="778">
        <v>26.47</v>
      </c>
      <c r="Z152" s="778">
        <v>27.6</v>
      </c>
      <c r="AA152" s="778">
        <v>28.58</v>
      </c>
      <c r="AB152" s="778">
        <v>29.4</v>
      </c>
      <c r="AC152" s="778">
        <v>30.75</v>
      </c>
      <c r="AD152" s="778">
        <v>31.66</v>
      </c>
      <c r="AE152" s="814">
        <v>2.7E-2</v>
      </c>
      <c r="AF152" s="778"/>
      <c r="AG152" s="778"/>
      <c r="AH152" s="778"/>
      <c r="AI152" s="778"/>
      <c r="AJ152" s="778"/>
      <c r="AK152" s="778"/>
      <c r="AL152" s="778"/>
      <c r="AM152" s="778"/>
      <c r="AN152" s="778"/>
      <c r="AO152" s="778"/>
      <c r="AP152" s="778"/>
      <c r="AQ152" s="778"/>
      <c r="AR152" s="778"/>
      <c r="AS152" s="778"/>
      <c r="AT152" s="778"/>
      <c r="AU152" s="778"/>
      <c r="AV152" s="778"/>
      <c r="AW152" s="778"/>
      <c r="AX152" s="778"/>
      <c r="AY152" s="778"/>
      <c r="AZ152" s="778"/>
      <c r="BA152" s="778"/>
      <c r="BB152" s="778"/>
      <c r="BC152" s="778"/>
      <c r="BD152" s="778"/>
      <c r="BE152" s="778"/>
      <c r="BF152" s="778"/>
      <c r="BG152" s="778"/>
      <c r="BH152" s="778"/>
      <c r="BI152" s="778"/>
      <c r="BJ152" s="778"/>
      <c r="BK152" s="778"/>
      <c r="BL152" s="778"/>
      <c r="BM152" s="778"/>
      <c r="BN152" s="778"/>
      <c r="BO152" s="778"/>
      <c r="BP152" s="778"/>
      <c r="BQ152" s="778"/>
      <c r="BR152" s="778"/>
      <c r="BS152" s="778"/>
      <c r="BT152" s="778"/>
    </row>
    <row r="153" spans="1:72" x14ac:dyDescent="0.25">
      <c r="A153" s="778" t="s">
        <v>496</v>
      </c>
      <c r="B153" s="778">
        <v>10.96</v>
      </c>
      <c r="C153" s="778">
        <v>11.94</v>
      </c>
      <c r="D153" s="778">
        <v>9.18</v>
      </c>
      <c r="E153" s="778">
        <v>8.93</v>
      </c>
      <c r="F153" s="778">
        <v>10.15</v>
      </c>
      <c r="G153" s="778">
        <v>10.65</v>
      </c>
      <c r="H153" s="778">
        <v>10.68</v>
      </c>
      <c r="I153" s="778">
        <v>10.8</v>
      </c>
      <c r="J153" s="778">
        <v>11.14</v>
      </c>
      <c r="K153" s="778">
        <v>11.44</v>
      </c>
      <c r="L153" s="778">
        <v>11.67</v>
      </c>
      <c r="M153" s="778">
        <v>11.96</v>
      </c>
      <c r="N153" s="778">
        <v>12.27</v>
      </c>
      <c r="O153" s="778">
        <v>12.65</v>
      </c>
      <c r="P153" s="778">
        <v>13.05</v>
      </c>
      <c r="Q153" s="778">
        <v>13.58</v>
      </c>
      <c r="R153" s="778">
        <v>13.92</v>
      </c>
      <c r="S153" s="778">
        <v>14.13</v>
      </c>
      <c r="T153" s="778">
        <v>14.53</v>
      </c>
      <c r="U153" s="778">
        <v>15.05</v>
      </c>
      <c r="V153" s="778">
        <v>15.62</v>
      </c>
      <c r="W153" s="778">
        <v>16.3</v>
      </c>
      <c r="X153" s="778">
        <v>17.010000000000002</v>
      </c>
      <c r="Y153" s="778">
        <v>17.78</v>
      </c>
      <c r="Z153" s="778">
        <v>18.690000000000001</v>
      </c>
      <c r="AA153" s="778">
        <v>19.329999999999998</v>
      </c>
      <c r="AB153" s="778">
        <v>19.86</v>
      </c>
      <c r="AC153" s="778">
        <v>20.61</v>
      </c>
      <c r="AD153" s="778">
        <v>21.27</v>
      </c>
      <c r="AE153" s="814">
        <v>2.1999999999999999E-2</v>
      </c>
      <c r="AF153" s="778"/>
      <c r="AG153" s="778"/>
      <c r="AH153" s="778"/>
      <c r="AI153" s="778"/>
      <c r="AJ153" s="778"/>
      <c r="AK153" s="778"/>
      <c r="AL153" s="778"/>
      <c r="AM153" s="778"/>
      <c r="AN153" s="778"/>
      <c r="AO153" s="778"/>
      <c r="AP153" s="778"/>
      <c r="AQ153" s="778"/>
      <c r="AR153" s="778"/>
      <c r="AS153" s="778"/>
      <c r="AT153" s="778"/>
      <c r="AU153" s="778"/>
      <c r="AV153" s="778"/>
      <c r="AW153" s="778"/>
      <c r="AX153" s="778"/>
      <c r="AY153" s="778"/>
      <c r="AZ153" s="778"/>
      <c r="BA153" s="778"/>
      <c r="BB153" s="778"/>
      <c r="BC153" s="778"/>
      <c r="BD153" s="778"/>
      <c r="BE153" s="778"/>
      <c r="BF153" s="778"/>
      <c r="BG153" s="778"/>
      <c r="BH153" s="778"/>
      <c r="BI153" s="778"/>
      <c r="BJ153" s="778"/>
      <c r="BK153" s="778"/>
      <c r="BL153" s="778"/>
      <c r="BM153" s="778"/>
      <c r="BN153" s="778"/>
      <c r="BO153" s="778"/>
      <c r="BP153" s="778"/>
      <c r="BQ153" s="778"/>
      <c r="BR153" s="778"/>
      <c r="BS153" s="778"/>
      <c r="BT153" s="778"/>
    </row>
    <row r="154" spans="1:72" x14ac:dyDescent="0.25">
      <c r="A154" s="778" t="s">
        <v>465</v>
      </c>
      <c r="B154" s="778">
        <v>28.18</v>
      </c>
      <c r="C154" s="778">
        <v>30.47</v>
      </c>
      <c r="D154" s="778">
        <v>29.38</v>
      </c>
      <c r="E154" s="778">
        <v>28.19</v>
      </c>
      <c r="F154" s="778">
        <v>26.85</v>
      </c>
      <c r="G154" s="778">
        <v>28.28</v>
      </c>
      <c r="H154" s="778">
        <v>28.88</v>
      </c>
      <c r="I154" s="778">
        <v>29.09</v>
      </c>
      <c r="J154" s="778">
        <v>29.58</v>
      </c>
      <c r="K154" s="778">
        <v>30.41</v>
      </c>
      <c r="L154" s="778">
        <v>31.16</v>
      </c>
      <c r="M154" s="778">
        <v>31.75</v>
      </c>
      <c r="N154" s="778">
        <v>32.270000000000003</v>
      </c>
      <c r="O154" s="778">
        <v>33.15</v>
      </c>
      <c r="P154" s="778">
        <v>34.090000000000003</v>
      </c>
      <c r="Q154" s="778">
        <v>34.97</v>
      </c>
      <c r="R154" s="778">
        <v>35.99</v>
      </c>
      <c r="S154" s="778">
        <v>36.94</v>
      </c>
      <c r="T154" s="778">
        <v>37.619999999999997</v>
      </c>
      <c r="U154" s="778">
        <v>38.61</v>
      </c>
      <c r="V154" s="778">
        <v>39.68</v>
      </c>
      <c r="W154" s="778">
        <v>40.82</v>
      </c>
      <c r="X154" s="778">
        <v>42.33</v>
      </c>
      <c r="Y154" s="778">
        <v>43.75</v>
      </c>
      <c r="Z154" s="778">
        <v>45.32</v>
      </c>
      <c r="AA154" s="778">
        <v>46.89</v>
      </c>
      <c r="AB154" s="778">
        <v>48.18</v>
      </c>
      <c r="AC154" s="778">
        <v>49.63</v>
      </c>
      <c r="AD154" s="778">
        <v>51.04</v>
      </c>
      <c r="AE154" s="814">
        <v>1.9E-2</v>
      </c>
      <c r="AF154" s="778"/>
      <c r="AG154" s="778"/>
      <c r="AH154" s="778"/>
      <c r="AI154" s="778"/>
      <c r="AJ154" s="778"/>
      <c r="AK154" s="778"/>
      <c r="AL154" s="778"/>
      <c r="AM154" s="778"/>
      <c r="AN154" s="778"/>
      <c r="AO154" s="778"/>
      <c r="AP154" s="778"/>
      <c r="AQ154" s="778"/>
      <c r="AR154" s="778"/>
      <c r="AS154" s="778"/>
      <c r="AT154" s="778"/>
      <c r="AU154" s="778"/>
      <c r="AV154" s="778"/>
      <c r="AW154" s="778"/>
      <c r="AX154" s="778"/>
      <c r="AY154" s="778"/>
      <c r="AZ154" s="778"/>
      <c r="BA154" s="778"/>
      <c r="BB154" s="778"/>
      <c r="BC154" s="778"/>
      <c r="BD154" s="778"/>
      <c r="BE154" s="778"/>
      <c r="BF154" s="778"/>
      <c r="BG154" s="778"/>
      <c r="BH154" s="778"/>
      <c r="BI154" s="778"/>
      <c r="BJ154" s="778"/>
      <c r="BK154" s="778"/>
      <c r="BL154" s="778"/>
      <c r="BM154" s="778"/>
      <c r="BN154" s="778"/>
      <c r="BO154" s="778"/>
      <c r="BP154" s="778"/>
      <c r="BQ154" s="778"/>
      <c r="BR154" s="778"/>
      <c r="BS154" s="778"/>
      <c r="BT154" s="778"/>
    </row>
    <row r="155" spans="1:72" x14ac:dyDescent="0.25">
      <c r="A155" s="778"/>
      <c r="B155" s="778"/>
      <c r="C155" s="778"/>
      <c r="D155" s="778"/>
      <c r="E155" s="778"/>
      <c r="F155" s="778"/>
      <c r="G155" s="778"/>
      <c r="H155" s="778"/>
      <c r="I155" s="778"/>
      <c r="J155" s="778"/>
      <c r="K155" s="778"/>
      <c r="L155" s="778"/>
      <c r="M155" s="778"/>
      <c r="N155" s="778"/>
      <c r="O155" s="778"/>
      <c r="P155" s="778"/>
      <c r="Q155" s="778"/>
      <c r="R155" s="778"/>
      <c r="S155" s="778"/>
      <c r="T155" s="778"/>
      <c r="U155" s="778"/>
      <c r="V155" s="778"/>
      <c r="W155" s="778"/>
      <c r="X155" s="778"/>
      <c r="Y155" s="778"/>
      <c r="Z155" s="778"/>
      <c r="AA155" s="778"/>
      <c r="AB155" s="778"/>
      <c r="AC155" s="778"/>
      <c r="AD155" s="778"/>
      <c r="AE155" s="778"/>
      <c r="AF155" s="778"/>
      <c r="AG155" s="778"/>
      <c r="AH155" s="778"/>
      <c r="AI155" s="778"/>
      <c r="AJ155" s="778"/>
      <c r="AK155" s="778"/>
      <c r="AL155" s="778"/>
      <c r="AM155" s="778"/>
      <c r="AN155" s="778"/>
      <c r="AO155" s="778"/>
      <c r="AP155" s="778"/>
      <c r="AQ155" s="778"/>
      <c r="AR155" s="778"/>
      <c r="AS155" s="778"/>
      <c r="AT155" s="778"/>
      <c r="AU155" s="778"/>
      <c r="AV155" s="778"/>
      <c r="AW155" s="778"/>
      <c r="AX155" s="778"/>
      <c r="AY155" s="778"/>
      <c r="AZ155" s="778"/>
      <c r="BA155" s="778"/>
      <c r="BB155" s="778"/>
      <c r="BC155" s="778"/>
      <c r="BD155" s="778"/>
      <c r="BE155" s="778"/>
      <c r="BF155" s="778"/>
      <c r="BG155" s="778"/>
      <c r="BH155" s="778"/>
      <c r="BI155" s="778"/>
      <c r="BJ155" s="778"/>
      <c r="BK155" s="778"/>
      <c r="BL155" s="778"/>
      <c r="BM155" s="778"/>
      <c r="BN155" s="778"/>
      <c r="BO155" s="778"/>
      <c r="BP155" s="778"/>
      <c r="BQ155" s="778"/>
      <c r="BR155" s="778"/>
      <c r="BS155" s="778"/>
      <c r="BT155" s="778"/>
    </row>
    <row r="156" spans="1:72" x14ac:dyDescent="0.25">
      <c r="A156" s="778" t="s">
        <v>597</v>
      </c>
      <c r="B156" s="778"/>
      <c r="C156" s="778"/>
      <c r="D156" s="778"/>
      <c r="E156" s="778"/>
      <c r="F156" s="778"/>
      <c r="G156" s="778"/>
      <c r="H156" s="778"/>
      <c r="I156" s="778"/>
      <c r="J156" s="778"/>
      <c r="K156" s="778"/>
      <c r="L156" s="778"/>
      <c r="M156" s="778"/>
      <c r="N156" s="778"/>
      <c r="O156" s="778"/>
      <c r="P156" s="778"/>
      <c r="Q156" s="778"/>
      <c r="R156" s="778"/>
      <c r="S156" s="778"/>
      <c r="T156" s="778"/>
      <c r="U156" s="778"/>
      <c r="V156" s="778"/>
      <c r="W156" s="778"/>
      <c r="X156" s="778"/>
      <c r="Y156" s="778"/>
      <c r="Z156" s="778"/>
      <c r="AA156" s="778"/>
      <c r="AB156" s="778"/>
      <c r="AC156" s="778"/>
      <c r="AD156" s="778"/>
      <c r="AE156" s="778"/>
      <c r="AF156" s="778"/>
      <c r="AG156" s="778"/>
      <c r="AH156" s="778"/>
      <c r="AI156" s="778"/>
      <c r="AJ156" s="778"/>
      <c r="AK156" s="778"/>
      <c r="AL156" s="778"/>
      <c r="AM156" s="778"/>
      <c r="AN156" s="778"/>
      <c r="AO156" s="778"/>
      <c r="AP156" s="778"/>
      <c r="AQ156" s="778"/>
      <c r="AR156" s="778"/>
      <c r="AS156" s="778"/>
      <c r="AT156" s="778"/>
      <c r="AU156" s="778"/>
      <c r="AV156" s="778"/>
      <c r="AW156" s="778"/>
      <c r="AX156" s="778"/>
      <c r="AY156" s="778"/>
      <c r="AZ156" s="778"/>
      <c r="BA156" s="778"/>
      <c r="BB156" s="778"/>
      <c r="BC156" s="778"/>
      <c r="BD156" s="778"/>
      <c r="BE156" s="778"/>
      <c r="BF156" s="778"/>
      <c r="BG156" s="778"/>
      <c r="BH156" s="778"/>
      <c r="BI156" s="778"/>
      <c r="BJ156" s="778"/>
      <c r="BK156" s="778"/>
      <c r="BL156" s="778"/>
      <c r="BM156" s="778"/>
      <c r="BN156" s="778"/>
      <c r="BO156" s="778"/>
      <c r="BP156" s="778"/>
      <c r="BQ156" s="778"/>
      <c r="BR156" s="778"/>
      <c r="BS156" s="778"/>
      <c r="BT156" s="778"/>
    </row>
    <row r="157" spans="1:72" x14ac:dyDescent="0.25">
      <c r="A157" s="778" t="s">
        <v>594</v>
      </c>
      <c r="B157" s="778">
        <v>21.53</v>
      </c>
      <c r="C157" s="778">
        <v>24.2</v>
      </c>
      <c r="D157" s="778">
        <v>18.920000000000002</v>
      </c>
      <c r="E157" s="778">
        <v>18.920000000000002</v>
      </c>
      <c r="F157" s="778">
        <v>19.260000000000002</v>
      </c>
      <c r="G157" s="778">
        <v>20.76</v>
      </c>
      <c r="H157" s="778">
        <v>22.51</v>
      </c>
      <c r="I157" s="778">
        <v>24</v>
      </c>
      <c r="J157" s="778">
        <v>25.06</v>
      </c>
      <c r="K157" s="778">
        <v>26.38</v>
      </c>
      <c r="L157" s="778">
        <v>27.45</v>
      </c>
      <c r="M157" s="778">
        <v>28.6</v>
      </c>
      <c r="N157" s="778">
        <v>29.51</v>
      </c>
      <c r="O157" s="778">
        <v>30.38</v>
      </c>
      <c r="P157" s="778">
        <v>31.31</v>
      </c>
      <c r="Q157" s="778">
        <v>32.270000000000003</v>
      </c>
      <c r="R157" s="778">
        <v>33.340000000000003</v>
      </c>
      <c r="S157" s="778">
        <v>34.39</v>
      </c>
      <c r="T157" s="778">
        <v>35.450000000000003</v>
      </c>
      <c r="U157" s="778">
        <v>36.4</v>
      </c>
      <c r="V157" s="778">
        <v>37.549999999999997</v>
      </c>
      <c r="W157" s="778">
        <v>38.729999999999997</v>
      </c>
      <c r="X157" s="778">
        <v>40.1</v>
      </c>
      <c r="Y157" s="778">
        <v>41.33</v>
      </c>
      <c r="Z157" s="778">
        <v>42.81</v>
      </c>
      <c r="AA157" s="778">
        <v>44.29</v>
      </c>
      <c r="AB157" s="778">
        <v>45.9</v>
      </c>
      <c r="AC157" s="778">
        <v>47.5</v>
      </c>
      <c r="AD157" s="778">
        <v>49.15</v>
      </c>
      <c r="AE157" s="814">
        <v>2.7E-2</v>
      </c>
      <c r="AF157" s="778"/>
      <c r="AG157" s="778"/>
      <c r="AH157" s="778"/>
      <c r="AI157" s="778"/>
      <c r="AJ157" s="778"/>
      <c r="AK157" s="778"/>
      <c r="AL157" s="778"/>
      <c r="AM157" s="778"/>
      <c r="AN157" s="778"/>
      <c r="AO157" s="778"/>
      <c r="AP157" s="778"/>
      <c r="AQ157" s="778"/>
      <c r="AR157" s="778"/>
      <c r="AS157" s="778"/>
      <c r="AT157" s="778"/>
      <c r="AU157" s="778"/>
      <c r="AV157" s="778"/>
      <c r="AW157" s="778"/>
      <c r="AX157" s="778"/>
      <c r="AY157" s="778"/>
      <c r="AZ157" s="778"/>
      <c r="BA157" s="778"/>
      <c r="BB157" s="778"/>
      <c r="BC157" s="778"/>
      <c r="BD157" s="778"/>
      <c r="BE157" s="778"/>
      <c r="BF157" s="778"/>
      <c r="BG157" s="778"/>
      <c r="BH157" s="778"/>
      <c r="BI157" s="778"/>
      <c r="BJ157" s="778"/>
      <c r="BK157" s="778"/>
      <c r="BL157" s="778"/>
      <c r="BM157" s="778"/>
      <c r="BN157" s="778"/>
      <c r="BO157" s="778"/>
      <c r="BP157" s="778"/>
      <c r="BQ157" s="778"/>
      <c r="BR157" s="778"/>
      <c r="BS157" s="778"/>
      <c r="BT157" s="778"/>
    </row>
    <row r="158" spans="1:72" x14ac:dyDescent="0.25">
      <c r="A158" s="778" t="s">
        <v>595</v>
      </c>
      <c r="B158" s="778">
        <v>17.68</v>
      </c>
      <c r="C158" s="778">
        <v>22.31</v>
      </c>
      <c r="D158" s="778">
        <v>16.649999999999999</v>
      </c>
      <c r="E158" s="778">
        <v>14.82</v>
      </c>
      <c r="F158" s="778">
        <v>16.05</v>
      </c>
      <c r="G158" s="778">
        <v>17.52</v>
      </c>
      <c r="H158" s="778">
        <v>18.95</v>
      </c>
      <c r="I158" s="778">
        <v>20.07</v>
      </c>
      <c r="J158" s="778">
        <v>21.18</v>
      </c>
      <c r="K158" s="778">
        <v>22.46</v>
      </c>
      <c r="L158" s="778">
        <v>23.62</v>
      </c>
      <c r="M158" s="778">
        <v>24.81</v>
      </c>
      <c r="N158" s="778">
        <v>25.76</v>
      </c>
      <c r="O158" s="778">
        <v>26.68</v>
      </c>
      <c r="P158" s="778">
        <v>27.5</v>
      </c>
      <c r="Q158" s="778">
        <v>28.52</v>
      </c>
      <c r="R158" s="778">
        <v>29.39</v>
      </c>
      <c r="S158" s="778">
        <v>30.15</v>
      </c>
      <c r="T158" s="778">
        <v>31.18</v>
      </c>
      <c r="U158" s="778">
        <v>32.159999999999997</v>
      </c>
      <c r="V158" s="778">
        <v>33.21</v>
      </c>
      <c r="W158" s="778">
        <v>34.409999999999997</v>
      </c>
      <c r="X158" s="778">
        <v>35.770000000000003</v>
      </c>
      <c r="Y158" s="778">
        <v>36.83</v>
      </c>
      <c r="Z158" s="778">
        <v>38.33</v>
      </c>
      <c r="AA158" s="778">
        <v>39.83</v>
      </c>
      <c r="AB158" s="778">
        <v>41.25</v>
      </c>
      <c r="AC158" s="778">
        <v>42.82</v>
      </c>
      <c r="AD158" s="778">
        <v>44.51</v>
      </c>
      <c r="AE158" s="814">
        <v>2.5999999999999999E-2</v>
      </c>
      <c r="AF158" s="778"/>
      <c r="AG158" s="778"/>
      <c r="AH158" s="778"/>
      <c r="AI158" s="778"/>
      <c r="AJ158" s="778"/>
      <c r="AK158" s="778"/>
      <c r="AL158" s="778"/>
      <c r="AM158" s="778"/>
      <c r="AN158" s="778"/>
      <c r="AO158" s="778"/>
      <c r="AP158" s="778"/>
      <c r="AQ158" s="778"/>
      <c r="AR158" s="778"/>
      <c r="AS158" s="778"/>
      <c r="AT158" s="778"/>
      <c r="AU158" s="778"/>
      <c r="AV158" s="778"/>
      <c r="AW158" s="778"/>
      <c r="AX158" s="778"/>
      <c r="AY158" s="778"/>
      <c r="AZ158" s="778"/>
      <c r="BA158" s="778"/>
      <c r="BB158" s="778"/>
      <c r="BC158" s="778"/>
      <c r="BD158" s="778"/>
      <c r="BE158" s="778"/>
      <c r="BF158" s="778"/>
      <c r="BG158" s="778"/>
      <c r="BH158" s="778"/>
      <c r="BI158" s="778"/>
      <c r="BJ158" s="778"/>
      <c r="BK158" s="778"/>
      <c r="BL158" s="778"/>
      <c r="BM158" s="778"/>
      <c r="BN158" s="778"/>
      <c r="BO158" s="778"/>
      <c r="BP158" s="778"/>
      <c r="BQ158" s="778"/>
      <c r="BR158" s="778"/>
      <c r="BS158" s="778"/>
      <c r="BT158" s="778"/>
    </row>
    <row r="159" spans="1:72" x14ac:dyDescent="0.25">
      <c r="A159" s="778" t="s">
        <v>596</v>
      </c>
      <c r="B159" s="778">
        <v>8.65</v>
      </c>
      <c r="C159" s="778">
        <v>16.309999999999999</v>
      </c>
      <c r="D159" s="778">
        <v>9.89</v>
      </c>
      <c r="E159" s="778">
        <v>13.52</v>
      </c>
      <c r="F159" s="778">
        <v>13.82</v>
      </c>
      <c r="G159" s="778">
        <v>15.16</v>
      </c>
      <c r="H159" s="778">
        <v>16.489999999999998</v>
      </c>
      <c r="I159" s="778">
        <v>17.62</v>
      </c>
      <c r="J159" s="778">
        <v>18.350000000000001</v>
      </c>
      <c r="K159" s="778">
        <v>19.239999999999998</v>
      </c>
      <c r="L159" s="778">
        <v>20.059999999999999</v>
      </c>
      <c r="M159" s="778">
        <v>20.97</v>
      </c>
      <c r="N159" s="778">
        <v>21.68</v>
      </c>
      <c r="O159" s="778">
        <v>22.24</v>
      </c>
      <c r="P159" s="778">
        <v>23</v>
      </c>
      <c r="Q159" s="778">
        <v>23.74</v>
      </c>
      <c r="R159" s="778">
        <v>24.52</v>
      </c>
      <c r="S159" s="778">
        <v>25.31</v>
      </c>
      <c r="T159" s="778">
        <v>26.1</v>
      </c>
      <c r="U159" s="778">
        <v>26.74</v>
      </c>
      <c r="V159" s="778">
        <v>27.57</v>
      </c>
      <c r="W159" s="778">
        <v>28.51</v>
      </c>
      <c r="X159" s="778">
        <v>29.51</v>
      </c>
      <c r="Y159" s="778">
        <v>30.6</v>
      </c>
      <c r="Z159" s="778">
        <v>31.8</v>
      </c>
      <c r="AA159" s="778">
        <v>32.92</v>
      </c>
      <c r="AB159" s="778">
        <v>34.03</v>
      </c>
      <c r="AC159" s="778">
        <v>35.29</v>
      </c>
      <c r="AD159" s="778">
        <v>36.5</v>
      </c>
      <c r="AE159" s="814">
        <v>0.03</v>
      </c>
      <c r="AF159" s="778"/>
      <c r="AG159" s="778"/>
      <c r="AH159" s="778"/>
      <c r="AI159" s="778"/>
      <c r="AJ159" s="778"/>
      <c r="AK159" s="778"/>
      <c r="AL159" s="778"/>
      <c r="AM159" s="778"/>
      <c r="AN159" s="778"/>
      <c r="AO159" s="778"/>
      <c r="AP159" s="778"/>
      <c r="AQ159" s="778"/>
      <c r="AR159" s="778"/>
      <c r="AS159" s="778"/>
      <c r="AT159" s="778"/>
      <c r="AU159" s="778"/>
      <c r="AV159" s="778"/>
      <c r="AW159" s="778"/>
      <c r="AX159" s="778"/>
      <c r="AY159" s="778"/>
      <c r="AZ159" s="778"/>
      <c r="BA159" s="778"/>
      <c r="BB159" s="778"/>
      <c r="BC159" s="778"/>
      <c r="BD159" s="778"/>
      <c r="BE159" s="778"/>
      <c r="BF159" s="778"/>
      <c r="BG159" s="778"/>
      <c r="BH159" s="778"/>
      <c r="BI159" s="778"/>
      <c r="BJ159" s="778"/>
      <c r="BK159" s="778"/>
      <c r="BL159" s="778"/>
      <c r="BM159" s="778"/>
      <c r="BN159" s="778"/>
      <c r="BO159" s="778"/>
      <c r="BP159" s="778"/>
      <c r="BQ159" s="778"/>
      <c r="BR159" s="778"/>
      <c r="BS159" s="778"/>
      <c r="BT159" s="778"/>
    </row>
    <row r="160" spans="1:72" x14ac:dyDescent="0.25">
      <c r="A160" s="778" t="s">
        <v>598</v>
      </c>
      <c r="B160" s="778">
        <v>7.41</v>
      </c>
      <c r="C160" s="778">
        <v>9.11</v>
      </c>
      <c r="D160" s="778">
        <v>4.26</v>
      </c>
      <c r="E160" s="778">
        <v>5.0199999999999996</v>
      </c>
      <c r="F160" s="778">
        <v>6.23</v>
      </c>
      <c r="G160" s="778">
        <v>6.76</v>
      </c>
      <c r="H160" s="778">
        <v>6.82</v>
      </c>
      <c r="I160" s="778">
        <v>6.89</v>
      </c>
      <c r="J160" s="778">
        <v>7.18</v>
      </c>
      <c r="K160" s="778">
        <v>7.39</v>
      </c>
      <c r="L160" s="778">
        <v>7.52</v>
      </c>
      <c r="M160" s="778">
        <v>7.71</v>
      </c>
      <c r="N160" s="778">
        <v>7.91</v>
      </c>
      <c r="O160" s="778">
        <v>8.19</v>
      </c>
      <c r="P160" s="778">
        <v>8.4700000000000006</v>
      </c>
      <c r="Q160" s="778">
        <v>8.8800000000000008</v>
      </c>
      <c r="R160" s="778">
        <v>9.14</v>
      </c>
      <c r="S160" s="778">
        <v>9.26</v>
      </c>
      <c r="T160" s="778">
        <v>9.52</v>
      </c>
      <c r="U160" s="778">
        <v>9.9</v>
      </c>
      <c r="V160" s="778">
        <v>10.31</v>
      </c>
      <c r="W160" s="778">
        <v>10.85</v>
      </c>
      <c r="X160" s="778">
        <v>11.41</v>
      </c>
      <c r="Y160" s="778">
        <v>12.04</v>
      </c>
      <c r="Z160" s="778">
        <v>12.79</v>
      </c>
      <c r="AA160" s="778">
        <v>13.25</v>
      </c>
      <c r="AB160" s="778">
        <v>13.56</v>
      </c>
      <c r="AC160" s="778">
        <v>14.17</v>
      </c>
      <c r="AD160" s="778">
        <v>14.67</v>
      </c>
      <c r="AE160" s="814">
        <v>1.7999999999999999E-2</v>
      </c>
      <c r="AF160" s="778"/>
      <c r="AG160" s="778"/>
      <c r="AH160" s="778"/>
      <c r="AI160" s="778"/>
      <c r="AJ160" s="778"/>
      <c r="AK160" s="778"/>
      <c r="AL160" s="778"/>
      <c r="AM160" s="778"/>
      <c r="AN160" s="778"/>
      <c r="AO160" s="778"/>
      <c r="AP160" s="778"/>
      <c r="AQ160" s="778"/>
      <c r="AR160" s="778"/>
      <c r="AS160" s="778"/>
      <c r="AT160" s="778"/>
      <c r="AU160" s="778"/>
      <c r="AV160" s="778"/>
      <c r="AW160" s="778"/>
      <c r="AX160" s="778"/>
      <c r="AY160" s="778"/>
      <c r="AZ160" s="778"/>
      <c r="BA160" s="778"/>
      <c r="BB160" s="778"/>
      <c r="BC160" s="778"/>
      <c r="BD160" s="778"/>
      <c r="BE160" s="778"/>
      <c r="BF160" s="778"/>
      <c r="BG160" s="778"/>
      <c r="BH160" s="778"/>
      <c r="BI160" s="778"/>
      <c r="BJ160" s="778"/>
      <c r="BK160" s="778"/>
      <c r="BL160" s="778"/>
      <c r="BM160" s="778"/>
      <c r="BN160" s="778"/>
      <c r="BO160" s="778"/>
      <c r="BP160" s="778"/>
      <c r="BQ160" s="778"/>
      <c r="BR160" s="778"/>
      <c r="BS160" s="778"/>
      <c r="BT160" s="778"/>
    </row>
    <row r="161" spans="1:72" x14ac:dyDescent="0.25">
      <c r="A161" s="778" t="s">
        <v>599</v>
      </c>
      <c r="B161" s="778">
        <v>3.61</v>
      </c>
      <c r="C161" s="778">
        <v>4.49</v>
      </c>
      <c r="D161" s="778">
        <v>4.79</v>
      </c>
      <c r="E161" s="778">
        <v>4.9400000000000004</v>
      </c>
      <c r="F161" s="778">
        <v>5.07</v>
      </c>
      <c r="G161" s="778">
        <v>5.31</v>
      </c>
      <c r="H161" s="778">
        <v>5.44</v>
      </c>
      <c r="I161" s="778">
        <v>5.56</v>
      </c>
      <c r="J161" s="778">
        <v>5.66</v>
      </c>
      <c r="K161" s="778">
        <v>5.77</v>
      </c>
      <c r="L161" s="778">
        <v>5.97</v>
      </c>
      <c r="M161" s="778">
        <v>6.14</v>
      </c>
      <c r="N161" s="778">
        <v>6.34</v>
      </c>
      <c r="O161" s="778">
        <v>6.5</v>
      </c>
      <c r="P161" s="778">
        <v>6.68</v>
      </c>
      <c r="Q161" s="778">
        <v>6.84</v>
      </c>
      <c r="R161" s="778">
        <v>6.98</v>
      </c>
      <c r="S161" s="778">
        <v>7.07</v>
      </c>
      <c r="T161" s="778">
        <v>7.11</v>
      </c>
      <c r="U161" s="778">
        <v>7.15</v>
      </c>
      <c r="V161" s="778">
        <v>7.27</v>
      </c>
      <c r="W161" s="778">
        <v>7.43</v>
      </c>
      <c r="X161" s="778">
        <v>7.55</v>
      </c>
      <c r="Y161" s="778">
        <v>7.72</v>
      </c>
      <c r="Z161" s="778">
        <v>7.86</v>
      </c>
      <c r="AA161" s="778">
        <v>8.02</v>
      </c>
      <c r="AB161" s="778">
        <v>8.18</v>
      </c>
      <c r="AC161" s="778">
        <v>8.33</v>
      </c>
      <c r="AD161" s="778">
        <v>8.5</v>
      </c>
      <c r="AE161" s="814">
        <v>2.4E-2</v>
      </c>
      <c r="AF161" s="778"/>
      <c r="AG161" s="778"/>
      <c r="AH161" s="778"/>
      <c r="AI161" s="778"/>
      <c r="AJ161" s="778"/>
      <c r="AK161" s="778"/>
      <c r="AL161" s="778"/>
      <c r="AM161" s="778"/>
      <c r="AN161" s="778"/>
      <c r="AO161" s="778"/>
      <c r="AP161" s="778"/>
      <c r="AQ161" s="778"/>
      <c r="AR161" s="778"/>
      <c r="AS161" s="778"/>
      <c r="AT161" s="778"/>
      <c r="AU161" s="778"/>
      <c r="AV161" s="778"/>
      <c r="AW161" s="778"/>
      <c r="AX161" s="778"/>
      <c r="AY161" s="778"/>
      <c r="AZ161" s="778"/>
      <c r="BA161" s="778"/>
      <c r="BB161" s="778"/>
      <c r="BC161" s="778"/>
      <c r="BD161" s="778"/>
      <c r="BE161" s="778"/>
      <c r="BF161" s="778"/>
      <c r="BG161" s="778"/>
      <c r="BH161" s="778"/>
      <c r="BI161" s="778"/>
      <c r="BJ161" s="778"/>
      <c r="BK161" s="778"/>
      <c r="BL161" s="778"/>
      <c r="BM161" s="778"/>
      <c r="BN161" s="778"/>
      <c r="BO161" s="778"/>
      <c r="BP161" s="778"/>
      <c r="BQ161" s="778"/>
      <c r="BR161" s="778"/>
      <c r="BS161" s="778"/>
      <c r="BT161" s="778"/>
    </row>
    <row r="162" spans="1:72" x14ac:dyDescent="0.25">
      <c r="A162" s="778" t="s">
        <v>600</v>
      </c>
      <c r="B162" s="778">
        <v>2.4300000000000002</v>
      </c>
      <c r="C162" s="778">
        <v>2.84</v>
      </c>
      <c r="D162" s="778">
        <v>2.83</v>
      </c>
      <c r="E162" s="778">
        <v>2.77</v>
      </c>
      <c r="F162" s="778">
        <v>2.81</v>
      </c>
      <c r="G162" s="778">
        <v>2.85</v>
      </c>
      <c r="H162" s="778">
        <v>2.86</v>
      </c>
      <c r="I162" s="778">
        <v>2.93</v>
      </c>
      <c r="J162" s="778">
        <v>3</v>
      </c>
      <c r="K162" s="778">
        <v>3.04</v>
      </c>
      <c r="L162" s="778">
        <v>3.11</v>
      </c>
      <c r="M162" s="778">
        <v>3.16</v>
      </c>
      <c r="N162" s="778">
        <v>3.2</v>
      </c>
      <c r="O162" s="778">
        <v>3.26</v>
      </c>
      <c r="P162" s="778">
        <v>3.31</v>
      </c>
      <c r="Q162" s="778">
        <v>3.38</v>
      </c>
      <c r="R162" s="778">
        <v>3.43</v>
      </c>
      <c r="S162" s="778">
        <v>3.5</v>
      </c>
      <c r="T162" s="778">
        <v>3.56</v>
      </c>
      <c r="U162" s="778">
        <v>3.65</v>
      </c>
      <c r="V162" s="778">
        <v>3.72</v>
      </c>
      <c r="W162" s="778">
        <v>3.82</v>
      </c>
      <c r="X162" s="778">
        <v>3.91</v>
      </c>
      <c r="Y162" s="778">
        <v>4.01</v>
      </c>
      <c r="Z162" s="778">
        <v>4.12</v>
      </c>
      <c r="AA162" s="778">
        <v>4.21</v>
      </c>
      <c r="AB162" s="778">
        <v>4.33</v>
      </c>
      <c r="AC162" s="778">
        <v>4.4400000000000004</v>
      </c>
      <c r="AD162" s="778">
        <v>4.55</v>
      </c>
      <c r="AE162" s="814">
        <v>1.7999999999999999E-2</v>
      </c>
      <c r="AF162" s="778"/>
      <c r="AG162" s="778"/>
      <c r="AH162" s="778"/>
      <c r="AI162" s="778"/>
      <c r="AJ162" s="778"/>
      <c r="AK162" s="778"/>
      <c r="AL162" s="778"/>
      <c r="AM162" s="778"/>
      <c r="AN162" s="778"/>
      <c r="AO162" s="778"/>
      <c r="AP162" s="778"/>
      <c r="AQ162" s="778"/>
      <c r="AR162" s="778"/>
      <c r="AS162" s="778"/>
      <c r="AT162" s="778"/>
      <c r="AU162" s="778"/>
      <c r="AV162" s="778"/>
      <c r="AW162" s="778"/>
      <c r="AX162" s="778"/>
      <c r="AY162" s="778"/>
      <c r="AZ162" s="778"/>
      <c r="BA162" s="778"/>
      <c r="BB162" s="778"/>
      <c r="BC162" s="778"/>
      <c r="BD162" s="778"/>
      <c r="BE162" s="778"/>
      <c r="BF162" s="778"/>
      <c r="BG162" s="778"/>
      <c r="BH162" s="778"/>
      <c r="BI162" s="778"/>
      <c r="BJ162" s="778"/>
      <c r="BK162" s="778"/>
      <c r="BL162" s="778"/>
      <c r="BM162" s="778"/>
      <c r="BN162" s="778"/>
      <c r="BO162" s="778"/>
      <c r="BP162" s="778"/>
      <c r="BQ162" s="778"/>
      <c r="BR162" s="778"/>
      <c r="BS162" s="778"/>
      <c r="BT162" s="778"/>
    </row>
    <row r="163" spans="1:72" x14ac:dyDescent="0.25">
      <c r="A163" s="778" t="s">
        <v>601</v>
      </c>
      <c r="B163" s="778" t="s">
        <v>773</v>
      </c>
      <c r="C163" s="778" t="s">
        <v>773</v>
      </c>
      <c r="D163" s="778" t="s">
        <v>773</v>
      </c>
      <c r="E163" s="778" t="s">
        <v>773</v>
      </c>
      <c r="F163" s="778">
        <v>1.32</v>
      </c>
      <c r="G163" s="778">
        <v>1.1000000000000001</v>
      </c>
      <c r="H163" s="778">
        <v>1.1200000000000001</v>
      </c>
      <c r="I163" s="778">
        <v>1.55</v>
      </c>
      <c r="J163" s="778">
        <v>1.58</v>
      </c>
      <c r="K163" s="778">
        <v>1.65</v>
      </c>
      <c r="L163" s="778">
        <v>1.72</v>
      </c>
      <c r="M163" s="778">
        <v>1.74</v>
      </c>
      <c r="N163" s="778">
        <v>1.76</v>
      </c>
      <c r="O163" s="778">
        <v>1.79</v>
      </c>
      <c r="P163" s="778">
        <v>1.86</v>
      </c>
      <c r="Q163" s="778">
        <v>1.91</v>
      </c>
      <c r="R163" s="778">
        <v>1.98</v>
      </c>
      <c r="S163" s="778">
        <v>1.99</v>
      </c>
      <c r="T163" s="778">
        <v>2.02</v>
      </c>
      <c r="U163" s="778">
        <v>2.04</v>
      </c>
      <c r="V163" s="778">
        <v>2.0699999999999998</v>
      </c>
      <c r="W163" s="778">
        <v>2.1</v>
      </c>
      <c r="X163" s="778">
        <v>2.13</v>
      </c>
      <c r="Y163" s="778">
        <v>2.1800000000000002</v>
      </c>
      <c r="Z163" s="778">
        <v>2.2200000000000002</v>
      </c>
      <c r="AA163" s="778">
        <v>2.2799999999999998</v>
      </c>
      <c r="AB163" s="778">
        <v>2.35</v>
      </c>
      <c r="AC163" s="778">
        <v>2.44</v>
      </c>
      <c r="AD163" s="778">
        <v>2.5299999999999998</v>
      </c>
      <c r="AE163" s="778" t="s">
        <v>773</v>
      </c>
      <c r="AF163" s="778"/>
      <c r="AG163" s="778"/>
      <c r="AH163" s="778"/>
      <c r="AI163" s="778"/>
      <c r="AJ163" s="778"/>
      <c r="AK163" s="778"/>
      <c r="AL163" s="778"/>
      <c r="AM163" s="778"/>
      <c r="AN163" s="778"/>
      <c r="AO163" s="778"/>
      <c r="AP163" s="778"/>
      <c r="AQ163" s="778"/>
      <c r="AR163" s="778"/>
      <c r="AS163" s="778"/>
      <c r="AT163" s="778"/>
      <c r="AU163" s="778"/>
      <c r="AV163" s="778"/>
      <c r="AW163" s="778"/>
      <c r="AX163" s="778"/>
      <c r="AY163" s="778"/>
      <c r="AZ163" s="778"/>
      <c r="BA163" s="778"/>
      <c r="BB163" s="778"/>
      <c r="BC163" s="778"/>
      <c r="BD163" s="778"/>
      <c r="BE163" s="778"/>
      <c r="BF163" s="778"/>
      <c r="BG163" s="778"/>
      <c r="BH163" s="778"/>
      <c r="BI163" s="778"/>
      <c r="BJ163" s="778"/>
      <c r="BK163" s="778"/>
      <c r="BL163" s="778"/>
      <c r="BM163" s="778"/>
      <c r="BN163" s="778"/>
      <c r="BO163" s="778"/>
      <c r="BP163" s="778"/>
      <c r="BQ163" s="778"/>
      <c r="BR163" s="778"/>
      <c r="BS163" s="778"/>
      <c r="BT163" s="778"/>
    </row>
    <row r="164" spans="1:72" x14ac:dyDescent="0.25">
      <c r="A164" s="778" t="s">
        <v>465</v>
      </c>
      <c r="B164" s="778">
        <v>18.600000000000001</v>
      </c>
      <c r="C164" s="778">
        <v>20.21</v>
      </c>
      <c r="D164" s="778">
        <v>20.350000000000001</v>
      </c>
      <c r="E164" s="778">
        <v>19.73</v>
      </c>
      <c r="F164" s="778">
        <v>17.86</v>
      </c>
      <c r="G164" s="778">
        <v>18.77</v>
      </c>
      <c r="H164" s="778">
        <v>18.98</v>
      </c>
      <c r="I164" s="778">
        <v>19.010000000000002</v>
      </c>
      <c r="J164" s="778">
        <v>19.36</v>
      </c>
      <c r="K164" s="778">
        <v>19.989999999999998</v>
      </c>
      <c r="L164" s="778">
        <v>20.51</v>
      </c>
      <c r="M164" s="778">
        <v>20.91</v>
      </c>
      <c r="N164" s="778">
        <v>21.27</v>
      </c>
      <c r="O164" s="778">
        <v>21.9</v>
      </c>
      <c r="P164" s="778">
        <v>22.56</v>
      </c>
      <c r="Q164" s="778">
        <v>23.2</v>
      </c>
      <c r="R164" s="778">
        <v>23.95</v>
      </c>
      <c r="S164" s="778">
        <v>24.64</v>
      </c>
      <c r="T164" s="778">
        <v>25.11</v>
      </c>
      <c r="U164" s="778">
        <v>25.79</v>
      </c>
      <c r="V164" s="778">
        <v>26.57</v>
      </c>
      <c r="W164" s="778">
        <v>27.41</v>
      </c>
      <c r="X164" s="778">
        <v>28.5</v>
      </c>
      <c r="Y164" s="778">
        <v>29.55</v>
      </c>
      <c r="Z164" s="778">
        <v>30.67</v>
      </c>
      <c r="AA164" s="778">
        <v>31.8</v>
      </c>
      <c r="AB164" s="778">
        <v>32.71</v>
      </c>
      <c r="AC164" s="778">
        <v>33.76</v>
      </c>
      <c r="AD164" s="778">
        <v>34.799999999999997</v>
      </c>
      <c r="AE164" s="814">
        <v>0.02</v>
      </c>
      <c r="AF164" s="778"/>
      <c r="AG164" s="778"/>
      <c r="AH164" s="778"/>
      <c r="AI164" s="778"/>
      <c r="AJ164" s="778"/>
      <c r="AK164" s="778"/>
      <c r="AL164" s="778"/>
      <c r="AM164" s="778"/>
      <c r="AN164" s="778"/>
      <c r="AO164" s="778"/>
      <c r="AP164" s="778"/>
      <c r="AQ164" s="778"/>
      <c r="AR164" s="778"/>
      <c r="AS164" s="778"/>
      <c r="AT164" s="778"/>
      <c r="AU164" s="778"/>
      <c r="AV164" s="778"/>
      <c r="AW164" s="778"/>
      <c r="AX164" s="778"/>
      <c r="AY164" s="778"/>
      <c r="AZ164" s="778"/>
      <c r="BA164" s="778"/>
      <c r="BB164" s="778"/>
      <c r="BC164" s="778"/>
      <c r="BD164" s="778"/>
      <c r="BE164" s="778"/>
      <c r="BF164" s="778"/>
      <c r="BG164" s="778"/>
      <c r="BH164" s="778"/>
      <c r="BI164" s="778"/>
      <c r="BJ164" s="778"/>
      <c r="BK164" s="778"/>
      <c r="BL164" s="778"/>
      <c r="BM164" s="778"/>
      <c r="BN164" s="778"/>
      <c r="BO164" s="778"/>
      <c r="BP164" s="778"/>
      <c r="BQ164" s="778"/>
      <c r="BR164" s="778"/>
      <c r="BS164" s="778"/>
      <c r="BT164" s="778"/>
    </row>
    <row r="165" spans="1:72" x14ac:dyDescent="0.25">
      <c r="A165" s="778"/>
      <c r="B165" s="778"/>
      <c r="C165" s="778"/>
      <c r="D165" s="778"/>
      <c r="E165" s="778"/>
      <c r="F165" s="778"/>
      <c r="G165" s="778"/>
      <c r="H165" s="778"/>
      <c r="I165" s="778"/>
      <c r="J165" s="778"/>
      <c r="K165" s="778"/>
      <c r="L165" s="778"/>
      <c r="M165" s="778"/>
      <c r="N165" s="778"/>
      <c r="O165" s="778"/>
      <c r="P165" s="778"/>
      <c r="Q165" s="778"/>
      <c r="R165" s="778"/>
      <c r="S165" s="778"/>
      <c r="T165" s="778"/>
      <c r="U165" s="778"/>
      <c r="V165" s="778"/>
      <c r="W165" s="778"/>
      <c r="X165" s="778"/>
      <c r="Y165" s="778"/>
      <c r="Z165" s="778"/>
      <c r="AA165" s="778"/>
      <c r="AB165" s="778"/>
      <c r="AC165" s="778"/>
      <c r="AD165" s="778"/>
      <c r="AE165" s="778"/>
      <c r="AF165" s="778"/>
      <c r="AG165" s="778"/>
      <c r="AH165" s="778"/>
      <c r="AI165" s="778"/>
      <c r="AJ165" s="778"/>
      <c r="AK165" s="778"/>
      <c r="AL165" s="778"/>
      <c r="AM165" s="778"/>
      <c r="AN165" s="778"/>
      <c r="AO165" s="778"/>
      <c r="AP165" s="778"/>
      <c r="AQ165" s="778"/>
      <c r="AR165" s="778"/>
      <c r="AS165" s="778"/>
      <c r="AT165" s="778"/>
      <c r="AU165" s="778"/>
      <c r="AV165" s="778"/>
      <c r="AW165" s="778"/>
      <c r="AX165" s="778"/>
      <c r="AY165" s="778"/>
      <c r="AZ165" s="778"/>
      <c r="BA165" s="778"/>
      <c r="BB165" s="778"/>
      <c r="BC165" s="778"/>
      <c r="BD165" s="778"/>
      <c r="BE165" s="778"/>
      <c r="BF165" s="778"/>
      <c r="BG165" s="778"/>
      <c r="BH165" s="778"/>
      <c r="BI165" s="778"/>
      <c r="BJ165" s="778"/>
      <c r="BK165" s="778"/>
      <c r="BL165" s="778"/>
      <c r="BM165" s="778"/>
      <c r="BN165" s="778"/>
      <c r="BO165" s="778"/>
      <c r="BP165" s="778"/>
      <c r="BQ165" s="778"/>
      <c r="BR165" s="778"/>
      <c r="BS165" s="778"/>
      <c r="BT165" s="778"/>
    </row>
    <row r="166" spans="1:72" x14ac:dyDescent="0.25">
      <c r="A166" s="778" t="s">
        <v>473</v>
      </c>
      <c r="B166" s="778"/>
      <c r="C166" s="778"/>
      <c r="D166" s="778"/>
      <c r="E166" s="778"/>
      <c r="F166" s="778"/>
      <c r="G166" s="778"/>
      <c r="H166" s="778"/>
      <c r="I166" s="778"/>
      <c r="J166" s="778"/>
      <c r="K166" s="778"/>
      <c r="L166" s="778"/>
      <c r="M166" s="778"/>
      <c r="N166" s="778"/>
      <c r="O166" s="778"/>
      <c r="P166" s="778"/>
      <c r="Q166" s="778"/>
      <c r="R166" s="778"/>
      <c r="S166" s="778"/>
      <c r="T166" s="778"/>
      <c r="U166" s="778"/>
      <c r="V166" s="778"/>
      <c r="W166" s="778"/>
      <c r="X166" s="778"/>
      <c r="Y166" s="778"/>
      <c r="Z166" s="778"/>
      <c r="AA166" s="778"/>
      <c r="AB166" s="778"/>
      <c r="AC166" s="778"/>
      <c r="AD166" s="778"/>
      <c r="AE166" s="778"/>
      <c r="AF166" s="778"/>
      <c r="AG166" s="778"/>
      <c r="AH166" s="778"/>
      <c r="AI166" s="778"/>
      <c r="AJ166" s="778"/>
      <c r="AK166" s="778"/>
      <c r="AL166" s="778"/>
      <c r="AM166" s="778"/>
      <c r="AN166" s="778"/>
      <c r="AO166" s="778"/>
      <c r="AP166" s="778"/>
      <c r="AQ166" s="778"/>
      <c r="AR166" s="778"/>
      <c r="AS166" s="778"/>
      <c r="AT166" s="778"/>
      <c r="AU166" s="778"/>
      <c r="AV166" s="778"/>
      <c r="AW166" s="778"/>
      <c r="AX166" s="778"/>
      <c r="AY166" s="778"/>
      <c r="AZ166" s="778"/>
      <c r="BA166" s="778"/>
      <c r="BB166" s="778"/>
      <c r="BC166" s="778"/>
      <c r="BD166" s="778"/>
      <c r="BE166" s="778"/>
      <c r="BF166" s="778"/>
      <c r="BG166" s="778"/>
      <c r="BH166" s="778"/>
      <c r="BI166" s="778"/>
      <c r="BJ166" s="778"/>
      <c r="BK166" s="778"/>
      <c r="BL166" s="778"/>
      <c r="BM166" s="778"/>
      <c r="BN166" s="778"/>
      <c r="BO166" s="778"/>
      <c r="BP166" s="778"/>
      <c r="BQ166" s="778"/>
      <c r="BR166" s="778"/>
      <c r="BS166" s="778"/>
      <c r="BT166" s="778"/>
    </row>
    <row r="167" spans="1:72" x14ac:dyDescent="0.25">
      <c r="A167" s="778" t="s">
        <v>602</v>
      </c>
      <c r="B167" s="778">
        <v>23.31</v>
      </c>
      <c r="C167" s="778">
        <v>29.93</v>
      </c>
      <c r="D167" s="778">
        <v>25.58</v>
      </c>
      <c r="E167" s="778">
        <v>24.61</v>
      </c>
      <c r="F167" s="778">
        <v>25.02</v>
      </c>
      <c r="G167" s="778">
        <v>26.61</v>
      </c>
      <c r="H167" s="778">
        <v>28.36</v>
      </c>
      <c r="I167" s="778">
        <v>29.9</v>
      </c>
      <c r="J167" s="778">
        <v>31.07</v>
      </c>
      <c r="K167" s="778">
        <v>32.36</v>
      </c>
      <c r="L167" s="778">
        <v>33.58</v>
      </c>
      <c r="M167" s="778">
        <v>34.89</v>
      </c>
      <c r="N167" s="778">
        <v>35.840000000000003</v>
      </c>
      <c r="O167" s="778">
        <v>36.82</v>
      </c>
      <c r="P167" s="778">
        <v>37.89</v>
      </c>
      <c r="Q167" s="778">
        <v>38.979999999999997</v>
      </c>
      <c r="R167" s="778">
        <v>40.17</v>
      </c>
      <c r="S167" s="778">
        <v>41.36</v>
      </c>
      <c r="T167" s="778">
        <v>42.56</v>
      </c>
      <c r="U167" s="778">
        <v>43.64</v>
      </c>
      <c r="V167" s="778">
        <v>44.94</v>
      </c>
      <c r="W167" s="778">
        <v>46.27</v>
      </c>
      <c r="X167" s="778">
        <v>47.79</v>
      </c>
      <c r="Y167" s="778">
        <v>49.17</v>
      </c>
      <c r="Z167" s="778">
        <v>50.81</v>
      </c>
      <c r="AA167" s="778">
        <v>52.46</v>
      </c>
      <c r="AB167" s="778">
        <v>54.21</v>
      </c>
      <c r="AC167" s="778">
        <v>55.95</v>
      </c>
      <c r="AD167" s="778">
        <v>57.77</v>
      </c>
      <c r="AE167" s="814">
        <v>2.5000000000000001E-2</v>
      </c>
      <c r="AF167" s="778"/>
      <c r="AG167" s="778"/>
      <c r="AH167" s="778"/>
      <c r="AI167" s="778"/>
      <c r="AJ167" s="778"/>
      <c r="AK167" s="778"/>
      <c r="AL167" s="778"/>
      <c r="AM167" s="778"/>
      <c r="AN167" s="778"/>
      <c r="AO167" s="778"/>
      <c r="AP167" s="778"/>
      <c r="AQ167" s="778"/>
      <c r="AR167" s="778"/>
      <c r="AS167" s="778"/>
      <c r="AT167" s="778"/>
      <c r="AU167" s="778"/>
      <c r="AV167" s="778"/>
      <c r="AW167" s="778"/>
      <c r="AX167" s="778"/>
      <c r="AY167" s="778"/>
      <c r="AZ167" s="778"/>
      <c r="BA167" s="778"/>
      <c r="BB167" s="778"/>
      <c r="BC167" s="778"/>
      <c r="BD167" s="778"/>
      <c r="BE167" s="778"/>
      <c r="BF167" s="778"/>
      <c r="BG167" s="778"/>
      <c r="BH167" s="778"/>
      <c r="BI167" s="778"/>
      <c r="BJ167" s="778"/>
      <c r="BK167" s="778"/>
      <c r="BL167" s="778"/>
      <c r="BM167" s="778"/>
      <c r="BN167" s="778"/>
      <c r="BO167" s="778"/>
      <c r="BP167" s="778"/>
      <c r="BQ167" s="778"/>
      <c r="BR167" s="778"/>
      <c r="BS167" s="778"/>
      <c r="BT167" s="778"/>
    </row>
    <row r="168" spans="1:72" x14ac:dyDescent="0.25">
      <c r="A168" s="778" t="s">
        <v>603</v>
      </c>
      <c r="B168" s="778">
        <v>26.83</v>
      </c>
      <c r="C168" s="778">
        <v>26.93</v>
      </c>
      <c r="D168" s="778">
        <v>23.64</v>
      </c>
      <c r="E168" s="778">
        <v>21.26</v>
      </c>
      <c r="F168" s="778">
        <v>21.89</v>
      </c>
      <c r="G168" s="778">
        <v>23.43</v>
      </c>
      <c r="H168" s="778">
        <v>26.07</v>
      </c>
      <c r="I168" s="778">
        <v>27.64</v>
      </c>
      <c r="J168" s="778">
        <v>28.47</v>
      </c>
      <c r="K168" s="778">
        <v>28.45</v>
      </c>
      <c r="L168" s="778">
        <v>29.92</v>
      </c>
      <c r="M168" s="778">
        <v>31.23</v>
      </c>
      <c r="N168" s="778">
        <v>31.97</v>
      </c>
      <c r="O168" s="778">
        <v>32.94</v>
      </c>
      <c r="P168" s="778">
        <v>34.090000000000003</v>
      </c>
      <c r="Q168" s="778">
        <v>35.479999999999997</v>
      </c>
      <c r="R168" s="778">
        <v>36.880000000000003</v>
      </c>
      <c r="S168" s="778">
        <v>37.979999999999997</v>
      </c>
      <c r="T168" s="778">
        <v>39.17</v>
      </c>
      <c r="U168" s="778">
        <v>40.479999999999997</v>
      </c>
      <c r="V168" s="778">
        <v>41.72</v>
      </c>
      <c r="W168" s="778">
        <v>43.4</v>
      </c>
      <c r="X168" s="778">
        <v>44.96</v>
      </c>
      <c r="Y168" s="778">
        <v>46.25</v>
      </c>
      <c r="Z168" s="778">
        <v>47.62</v>
      </c>
      <c r="AA168" s="778">
        <v>49.36</v>
      </c>
      <c r="AB168" s="778">
        <v>50.75</v>
      </c>
      <c r="AC168" s="778">
        <v>52.29</v>
      </c>
      <c r="AD168" s="778">
        <v>54.17</v>
      </c>
      <c r="AE168" s="814">
        <v>2.5999999999999999E-2</v>
      </c>
      <c r="AF168" s="778"/>
      <c r="AG168" s="778"/>
      <c r="AH168" s="778"/>
      <c r="AI168" s="778"/>
      <c r="AJ168" s="778"/>
      <c r="AK168" s="778"/>
      <c r="AL168" s="778"/>
      <c r="AM168" s="778"/>
      <c r="AN168" s="778"/>
      <c r="AO168" s="778"/>
      <c r="AP168" s="778"/>
      <c r="AQ168" s="778"/>
      <c r="AR168" s="778"/>
      <c r="AS168" s="778"/>
      <c r="AT168" s="778"/>
      <c r="AU168" s="778"/>
      <c r="AV168" s="778"/>
      <c r="AW168" s="778"/>
      <c r="AX168" s="778"/>
      <c r="AY168" s="778"/>
      <c r="AZ168" s="778"/>
      <c r="BA168" s="778"/>
      <c r="BB168" s="778"/>
      <c r="BC168" s="778"/>
      <c r="BD168" s="778"/>
      <c r="BE168" s="778"/>
      <c r="BF168" s="778"/>
      <c r="BG168" s="778"/>
      <c r="BH168" s="778"/>
      <c r="BI168" s="778"/>
      <c r="BJ168" s="778"/>
      <c r="BK168" s="778"/>
      <c r="BL168" s="778"/>
      <c r="BM168" s="778"/>
      <c r="BN168" s="778"/>
      <c r="BO168" s="778"/>
      <c r="BP168" s="778"/>
      <c r="BQ168" s="778"/>
      <c r="BR168" s="778"/>
      <c r="BS168" s="778"/>
      <c r="BT168" s="778"/>
    </row>
    <row r="169" spans="1:72" x14ac:dyDescent="0.25">
      <c r="A169" s="778" t="s">
        <v>604</v>
      </c>
      <c r="B169" s="778">
        <v>23.15</v>
      </c>
      <c r="C169" s="778">
        <v>26.76</v>
      </c>
      <c r="D169" s="778">
        <v>19.43</v>
      </c>
      <c r="E169" s="778">
        <v>21.17</v>
      </c>
      <c r="F169" s="778">
        <v>21.79</v>
      </c>
      <c r="G169" s="778">
        <v>23.32</v>
      </c>
      <c r="H169" s="778">
        <v>25.87</v>
      </c>
      <c r="I169" s="778">
        <v>27.33</v>
      </c>
      <c r="J169" s="778">
        <v>28.27</v>
      </c>
      <c r="K169" s="778">
        <v>29.42</v>
      </c>
      <c r="L169" s="778">
        <v>30.58</v>
      </c>
      <c r="M169" s="778">
        <v>31.65</v>
      </c>
      <c r="N169" s="778">
        <v>32.6</v>
      </c>
      <c r="O169" s="778">
        <v>33.72</v>
      </c>
      <c r="P169" s="778">
        <v>34.72</v>
      </c>
      <c r="Q169" s="778">
        <v>35.94</v>
      </c>
      <c r="R169" s="778">
        <v>37.020000000000003</v>
      </c>
      <c r="S169" s="778">
        <v>37.96</v>
      </c>
      <c r="T169" s="778">
        <v>39.18</v>
      </c>
      <c r="U169" s="778">
        <v>40.44</v>
      </c>
      <c r="V169" s="778">
        <v>41.69</v>
      </c>
      <c r="W169" s="778">
        <v>43.21</v>
      </c>
      <c r="X169" s="778">
        <v>44.7</v>
      </c>
      <c r="Y169" s="778">
        <v>45.91</v>
      </c>
      <c r="Z169" s="778">
        <v>47.47</v>
      </c>
      <c r="AA169" s="778">
        <v>49.16</v>
      </c>
      <c r="AB169" s="778">
        <v>50.66</v>
      </c>
      <c r="AC169" s="778">
        <v>52.36</v>
      </c>
      <c r="AD169" s="778">
        <v>54.33</v>
      </c>
      <c r="AE169" s="814">
        <v>2.7E-2</v>
      </c>
      <c r="AF169" s="778"/>
      <c r="AG169" s="778"/>
      <c r="AH169" s="778"/>
      <c r="AI169" s="778"/>
      <c r="AJ169" s="778"/>
      <c r="AK169" s="778"/>
      <c r="AL169" s="778"/>
      <c r="AM169" s="778"/>
      <c r="AN169" s="778"/>
      <c r="AO169" s="778"/>
      <c r="AP169" s="778"/>
      <c r="AQ169" s="778"/>
      <c r="AR169" s="778"/>
      <c r="AS169" s="778"/>
      <c r="AT169" s="778"/>
      <c r="AU169" s="778"/>
      <c r="AV169" s="778"/>
      <c r="AW169" s="778"/>
      <c r="AX169" s="778"/>
      <c r="AY169" s="778"/>
      <c r="AZ169" s="778"/>
      <c r="BA169" s="778"/>
      <c r="BB169" s="778"/>
      <c r="BC169" s="778"/>
      <c r="BD169" s="778"/>
      <c r="BE169" s="778"/>
      <c r="BF169" s="778"/>
      <c r="BG169" s="778"/>
      <c r="BH169" s="778"/>
      <c r="BI169" s="778"/>
      <c r="BJ169" s="778"/>
      <c r="BK169" s="778"/>
      <c r="BL169" s="778"/>
      <c r="BM169" s="778"/>
      <c r="BN169" s="778"/>
      <c r="BO169" s="778"/>
      <c r="BP169" s="778"/>
      <c r="BQ169" s="778"/>
      <c r="BR169" s="778"/>
      <c r="BS169" s="778"/>
      <c r="BT169" s="778"/>
    </row>
    <row r="170" spans="1:72" x14ac:dyDescent="0.25">
      <c r="A170" s="778" t="s">
        <v>605</v>
      </c>
      <c r="B170" s="778">
        <v>15.42</v>
      </c>
      <c r="C170" s="778">
        <v>22.71</v>
      </c>
      <c r="D170" s="778">
        <v>12.92</v>
      </c>
      <c r="E170" s="778">
        <v>15.23</v>
      </c>
      <c r="F170" s="778">
        <v>15.82</v>
      </c>
      <c r="G170" s="778">
        <v>17.510000000000002</v>
      </c>
      <c r="H170" s="778">
        <v>19.05</v>
      </c>
      <c r="I170" s="778">
        <v>20.23</v>
      </c>
      <c r="J170" s="778">
        <v>21.21</v>
      </c>
      <c r="K170" s="778">
        <v>22.42</v>
      </c>
      <c r="L170" s="778">
        <v>23.58</v>
      </c>
      <c r="M170" s="778">
        <v>24.67</v>
      </c>
      <c r="N170" s="778">
        <v>25.58</v>
      </c>
      <c r="O170" s="778">
        <v>26.51</v>
      </c>
      <c r="P170" s="778">
        <v>27.27</v>
      </c>
      <c r="Q170" s="778">
        <v>28.18</v>
      </c>
      <c r="R170" s="778">
        <v>29.2</v>
      </c>
      <c r="S170" s="778">
        <v>30.07</v>
      </c>
      <c r="T170" s="778">
        <v>31.1</v>
      </c>
      <c r="U170" s="778">
        <v>32.130000000000003</v>
      </c>
      <c r="V170" s="778">
        <v>33.21</v>
      </c>
      <c r="W170" s="778">
        <v>34.54</v>
      </c>
      <c r="X170" s="778">
        <v>35.83</v>
      </c>
      <c r="Y170" s="778">
        <v>36.99</v>
      </c>
      <c r="Z170" s="778">
        <v>38.42</v>
      </c>
      <c r="AA170" s="778">
        <v>39.92</v>
      </c>
      <c r="AB170" s="778">
        <v>41.32</v>
      </c>
      <c r="AC170" s="778">
        <v>42.87</v>
      </c>
      <c r="AD170" s="778">
        <v>44.51</v>
      </c>
      <c r="AE170" s="814">
        <v>2.5000000000000001E-2</v>
      </c>
      <c r="AF170" s="778"/>
      <c r="AG170" s="778"/>
      <c r="AH170" s="778"/>
      <c r="AI170" s="778"/>
      <c r="AJ170" s="778"/>
      <c r="AK170" s="778"/>
      <c r="AL170" s="778"/>
      <c r="AM170" s="778"/>
      <c r="AN170" s="778"/>
      <c r="AO170" s="778"/>
      <c r="AP170" s="778"/>
      <c r="AQ170" s="778"/>
      <c r="AR170" s="778"/>
      <c r="AS170" s="778"/>
      <c r="AT170" s="778"/>
      <c r="AU170" s="778"/>
      <c r="AV170" s="778"/>
      <c r="AW170" s="778"/>
      <c r="AX170" s="778"/>
      <c r="AY170" s="778"/>
      <c r="AZ170" s="778"/>
      <c r="BA170" s="778"/>
      <c r="BB170" s="778"/>
      <c r="BC170" s="778"/>
      <c r="BD170" s="778"/>
      <c r="BE170" s="778"/>
      <c r="BF170" s="778"/>
      <c r="BG170" s="778"/>
      <c r="BH170" s="778"/>
      <c r="BI170" s="778"/>
      <c r="BJ170" s="778"/>
      <c r="BK170" s="778"/>
      <c r="BL170" s="778"/>
      <c r="BM170" s="778"/>
      <c r="BN170" s="778"/>
      <c r="BO170" s="778"/>
      <c r="BP170" s="778"/>
      <c r="BQ170" s="778"/>
      <c r="BR170" s="778"/>
      <c r="BS170" s="778"/>
      <c r="BT170" s="778"/>
    </row>
    <row r="171" spans="1:72" x14ac:dyDescent="0.25">
      <c r="A171" s="778" t="s">
        <v>709</v>
      </c>
      <c r="B171" s="778">
        <v>21.08</v>
      </c>
      <c r="C171" s="778">
        <v>27.65</v>
      </c>
      <c r="D171" s="778">
        <v>18.04</v>
      </c>
      <c r="E171" s="778">
        <v>19.7</v>
      </c>
      <c r="F171" s="778">
        <v>20.149999999999999</v>
      </c>
      <c r="G171" s="778">
        <v>21.71</v>
      </c>
      <c r="H171" s="778">
        <v>23.2</v>
      </c>
      <c r="I171" s="778">
        <v>24.38</v>
      </c>
      <c r="J171" s="778">
        <v>25.56</v>
      </c>
      <c r="K171" s="778">
        <v>26.86</v>
      </c>
      <c r="L171" s="778">
        <v>28.03</v>
      </c>
      <c r="M171" s="778">
        <v>29.31</v>
      </c>
      <c r="N171" s="778">
        <v>30.31</v>
      </c>
      <c r="O171" s="778">
        <v>31.28</v>
      </c>
      <c r="P171" s="778">
        <v>32.19</v>
      </c>
      <c r="Q171" s="778">
        <v>33.32</v>
      </c>
      <c r="R171" s="778">
        <v>34.22</v>
      </c>
      <c r="S171" s="778">
        <v>35.03</v>
      </c>
      <c r="T171" s="778">
        <v>36.130000000000003</v>
      </c>
      <c r="U171" s="778">
        <v>37.17</v>
      </c>
      <c r="V171" s="778">
        <v>38.32</v>
      </c>
      <c r="W171" s="778">
        <v>39.61</v>
      </c>
      <c r="X171" s="778">
        <v>41.05</v>
      </c>
      <c r="Y171" s="778">
        <v>42.2</v>
      </c>
      <c r="Z171" s="778">
        <v>43.79</v>
      </c>
      <c r="AA171" s="778">
        <v>45.41</v>
      </c>
      <c r="AB171" s="778">
        <v>46.88</v>
      </c>
      <c r="AC171" s="778">
        <v>48.53</v>
      </c>
      <c r="AD171" s="778">
        <v>50.35</v>
      </c>
      <c r="AE171" s="814">
        <v>2.1999999999999999E-2</v>
      </c>
      <c r="AF171" s="778"/>
      <c r="AG171" s="778"/>
      <c r="AH171" s="778"/>
      <c r="AI171" s="778"/>
      <c r="AJ171" s="778"/>
      <c r="AK171" s="778"/>
      <c r="AL171" s="778"/>
      <c r="AM171" s="778"/>
      <c r="AN171" s="778"/>
      <c r="AO171" s="778"/>
      <c r="AP171" s="778"/>
      <c r="AQ171" s="778"/>
      <c r="AR171" s="778"/>
      <c r="AS171" s="778"/>
      <c r="AT171" s="778"/>
      <c r="AU171" s="778"/>
      <c r="AV171" s="778"/>
      <c r="AW171" s="778"/>
      <c r="AX171" s="778"/>
      <c r="AY171" s="778"/>
      <c r="AZ171" s="778"/>
      <c r="BA171" s="778"/>
      <c r="BB171" s="778"/>
      <c r="BC171" s="778"/>
      <c r="BD171" s="778"/>
      <c r="BE171" s="778"/>
      <c r="BF171" s="778"/>
      <c r="BG171" s="778"/>
      <c r="BH171" s="778"/>
      <c r="BI171" s="778"/>
      <c r="BJ171" s="778"/>
      <c r="BK171" s="778"/>
      <c r="BL171" s="778"/>
      <c r="BM171" s="778"/>
      <c r="BN171" s="778"/>
      <c r="BO171" s="778"/>
      <c r="BP171" s="778"/>
      <c r="BQ171" s="778"/>
      <c r="BR171" s="778"/>
      <c r="BS171" s="778"/>
      <c r="BT171" s="778"/>
    </row>
    <row r="172" spans="1:72" x14ac:dyDescent="0.25">
      <c r="A172" s="778" t="s">
        <v>596</v>
      </c>
      <c r="B172" s="778">
        <v>8.99</v>
      </c>
      <c r="C172" s="778">
        <v>14.49</v>
      </c>
      <c r="D172" s="778">
        <v>9</v>
      </c>
      <c r="E172" s="778">
        <v>10.51</v>
      </c>
      <c r="F172" s="778">
        <v>10.77</v>
      </c>
      <c r="G172" s="778">
        <v>12.17</v>
      </c>
      <c r="H172" s="778">
        <v>13.4</v>
      </c>
      <c r="I172" s="778">
        <v>14.45</v>
      </c>
      <c r="J172" s="778">
        <v>15.13</v>
      </c>
      <c r="K172" s="778">
        <v>15.77</v>
      </c>
      <c r="L172" s="778">
        <v>16.670000000000002</v>
      </c>
      <c r="M172" s="778">
        <v>17.43</v>
      </c>
      <c r="N172" s="778">
        <v>17.940000000000001</v>
      </c>
      <c r="O172" s="778">
        <v>18.32</v>
      </c>
      <c r="P172" s="778">
        <v>19</v>
      </c>
      <c r="Q172" s="778">
        <v>19.57</v>
      </c>
      <c r="R172" s="778">
        <v>20.260000000000002</v>
      </c>
      <c r="S172" s="778">
        <v>20.94</v>
      </c>
      <c r="T172" s="778">
        <v>21.63</v>
      </c>
      <c r="U172" s="778">
        <v>22.13</v>
      </c>
      <c r="V172" s="778">
        <v>23.02</v>
      </c>
      <c r="W172" s="778">
        <v>23.85</v>
      </c>
      <c r="X172" s="778">
        <v>24.8</v>
      </c>
      <c r="Y172" s="778">
        <v>25.81</v>
      </c>
      <c r="Z172" s="778">
        <v>26.88</v>
      </c>
      <c r="AA172" s="778">
        <v>27.91</v>
      </c>
      <c r="AB172" s="778">
        <v>28.9</v>
      </c>
      <c r="AC172" s="778">
        <v>30.02</v>
      </c>
      <c r="AD172" s="778">
        <v>31.26</v>
      </c>
      <c r="AE172" s="814">
        <v>2.9000000000000001E-2</v>
      </c>
      <c r="AF172" s="778"/>
      <c r="AG172" s="778"/>
      <c r="AH172" s="778"/>
      <c r="AI172" s="778"/>
      <c r="AJ172" s="778"/>
      <c r="AK172" s="778"/>
      <c r="AL172" s="778"/>
      <c r="AM172" s="778"/>
      <c r="AN172" s="778"/>
      <c r="AO172" s="778"/>
      <c r="AP172" s="778"/>
      <c r="AQ172" s="778"/>
      <c r="AR172" s="778"/>
      <c r="AS172" s="778"/>
      <c r="AT172" s="778"/>
      <c r="AU172" s="778"/>
      <c r="AV172" s="778"/>
      <c r="AW172" s="778"/>
      <c r="AX172" s="778"/>
      <c r="AY172" s="778"/>
      <c r="AZ172" s="778"/>
      <c r="BA172" s="778"/>
      <c r="BB172" s="778"/>
      <c r="BC172" s="778"/>
      <c r="BD172" s="778"/>
      <c r="BE172" s="778"/>
      <c r="BF172" s="778"/>
      <c r="BG172" s="778"/>
      <c r="BH172" s="778"/>
      <c r="BI172" s="778"/>
      <c r="BJ172" s="778"/>
      <c r="BK172" s="778"/>
      <c r="BL172" s="778"/>
      <c r="BM172" s="778"/>
      <c r="BN172" s="778"/>
      <c r="BO172" s="778"/>
      <c r="BP172" s="778"/>
      <c r="BQ172" s="778"/>
      <c r="BR172" s="778"/>
      <c r="BS172" s="778"/>
      <c r="BT172" s="778"/>
    </row>
    <row r="173" spans="1:72" x14ac:dyDescent="0.25">
      <c r="A173" s="778" t="s">
        <v>607</v>
      </c>
      <c r="B173" s="778">
        <v>13.54</v>
      </c>
      <c r="C173" s="778">
        <v>15.96</v>
      </c>
      <c r="D173" s="778">
        <v>11.54</v>
      </c>
      <c r="E173" s="778">
        <v>12.36</v>
      </c>
      <c r="F173" s="778">
        <v>13.66</v>
      </c>
      <c r="G173" s="778">
        <v>14.28</v>
      </c>
      <c r="H173" s="778">
        <v>14.39</v>
      </c>
      <c r="I173" s="778">
        <v>14.52</v>
      </c>
      <c r="J173" s="778">
        <v>14.9</v>
      </c>
      <c r="K173" s="778">
        <v>15.21</v>
      </c>
      <c r="L173" s="778">
        <v>15.46</v>
      </c>
      <c r="M173" s="778">
        <v>15.74</v>
      </c>
      <c r="N173" s="778">
        <v>16.04</v>
      </c>
      <c r="O173" s="778">
        <v>16.43</v>
      </c>
      <c r="P173" s="778">
        <v>16.8</v>
      </c>
      <c r="Q173" s="778">
        <v>17.32</v>
      </c>
      <c r="R173" s="778">
        <v>17.64</v>
      </c>
      <c r="S173" s="778">
        <v>17.829999999999998</v>
      </c>
      <c r="T173" s="778">
        <v>18.23</v>
      </c>
      <c r="U173" s="778">
        <v>18.760000000000002</v>
      </c>
      <c r="V173" s="778">
        <v>19.309999999999999</v>
      </c>
      <c r="W173" s="778">
        <v>19.98</v>
      </c>
      <c r="X173" s="778">
        <v>20.67</v>
      </c>
      <c r="Y173" s="778">
        <v>21.42</v>
      </c>
      <c r="Z173" s="778">
        <v>22.31</v>
      </c>
      <c r="AA173" s="778">
        <v>22.94</v>
      </c>
      <c r="AB173" s="778">
        <v>23.44</v>
      </c>
      <c r="AC173" s="778">
        <v>24.19</v>
      </c>
      <c r="AD173" s="778">
        <v>24.84</v>
      </c>
      <c r="AE173" s="814">
        <v>1.7000000000000001E-2</v>
      </c>
      <c r="AF173" s="778"/>
      <c r="AG173" s="778"/>
      <c r="AH173" s="778"/>
      <c r="AI173" s="778"/>
      <c r="AJ173" s="778"/>
      <c r="AK173" s="778"/>
      <c r="AL173" s="778"/>
      <c r="AM173" s="778"/>
      <c r="AN173" s="778"/>
      <c r="AO173" s="778"/>
      <c r="AP173" s="778"/>
      <c r="AQ173" s="778"/>
      <c r="AR173" s="778"/>
      <c r="AS173" s="778"/>
      <c r="AT173" s="778"/>
      <c r="AU173" s="778"/>
      <c r="AV173" s="778"/>
      <c r="AW173" s="778"/>
      <c r="AX173" s="778"/>
      <c r="AY173" s="778"/>
      <c r="AZ173" s="778"/>
      <c r="BA173" s="778"/>
      <c r="BB173" s="778"/>
      <c r="BC173" s="778"/>
      <c r="BD173" s="778"/>
      <c r="BE173" s="778"/>
      <c r="BF173" s="778"/>
      <c r="BG173" s="778"/>
      <c r="BH173" s="778"/>
      <c r="BI173" s="778"/>
      <c r="BJ173" s="778"/>
      <c r="BK173" s="778"/>
      <c r="BL173" s="778"/>
      <c r="BM173" s="778"/>
      <c r="BN173" s="778"/>
      <c r="BO173" s="778"/>
      <c r="BP173" s="778"/>
      <c r="BQ173" s="778"/>
      <c r="BR173" s="778"/>
      <c r="BS173" s="778"/>
      <c r="BT173" s="778"/>
    </row>
    <row r="174" spans="1:72" x14ac:dyDescent="0.25">
      <c r="A174" s="778" t="s">
        <v>465</v>
      </c>
      <c r="B174" s="778">
        <v>31.32</v>
      </c>
      <c r="C174" s="778">
        <v>33.729999999999997</v>
      </c>
      <c r="D174" s="778">
        <v>32.79</v>
      </c>
      <c r="E174" s="778">
        <v>31.2</v>
      </c>
      <c r="F174" s="778">
        <v>28.83</v>
      </c>
      <c r="G174" s="778">
        <v>31.39</v>
      </c>
      <c r="H174" s="778">
        <v>32.01</v>
      </c>
      <c r="I174" s="778">
        <v>31.85</v>
      </c>
      <c r="J174" s="778">
        <v>32.08</v>
      </c>
      <c r="K174" s="778">
        <v>32.909999999999997</v>
      </c>
      <c r="L174" s="778">
        <v>33.549999999999997</v>
      </c>
      <c r="M174" s="778">
        <v>33.97</v>
      </c>
      <c r="N174" s="778">
        <v>34.26</v>
      </c>
      <c r="O174" s="778">
        <v>34.89</v>
      </c>
      <c r="P174" s="778">
        <v>35.61</v>
      </c>
      <c r="Q174" s="778">
        <v>36.26</v>
      </c>
      <c r="R174" s="778">
        <v>37.11</v>
      </c>
      <c r="S174" s="778">
        <v>38.1</v>
      </c>
      <c r="T174" s="778">
        <v>38.86</v>
      </c>
      <c r="U174" s="778">
        <v>40</v>
      </c>
      <c r="V174" s="778">
        <v>41.47</v>
      </c>
      <c r="W174" s="778">
        <v>43.05</v>
      </c>
      <c r="X174" s="778">
        <v>45.05</v>
      </c>
      <c r="Y174" s="778">
        <v>46.8</v>
      </c>
      <c r="Z174" s="778">
        <v>48.78</v>
      </c>
      <c r="AA174" s="778">
        <v>50.72</v>
      </c>
      <c r="AB174" s="778">
        <v>52.33</v>
      </c>
      <c r="AC174" s="778">
        <v>54.13</v>
      </c>
      <c r="AD174" s="778">
        <v>55.89</v>
      </c>
      <c r="AE174" s="814">
        <v>1.9E-2</v>
      </c>
      <c r="AF174" s="778"/>
      <c r="AG174" s="778"/>
      <c r="AH174" s="778"/>
      <c r="AI174" s="778"/>
      <c r="AJ174" s="778"/>
      <c r="AK174" s="778"/>
      <c r="AL174" s="778"/>
      <c r="AM174" s="778"/>
      <c r="AN174" s="778"/>
      <c r="AO174" s="778"/>
      <c r="AP174" s="778"/>
      <c r="AQ174" s="778"/>
      <c r="AR174" s="778"/>
      <c r="AS174" s="778"/>
      <c r="AT174" s="778"/>
      <c r="AU174" s="778"/>
      <c r="AV174" s="778"/>
      <c r="AW174" s="778"/>
      <c r="AX174" s="778"/>
      <c r="AY174" s="778"/>
      <c r="AZ174" s="778"/>
      <c r="BA174" s="778"/>
      <c r="BB174" s="778"/>
      <c r="BC174" s="778"/>
      <c r="BD174" s="778"/>
      <c r="BE174" s="778"/>
      <c r="BF174" s="778"/>
      <c r="BG174" s="778"/>
      <c r="BH174" s="778"/>
      <c r="BI174" s="778"/>
      <c r="BJ174" s="778"/>
      <c r="BK174" s="778"/>
      <c r="BL174" s="778"/>
      <c r="BM174" s="778"/>
      <c r="BN174" s="778"/>
      <c r="BO174" s="778"/>
      <c r="BP174" s="778"/>
      <c r="BQ174" s="778"/>
      <c r="BR174" s="778"/>
      <c r="BS174" s="778"/>
      <c r="BT174" s="778"/>
    </row>
    <row r="175" spans="1:72" x14ac:dyDescent="0.25">
      <c r="A175" s="778"/>
      <c r="B175" s="778"/>
      <c r="C175" s="778"/>
      <c r="D175" s="778"/>
      <c r="E175" s="778"/>
      <c r="F175" s="778"/>
      <c r="G175" s="778"/>
      <c r="H175" s="778"/>
      <c r="I175" s="778"/>
      <c r="J175" s="778"/>
      <c r="K175" s="778"/>
      <c r="L175" s="778"/>
      <c r="M175" s="778"/>
      <c r="N175" s="778"/>
      <c r="O175" s="778"/>
      <c r="P175" s="778"/>
      <c r="Q175" s="778"/>
      <c r="R175" s="778"/>
      <c r="S175" s="778"/>
      <c r="T175" s="778"/>
      <c r="U175" s="778"/>
      <c r="V175" s="778"/>
      <c r="W175" s="778"/>
      <c r="X175" s="778"/>
      <c r="Y175" s="778"/>
      <c r="Z175" s="778"/>
      <c r="AA175" s="778"/>
      <c r="AB175" s="778"/>
      <c r="AC175" s="778"/>
      <c r="AD175" s="778"/>
      <c r="AE175" s="778"/>
      <c r="AF175" s="778"/>
      <c r="AG175" s="778"/>
      <c r="AH175" s="778"/>
      <c r="AI175" s="778"/>
      <c r="AJ175" s="778"/>
      <c r="AK175" s="778"/>
      <c r="AL175" s="778"/>
      <c r="AM175" s="778"/>
      <c r="AN175" s="778"/>
      <c r="AO175" s="778"/>
      <c r="AP175" s="778"/>
      <c r="AQ175" s="778"/>
      <c r="AR175" s="778"/>
      <c r="AS175" s="778"/>
      <c r="AT175" s="778"/>
      <c r="AU175" s="778"/>
      <c r="AV175" s="778"/>
      <c r="AW175" s="778"/>
      <c r="AX175" s="778"/>
      <c r="AY175" s="778"/>
      <c r="AZ175" s="778"/>
      <c r="BA175" s="778"/>
      <c r="BB175" s="778"/>
      <c r="BC175" s="778"/>
      <c r="BD175" s="778"/>
      <c r="BE175" s="778"/>
      <c r="BF175" s="778"/>
      <c r="BG175" s="778"/>
      <c r="BH175" s="778"/>
      <c r="BI175" s="778"/>
      <c r="BJ175" s="778"/>
      <c r="BK175" s="778"/>
      <c r="BL175" s="778"/>
      <c r="BM175" s="778"/>
      <c r="BN175" s="778"/>
      <c r="BO175" s="778"/>
      <c r="BP175" s="778"/>
      <c r="BQ175" s="778"/>
      <c r="BR175" s="778"/>
      <c r="BS175" s="778"/>
      <c r="BT175" s="778"/>
    </row>
    <row r="176" spans="1:72" x14ac:dyDescent="0.25">
      <c r="A176" s="778" t="s">
        <v>608</v>
      </c>
      <c r="B176" s="778"/>
      <c r="C176" s="778"/>
      <c r="D176" s="778"/>
      <c r="E176" s="778"/>
      <c r="F176" s="778"/>
      <c r="G176" s="778"/>
      <c r="H176" s="778"/>
      <c r="I176" s="778"/>
      <c r="J176" s="778"/>
      <c r="K176" s="778"/>
      <c r="L176" s="778"/>
      <c r="M176" s="778"/>
      <c r="N176" s="778"/>
      <c r="O176" s="778"/>
      <c r="P176" s="778"/>
      <c r="Q176" s="778"/>
      <c r="R176" s="778"/>
      <c r="S176" s="778"/>
      <c r="T176" s="778"/>
      <c r="U176" s="778"/>
      <c r="V176" s="778"/>
      <c r="W176" s="778"/>
      <c r="X176" s="778"/>
      <c r="Y176" s="778"/>
      <c r="Z176" s="778"/>
      <c r="AA176" s="778"/>
      <c r="AB176" s="778"/>
      <c r="AC176" s="778"/>
      <c r="AD176" s="778"/>
      <c r="AE176" s="778"/>
      <c r="AF176" s="778"/>
      <c r="AG176" s="778"/>
      <c r="AH176" s="778"/>
      <c r="AI176" s="778"/>
      <c r="AJ176" s="778"/>
      <c r="AK176" s="778"/>
      <c r="AL176" s="778"/>
      <c r="AM176" s="778"/>
      <c r="AN176" s="778"/>
      <c r="AO176" s="778"/>
      <c r="AP176" s="778"/>
      <c r="AQ176" s="778"/>
      <c r="AR176" s="778"/>
      <c r="AS176" s="778"/>
      <c r="AT176" s="778"/>
      <c r="AU176" s="778"/>
      <c r="AV176" s="778"/>
      <c r="AW176" s="778"/>
      <c r="AX176" s="778"/>
      <c r="AY176" s="778"/>
      <c r="AZ176" s="778"/>
      <c r="BA176" s="778"/>
      <c r="BB176" s="778"/>
      <c r="BC176" s="778"/>
      <c r="BD176" s="778"/>
      <c r="BE176" s="778"/>
      <c r="BF176" s="778"/>
      <c r="BG176" s="778"/>
      <c r="BH176" s="778"/>
      <c r="BI176" s="778"/>
      <c r="BJ176" s="778"/>
      <c r="BK176" s="778"/>
      <c r="BL176" s="778"/>
      <c r="BM176" s="778"/>
      <c r="BN176" s="778"/>
      <c r="BO176" s="778"/>
      <c r="BP176" s="778"/>
      <c r="BQ176" s="778"/>
      <c r="BR176" s="778"/>
      <c r="BS176" s="778"/>
      <c r="BT176" s="778"/>
    </row>
    <row r="177" spans="1:72" x14ac:dyDescent="0.25">
      <c r="A177" s="778" t="s">
        <v>595</v>
      </c>
      <c r="B177" s="778">
        <v>15.41</v>
      </c>
      <c r="C177" s="778">
        <v>19.37</v>
      </c>
      <c r="D177" s="778">
        <v>14.46</v>
      </c>
      <c r="E177" s="778">
        <v>14.33</v>
      </c>
      <c r="F177" s="778">
        <v>14.68</v>
      </c>
      <c r="G177" s="778">
        <v>16.09</v>
      </c>
      <c r="H177" s="778">
        <v>17.46</v>
      </c>
      <c r="I177" s="778">
        <v>18.510000000000002</v>
      </c>
      <c r="J177" s="778">
        <v>19.350000000000001</v>
      </c>
      <c r="K177" s="778">
        <v>20.67</v>
      </c>
      <c r="L177" s="778">
        <v>21.81</v>
      </c>
      <c r="M177" s="778">
        <v>22.96</v>
      </c>
      <c r="N177" s="778">
        <v>23.88</v>
      </c>
      <c r="O177" s="778">
        <v>24.75</v>
      </c>
      <c r="P177" s="778">
        <v>25.46</v>
      </c>
      <c r="Q177" s="778">
        <v>26.24</v>
      </c>
      <c r="R177" s="778">
        <v>27.22</v>
      </c>
      <c r="S177" s="778">
        <v>28.03</v>
      </c>
      <c r="T177" s="778">
        <v>28.98</v>
      </c>
      <c r="U177" s="778">
        <v>29.93</v>
      </c>
      <c r="V177" s="778">
        <v>30.88</v>
      </c>
      <c r="W177" s="778">
        <v>32</v>
      </c>
      <c r="X177" s="778">
        <v>33.28</v>
      </c>
      <c r="Y177" s="778">
        <v>34.28</v>
      </c>
      <c r="Z177" s="778">
        <v>35.71</v>
      </c>
      <c r="AA177" s="778">
        <v>37.130000000000003</v>
      </c>
      <c r="AB177" s="778">
        <v>38.46</v>
      </c>
      <c r="AC177" s="778">
        <v>39.950000000000003</v>
      </c>
      <c r="AD177" s="778">
        <v>41.52</v>
      </c>
      <c r="AE177" s="814">
        <v>2.9000000000000001E-2</v>
      </c>
      <c r="AF177" s="778"/>
      <c r="AG177" s="778"/>
      <c r="AH177" s="778"/>
      <c r="AI177" s="778"/>
      <c r="AJ177" s="778"/>
      <c r="AK177" s="778"/>
      <c r="AL177" s="778"/>
      <c r="AM177" s="778"/>
      <c r="AN177" s="778"/>
      <c r="AO177" s="778"/>
      <c r="AP177" s="778"/>
      <c r="AQ177" s="778"/>
      <c r="AR177" s="778"/>
      <c r="AS177" s="778"/>
      <c r="AT177" s="778"/>
      <c r="AU177" s="778"/>
      <c r="AV177" s="778"/>
      <c r="AW177" s="778"/>
      <c r="AX177" s="778"/>
      <c r="AY177" s="778"/>
      <c r="AZ177" s="778"/>
      <c r="BA177" s="778"/>
      <c r="BB177" s="778"/>
      <c r="BC177" s="778"/>
      <c r="BD177" s="778"/>
      <c r="BE177" s="778"/>
      <c r="BF177" s="778"/>
      <c r="BG177" s="778"/>
      <c r="BH177" s="778"/>
      <c r="BI177" s="778"/>
      <c r="BJ177" s="778"/>
      <c r="BK177" s="778"/>
      <c r="BL177" s="778"/>
      <c r="BM177" s="778"/>
      <c r="BN177" s="778"/>
      <c r="BO177" s="778"/>
      <c r="BP177" s="778"/>
      <c r="BQ177" s="778"/>
      <c r="BR177" s="778"/>
      <c r="BS177" s="778"/>
      <c r="BT177" s="778"/>
    </row>
    <row r="178" spans="1:72" x14ac:dyDescent="0.25">
      <c r="A178" s="778" t="s">
        <v>596</v>
      </c>
      <c r="B178" s="778">
        <v>8.84</v>
      </c>
      <c r="C178" s="778">
        <v>14.56</v>
      </c>
      <c r="D178" s="778">
        <v>8.92</v>
      </c>
      <c r="E178" s="778">
        <v>12.37</v>
      </c>
      <c r="F178" s="778">
        <v>12.7</v>
      </c>
      <c r="G178" s="778">
        <v>14.13</v>
      </c>
      <c r="H178" s="778">
        <v>15.48</v>
      </c>
      <c r="I178" s="778">
        <v>16.55</v>
      </c>
      <c r="J178" s="778">
        <v>17.3</v>
      </c>
      <c r="K178" s="778">
        <v>18.07</v>
      </c>
      <c r="L178" s="778">
        <v>19.010000000000002</v>
      </c>
      <c r="M178" s="778">
        <v>19.88</v>
      </c>
      <c r="N178" s="778">
        <v>20.54</v>
      </c>
      <c r="O178" s="778">
        <v>21.05</v>
      </c>
      <c r="P178" s="778">
        <v>21.8</v>
      </c>
      <c r="Q178" s="778">
        <v>22.48</v>
      </c>
      <c r="R178" s="778">
        <v>23.26</v>
      </c>
      <c r="S178" s="778">
        <v>24.05</v>
      </c>
      <c r="T178" s="778">
        <v>24.83</v>
      </c>
      <c r="U178" s="778">
        <v>25.46</v>
      </c>
      <c r="V178" s="778">
        <v>26.42</v>
      </c>
      <c r="W178" s="778">
        <v>27.37</v>
      </c>
      <c r="X178" s="778">
        <v>28.4</v>
      </c>
      <c r="Y178" s="778">
        <v>29.5</v>
      </c>
      <c r="Z178" s="778">
        <v>30.7</v>
      </c>
      <c r="AA178" s="778">
        <v>31.85</v>
      </c>
      <c r="AB178" s="778">
        <v>32.92</v>
      </c>
      <c r="AC178" s="778">
        <v>34.19</v>
      </c>
      <c r="AD178" s="778">
        <v>35.49</v>
      </c>
      <c r="AE178" s="814">
        <v>3.4000000000000002E-2</v>
      </c>
      <c r="AF178" s="778"/>
      <c r="AG178" s="778"/>
      <c r="AH178" s="778"/>
      <c r="AI178" s="778"/>
      <c r="AJ178" s="778"/>
      <c r="AK178" s="778"/>
      <c r="AL178" s="778"/>
      <c r="AM178" s="778"/>
      <c r="AN178" s="778"/>
      <c r="AO178" s="778"/>
      <c r="AP178" s="778"/>
      <c r="AQ178" s="778"/>
      <c r="AR178" s="778"/>
      <c r="AS178" s="778"/>
      <c r="AT178" s="778"/>
      <c r="AU178" s="778"/>
      <c r="AV178" s="778"/>
      <c r="AW178" s="778"/>
      <c r="AX178" s="778"/>
      <c r="AY178" s="778"/>
      <c r="AZ178" s="778"/>
      <c r="BA178" s="778"/>
      <c r="BB178" s="778"/>
      <c r="BC178" s="778"/>
      <c r="BD178" s="778"/>
      <c r="BE178" s="778"/>
      <c r="BF178" s="778"/>
      <c r="BG178" s="778"/>
      <c r="BH178" s="778"/>
      <c r="BI178" s="778"/>
      <c r="BJ178" s="778"/>
      <c r="BK178" s="778"/>
      <c r="BL178" s="778"/>
      <c r="BM178" s="778"/>
      <c r="BN178" s="778"/>
      <c r="BO178" s="778"/>
      <c r="BP178" s="778"/>
      <c r="BQ178" s="778"/>
      <c r="BR178" s="778"/>
      <c r="BS178" s="778"/>
      <c r="BT178" s="778"/>
    </row>
    <row r="179" spans="1:72" x14ac:dyDescent="0.25">
      <c r="A179" s="778" t="s">
        <v>496</v>
      </c>
      <c r="B179" s="778">
        <v>7.1</v>
      </c>
      <c r="C179" s="778">
        <v>9.09</v>
      </c>
      <c r="D179" s="778">
        <v>4.2</v>
      </c>
      <c r="E179" s="778">
        <v>4.99</v>
      </c>
      <c r="F179" s="778">
        <v>6.07</v>
      </c>
      <c r="G179" s="778">
        <v>6.53</v>
      </c>
      <c r="H179" s="778">
        <v>6.4</v>
      </c>
      <c r="I179" s="778">
        <v>6.47</v>
      </c>
      <c r="J179" s="778">
        <v>6.77</v>
      </c>
      <c r="K179" s="778">
        <v>6.99</v>
      </c>
      <c r="L179" s="778">
        <v>7.13</v>
      </c>
      <c r="M179" s="778">
        <v>7.32</v>
      </c>
      <c r="N179" s="778">
        <v>7.53</v>
      </c>
      <c r="O179" s="778">
        <v>7.85</v>
      </c>
      <c r="P179" s="778">
        <v>8.1300000000000008</v>
      </c>
      <c r="Q179" s="778">
        <v>8.5399999999999991</v>
      </c>
      <c r="R179" s="778">
        <v>8.7799999999999994</v>
      </c>
      <c r="S179" s="778">
        <v>8.91</v>
      </c>
      <c r="T179" s="778">
        <v>9.17</v>
      </c>
      <c r="U179" s="778">
        <v>9.57</v>
      </c>
      <c r="V179" s="778">
        <v>9.9700000000000006</v>
      </c>
      <c r="W179" s="778">
        <v>10.51</v>
      </c>
      <c r="X179" s="778">
        <v>11.09</v>
      </c>
      <c r="Y179" s="778">
        <v>11.66</v>
      </c>
      <c r="Z179" s="778">
        <v>12.38</v>
      </c>
      <c r="AA179" s="778">
        <v>12.84</v>
      </c>
      <c r="AB179" s="778">
        <v>13.16</v>
      </c>
      <c r="AC179" s="778">
        <v>13.75</v>
      </c>
      <c r="AD179" s="778">
        <v>14.22</v>
      </c>
      <c r="AE179" s="814">
        <v>1.7000000000000001E-2</v>
      </c>
      <c r="AF179" s="778"/>
      <c r="AG179" s="778"/>
      <c r="AH179" s="778"/>
      <c r="AI179" s="778"/>
      <c r="AJ179" s="778"/>
      <c r="AK179" s="778"/>
      <c r="AL179" s="778"/>
      <c r="AM179" s="778"/>
      <c r="AN179" s="778"/>
      <c r="AO179" s="778"/>
      <c r="AP179" s="778"/>
      <c r="AQ179" s="778"/>
      <c r="AR179" s="778"/>
      <c r="AS179" s="778"/>
      <c r="AT179" s="778"/>
      <c r="AU179" s="778"/>
      <c r="AV179" s="778"/>
      <c r="AW179" s="778"/>
      <c r="AX179" s="778"/>
      <c r="AY179" s="778"/>
      <c r="AZ179" s="778"/>
      <c r="BA179" s="778"/>
      <c r="BB179" s="778"/>
      <c r="BC179" s="778"/>
      <c r="BD179" s="778"/>
      <c r="BE179" s="778"/>
      <c r="BF179" s="778"/>
      <c r="BG179" s="778"/>
      <c r="BH179" s="778"/>
      <c r="BI179" s="778"/>
      <c r="BJ179" s="778"/>
      <c r="BK179" s="778"/>
      <c r="BL179" s="778"/>
      <c r="BM179" s="778"/>
      <c r="BN179" s="778"/>
      <c r="BO179" s="778"/>
      <c r="BP179" s="778"/>
      <c r="BQ179" s="778"/>
      <c r="BR179" s="778"/>
      <c r="BS179" s="778"/>
      <c r="BT179" s="778"/>
    </row>
    <row r="180" spans="1:72" x14ac:dyDescent="0.25">
      <c r="A180" s="778" t="s">
        <v>609</v>
      </c>
      <c r="B180" s="778">
        <v>1.76</v>
      </c>
      <c r="C180" s="778">
        <v>2.0499999999999998</v>
      </c>
      <c r="D180" s="778">
        <v>2.1800000000000002</v>
      </c>
      <c r="E180" s="778">
        <v>2.0499999999999998</v>
      </c>
      <c r="F180" s="778">
        <v>2.0699999999999998</v>
      </c>
      <c r="G180" s="778">
        <v>2.1</v>
      </c>
      <c r="H180" s="778">
        <v>2.15</v>
      </c>
      <c r="I180" s="778">
        <v>2.19</v>
      </c>
      <c r="J180" s="778">
        <v>2.2400000000000002</v>
      </c>
      <c r="K180" s="778">
        <v>2.2599999999999998</v>
      </c>
      <c r="L180" s="778">
        <v>2.31</v>
      </c>
      <c r="M180" s="778">
        <v>2.34</v>
      </c>
      <c r="N180" s="778">
        <v>2.38</v>
      </c>
      <c r="O180" s="778">
        <v>2.42</v>
      </c>
      <c r="P180" s="778">
        <v>2.4700000000000002</v>
      </c>
      <c r="Q180" s="778">
        <v>2.54</v>
      </c>
      <c r="R180" s="778">
        <v>2.59</v>
      </c>
      <c r="S180" s="778">
        <v>2.65</v>
      </c>
      <c r="T180" s="778">
        <v>2.69</v>
      </c>
      <c r="U180" s="778">
        <v>2.77</v>
      </c>
      <c r="V180" s="778">
        <v>2.82</v>
      </c>
      <c r="W180" s="778">
        <v>2.9</v>
      </c>
      <c r="X180" s="778">
        <v>2.98</v>
      </c>
      <c r="Y180" s="778">
        <v>3.06</v>
      </c>
      <c r="Z180" s="778">
        <v>3.15</v>
      </c>
      <c r="AA180" s="778">
        <v>3.23</v>
      </c>
      <c r="AB180" s="778">
        <v>3.32</v>
      </c>
      <c r="AC180" s="778">
        <v>3.41</v>
      </c>
      <c r="AD180" s="778">
        <v>3.51</v>
      </c>
      <c r="AE180" s="814">
        <v>0.02</v>
      </c>
      <c r="AF180" s="778"/>
      <c r="AG180" s="778"/>
      <c r="AH180" s="778"/>
      <c r="AI180" s="778"/>
      <c r="AJ180" s="778"/>
      <c r="AK180" s="778"/>
      <c r="AL180" s="778"/>
      <c r="AM180" s="778"/>
      <c r="AN180" s="778"/>
      <c r="AO180" s="778"/>
      <c r="AP180" s="778"/>
      <c r="AQ180" s="778"/>
      <c r="AR180" s="778"/>
      <c r="AS180" s="778"/>
      <c r="AT180" s="778"/>
      <c r="AU180" s="778"/>
      <c r="AV180" s="778"/>
      <c r="AW180" s="778"/>
      <c r="AX180" s="778"/>
      <c r="AY180" s="778"/>
      <c r="AZ180" s="778"/>
      <c r="BA180" s="778"/>
      <c r="BB180" s="778"/>
      <c r="BC180" s="778"/>
      <c r="BD180" s="778"/>
      <c r="BE180" s="778"/>
      <c r="BF180" s="778"/>
      <c r="BG180" s="778"/>
      <c r="BH180" s="778"/>
      <c r="BI180" s="778"/>
      <c r="BJ180" s="778"/>
      <c r="BK180" s="778"/>
      <c r="BL180" s="778"/>
      <c r="BM180" s="778"/>
      <c r="BN180" s="778"/>
      <c r="BO180" s="778"/>
      <c r="BP180" s="778"/>
      <c r="BQ180" s="778"/>
      <c r="BR180" s="778"/>
      <c r="BS180" s="778"/>
      <c r="BT180" s="778"/>
    </row>
    <row r="181" spans="1:72" x14ac:dyDescent="0.25">
      <c r="A181" s="778"/>
      <c r="B181" s="778"/>
      <c r="C181" s="778"/>
      <c r="D181" s="778"/>
      <c r="E181" s="778"/>
      <c r="F181" s="778"/>
      <c r="G181" s="778"/>
      <c r="H181" s="778"/>
      <c r="I181" s="778"/>
      <c r="J181" s="778"/>
      <c r="K181" s="778"/>
      <c r="L181" s="778"/>
      <c r="M181" s="778"/>
      <c r="N181" s="778"/>
      <c r="O181" s="778"/>
      <c r="P181" s="778"/>
      <c r="Q181" s="778"/>
      <c r="R181" s="778"/>
      <c r="S181" s="778"/>
      <c r="T181" s="778"/>
      <c r="U181" s="778"/>
      <c r="V181" s="778"/>
      <c r="W181" s="778"/>
      <c r="X181" s="778"/>
      <c r="Y181" s="778"/>
      <c r="Z181" s="778"/>
      <c r="AA181" s="778"/>
      <c r="AB181" s="778"/>
      <c r="AC181" s="778"/>
      <c r="AD181" s="778"/>
      <c r="AE181" s="778"/>
      <c r="AF181" s="778"/>
      <c r="AG181" s="778"/>
      <c r="AH181" s="778"/>
      <c r="AI181" s="778"/>
      <c r="AJ181" s="778"/>
      <c r="AK181" s="778"/>
      <c r="AL181" s="778"/>
      <c r="AM181" s="778"/>
      <c r="AN181" s="778"/>
      <c r="AO181" s="778"/>
      <c r="AP181" s="778"/>
      <c r="AQ181" s="778"/>
      <c r="AR181" s="778"/>
      <c r="AS181" s="778"/>
      <c r="AT181" s="778"/>
      <c r="AU181" s="778"/>
      <c r="AV181" s="778"/>
      <c r="AW181" s="778"/>
      <c r="AX181" s="778"/>
      <c r="AY181" s="778"/>
      <c r="AZ181" s="778"/>
      <c r="BA181" s="778"/>
      <c r="BB181" s="778"/>
      <c r="BC181" s="778"/>
      <c r="BD181" s="778"/>
      <c r="BE181" s="778"/>
      <c r="BF181" s="778"/>
      <c r="BG181" s="778"/>
      <c r="BH181" s="778"/>
      <c r="BI181" s="778"/>
      <c r="BJ181" s="778"/>
      <c r="BK181" s="778"/>
      <c r="BL181" s="778"/>
      <c r="BM181" s="778"/>
      <c r="BN181" s="778"/>
      <c r="BO181" s="778"/>
      <c r="BP181" s="778"/>
      <c r="BQ181" s="778"/>
      <c r="BR181" s="778"/>
      <c r="BS181" s="778"/>
      <c r="BT181" s="778"/>
    </row>
    <row r="182" spans="1:72" x14ac:dyDescent="0.25">
      <c r="A182" s="778" t="s">
        <v>610</v>
      </c>
      <c r="B182" s="778"/>
      <c r="C182" s="778"/>
      <c r="D182" s="778"/>
      <c r="E182" s="778"/>
      <c r="F182" s="778"/>
      <c r="G182" s="778"/>
      <c r="H182" s="778"/>
      <c r="I182" s="778"/>
      <c r="J182" s="778"/>
      <c r="K182" s="778"/>
      <c r="L182" s="778"/>
      <c r="M182" s="778"/>
      <c r="N182" s="778"/>
      <c r="O182" s="778"/>
      <c r="P182" s="778"/>
      <c r="Q182" s="778"/>
      <c r="R182" s="778"/>
      <c r="S182" s="778"/>
      <c r="T182" s="778"/>
      <c r="U182" s="778"/>
      <c r="V182" s="778"/>
      <c r="W182" s="778"/>
      <c r="X182" s="778"/>
      <c r="Y182" s="778"/>
      <c r="Z182" s="778"/>
      <c r="AA182" s="778"/>
      <c r="AB182" s="778"/>
      <c r="AC182" s="778"/>
      <c r="AD182" s="778"/>
      <c r="AE182" s="778"/>
      <c r="AF182" s="778"/>
      <c r="AG182" s="778"/>
      <c r="AH182" s="778"/>
      <c r="AI182" s="778"/>
      <c r="AJ182" s="778"/>
      <c r="AK182" s="778"/>
      <c r="AL182" s="778"/>
      <c r="AM182" s="778"/>
      <c r="AN182" s="778"/>
      <c r="AO182" s="778"/>
      <c r="AP182" s="778"/>
      <c r="AQ182" s="778"/>
      <c r="AR182" s="778"/>
      <c r="AS182" s="778"/>
      <c r="AT182" s="778"/>
      <c r="AU182" s="778"/>
      <c r="AV182" s="778"/>
      <c r="AW182" s="778"/>
      <c r="AX182" s="778"/>
      <c r="AY182" s="778"/>
      <c r="AZ182" s="778"/>
      <c r="BA182" s="778"/>
      <c r="BB182" s="778"/>
      <c r="BC182" s="778"/>
      <c r="BD182" s="778"/>
      <c r="BE182" s="778"/>
      <c r="BF182" s="778"/>
      <c r="BG182" s="778"/>
      <c r="BH182" s="778"/>
      <c r="BI182" s="778"/>
      <c r="BJ182" s="778"/>
      <c r="BK182" s="778"/>
      <c r="BL182" s="778"/>
      <c r="BM182" s="778"/>
      <c r="BN182" s="778"/>
      <c r="BO182" s="778"/>
      <c r="BP182" s="778"/>
      <c r="BQ182" s="778"/>
      <c r="BR182" s="778"/>
      <c r="BS182" s="778"/>
      <c r="BT182" s="778"/>
    </row>
    <row r="183" spans="1:72" x14ac:dyDescent="0.25">
      <c r="A183" s="778" t="s">
        <v>594</v>
      </c>
      <c r="B183" s="778">
        <v>18.53</v>
      </c>
      <c r="C183" s="778">
        <v>20.190000000000001</v>
      </c>
      <c r="D183" s="778">
        <v>18.64</v>
      </c>
      <c r="E183" s="778">
        <v>17.36</v>
      </c>
      <c r="F183" s="778">
        <v>17.61</v>
      </c>
      <c r="G183" s="778">
        <v>18.920000000000002</v>
      </c>
      <c r="H183" s="778">
        <v>20.43</v>
      </c>
      <c r="I183" s="778">
        <v>21.72</v>
      </c>
      <c r="J183" s="778">
        <v>22.62</v>
      </c>
      <c r="K183" s="778">
        <v>23.64</v>
      </c>
      <c r="L183" s="778">
        <v>24.56</v>
      </c>
      <c r="M183" s="778">
        <v>25.55</v>
      </c>
      <c r="N183" s="778">
        <v>26.28</v>
      </c>
      <c r="O183" s="778">
        <v>27.06</v>
      </c>
      <c r="P183" s="778">
        <v>27.91</v>
      </c>
      <c r="Q183" s="778">
        <v>28.78</v>
      </c>
      <c r="R183" s="778">
        <v>29.75</v>
      </c>
      <c r="S183" s="778">
        <v>30.7</v>
      </c>
      <c r="T183" s="778">
        <v>31.68</v>
      </c>
      <c r="U183" s="778">
        <v>32.54</v>
      </c>
      <c r="V183" s="778">
        <v>33.6</v>
      </c>
      <c r="W183" s="778">
        <v>34.69</v>
      </c>
      <c r="X183" s="778">
        <v>35.950000000000003</v>
      </c>
      <c r="Y183" s="778">
        <v>37.049999999999997</v>
      </c>
      <c r="Z183" s="778">
        <v>38.44</v>
      </c>
      <c r="AA183" s="778">
        <v>39.83</v>
      </c>
      <c r="AB183" s="778">
        <v>41.29</v>
      </c>
      <c r="AC183" s="778">
        <v>42.77</v>
      </c>
      <c r="AD183" s="778">
        <v>44.32</v>
      </c>
      <c r="AE183" s="814">
        <v>0.03</v>
      </c>
      <c r="AF183" s="778"/>
      <c r="AG183" s="778"/>
      <c r="AH183" s="778"/>
      <c r="AI183" s="778"/>
      <c r="AJ183" s="778"/>
      <c r="AK183" s="778"/>
      <c r="AL183" s="778"/>
      <c r="AM183" s="778"/>
      <c r="AN183" s="778"/>
      <c r="AO183" s="778"/>
      <c r="AP183" s="778"/>
      <c r="AQ183" s="778"/>
      <c r="AR183" s="778"/>
      <c r="AS183" s="778"/>
      <c r="AT183" s="778"/>
      <c r="AU183" s="778"/>
      <c r="AV183" s="778"/>
      <c r="AW183" s="778"/>
      <c r="AX183" s="778"/>
      <c r="AY183" s="778"/>
      <c r="AZ183" s="778"/>
      <c r="BA183" s="778"/>
      <c r="BB183" s="778"/>
      <c r="BC183" s="778"/>
      <c r="BD183" s="778"/>
      <c r="BE183" s="778"/>
      <c r="BF183" s="778"/>
      <c r="BG183" s="778"/>
      <c r="BH183" s="778"/>
      <c r="BI183" s="778"/>
      <c r="BJ183" s="778"/>
      <c r="BK183" s="778"/>
      <c r="BL183" s="778"/>
      <c r="BM183" s="778"/>
      <c r="BN183" s="778"/>
      <c r="BO183" s="778"/>
      <c r="BP183" s="778"/>
      <c r="BQ183" s="778"/>
      <c r="BR183" s="778"/>
      <c r="BS183" s="778"/>
      <c r="BT183" s="778"/>
    </row>
    <row r="184" spans="1:72" x14ac:dyDescent="0.25">
      <c r="A184" s="778" t="s">
        <v>603</v>
      </c>
      <c r="B184" s="778">
        <v>26.83</v>
      </c>
      <c r="C184" s="778">
        <v>26.93</v>
      </c>
      <c r="D184" s="778">
        <v>23.64</v>
      </c>
      <c r="E184" s="778">
        <v>21.26</v>
      </c>
      <c r="F184" s="778">
        <v>21.89</v>
      </c>
      <c r="G184" s="778">
        <v>23.43</v>
      </c>
      <c r="H184" s="778">
        <v>26.07</v>
      </c>
      <c r="I184" s="778">
        <v>27.64</v>
      </c>
      <c r="J184" s="778">
        <v>28.47</v>
      </c>
      <c r="K184" s="778">
        <v>28.45</v>
      </c>
      <c r="L184" s="778">
        <v>29.92</v>
      </c>
      <c r="M184" s="778">
        <v>31.23</v>
      </c>
      <c r="N184" s="778">
        <v>31.97</v>
      </c>
      <c r="O184" s="778">
        <v>32.94</v>
      </c>
      <c r="P184" s="778">
        <v>34.090000000000003</v>
      </c>
      <c r="Q184" s="778">
        <v>35.479999999999997</v>
      </c>
      <c r="R184" s="778">
        <v>36.880000000000003</v>
      </c>
      <c r="S184" s="778">
        <v>37.979999999999997</v>
      </c>
      <c r="T184" s="778">
        <v>39.17</v>
      </c>
      <c r="U184" s="778">
        <v>40.479999999999997</v>
      </c>
      <c r="V184" s="778">
        <v>41.72</v>
      </c>
      <c r="W184" s="778">
        <v>43.4</v>
      </c>
      <c r="X184" s="778">
        <v>44.96</v>
      </c>
      <c r="Y184" s="778">
        <v>46.25</v>
      </c>
      <c r="Z184" s="778">
        <v>47.62</v>
      </c>
      <c r="AA184" s="778">
        <v>49.36</v>
      </c>
      <c r="AB184" s="778">
        <v>50.75</v>
      </c>
      <c r="AC184" s="778">
        <v>52.29</v>
      </c>
      <c r="AD184" s="778">
        <v>54.17</v>
      </c>
      <c r="AE184" s="814">
        <v>2.5999999999999999E-2</v>
      </c>
      <c r="AF184" s="778"/>
      <c r="AG184" s="778"/>
      <c r="AH184" s="778"/>
      <c r="AI184" s="778"/>
      <c r="AJ184" s="778"/>
      <c r="AK184" s="778"/>
      <c r="AL184" s="778"/>
      <c r="AM184" s="778"/>
      <c r="AN184" s="778"/>
      <c r="AO184" s="778"/>
      <c r="AP184" s="778"/>
      <c r="AQ184" s="778"/>
      <c r="AR184" s="778"/>
      <c r="AS184" s="778"/>
      <c r="AT184" s="778"/>
      <c r="AU184" s="778"/>
      <c r="AV184" s="778"/>
      <c r="AW184" s="778"/>
      <c r="AX184" s="778"/>
      <c r="AY184" s="778"/>
      <c r="AZ184" s="778"/>
      <c r="BA184" s="778"/>
      <c r="BB184" s="778"/>
      <c r="BC184" s="778"/>
      <c r="BD184" s="778"/>
      <c r="BE184" s="778"/>
      <c r="BF184" s="778"/>
      <c r="BG184" s="778"/>
      <c r="BH184" s="778"/>
      <c r="BI184" s="778"/>
      <c r="BJ184" s="778"/>
      <c r="BK184" s="778"/>
      <c r="BL184" s="778"/>
      <c r="BM184" s="778"/>
      <c r="BN184" s="778"/>
      <c r="BO184" s="778"/>
      <c r="BP184" s="778"/>
      <c r="BQ184" s="778"/>
      <c r="BR184" s="778"/>
      <c r="BS184" s="778"/>
      <c r="BT184" s="778"/>
    </row>
    <row r="185" spans="1:72" x14ac:dyDescent="0.25">
      <c r="A185" s="778" t="s">
        <v>604</v>
      </c>
      <c r="B185" s="778">
        <v>23.03</v>
      </c>
      <c r="C185" s="778">
        <v>26.54</v>
      </c>
      <c r="D185" s="778">
        <v>19.440000000000001</v>
      </c>
      <c r="E185" s="778">
        <v>21.17</v>
      </c>
      <c r="F185" s="778">
        <v>21.79</v>
      </c>
      <c r="G185" s="778">
        <v>23.32</v>
      </c>
      <c r="H185" s="778">
        <v>25.87</v>
      </c>
      <c r="I185" s="778">
        <v>27.33</v>
      </c>
      <c r="J185" s="778">
        <v>28.27</v>
      </c>
      <c r="K185" s="778">
        <v>29.42</v>
      </c>
      <c r="L185" s="778">
        <v>30.58</v>
      </c>
      <c r="M185" s="778">
        <v>31.64</v>
      </c>
      <c r="N185" s="778">
        <v>32.6</v>
      </c>
      <c r="O185" s="778">
        <v>33.71</v>
      </c>
      <c r="P185" s="778">
        <v>34.71</v>
      </c>
      <c r="Q185" s="778">
        <v>35.93</v>
      </c>
      <c r="R185" s="778">
        <v>37.020000000000003</v>
      </c>
      <c r="S185" s="778">
        <v>37.950000000000003</v>
      </c>
      <c r="T185" s="778">
        <v>39.17</v>
      </c>
      <c r="U185" s="778">
        <v>40.43</v>
      </c>
      <c r="V185" s="778">
        <v>41.68</v>
      </c>
      <c r="W185" s="778">
        <v>43.21</v>
      </c>
      <c r="X185" s="778">
        <v>44.69</v>
      </c>
      <c r="Y185" s="778">
        <v>45.9</v>
      </c>
      <c r="Z185" s="778">
        <v>47.46</v>
      </c>
      <c r="AA185" s="778">
        <v>49.15</v>
      </c>
      <c r="AB185" s="778">
        <v>50.65</v>
      </c>
      <c r="AC185" s="778">
        <v>52.35</v>
      </c>
      <c r="AD185" s="778">
        <v>54.32</v>
      </c>
      <c r="AE185" s="814">
        <v>2.7E-2</v>
      </c>
      <c r="AF185" s="778"/>
      <c r="AG185" s="778"/>
      <c r="AH185" s="778"/>
      <c r="AI185" s="778"/>
      <c r="AJ185" s="778"/>
      <c r="AK185" s="778"/>
      <c r="AL185" s="778"/>
      <c r="AM185" s="778"/>
      <c r="AN185" s="778"/>
      <c r="AO185" s="778"/>
      <c r="AP185" s="778"/>
      <c r="AQ185" s="778"/>
      <c r="AR185" s="778"/>
      <c r="AS185" s="778"/>
      <c r="AT185" s="778"/>
      <c r="AU185" s="778"/>
      <c r="AV185" s="778"/>
      <c r="AW185" s="778"/>
      <c r="AX185" s="778"/>
      <c r="AY185" s="778"/>
      <c r="AZ185" s="778"/>
      <c r="BA185" s="778"/>
      <c r="BB185" s="778"/>
      <c r="BC185" s="778"/>
      <c r="BD185" s="778"/>
      <c r="BE185" s="778"/>
      <c r="BF185" s="778"/>
      <c r="BG185" s="778"/>
      <c r="BH185" s="778"/>
      <c r="BI185" s="778"/>
      <c r="BJ185" s="778"/>
      <c r="BK185" s="778"/>
      <c r="BL185" s="778"/>
      <c r="BM185" s="778"/>
      <c r="BN185" s="778"/>
      <c r="BO185" s="778"/>
      <c r="BP185" s="778"/>
      <c r="BQ185" s="778"/>
      <c r="BR185" s="778"/>
      <c r="BS185" s="778"/>
      <c r="BT185" s="778"/>
    </row>
    <row r="186" spans="1:72" x14ac:dyDescent="0.25">
      <c r="A186" s="778" t="s">
        <v>611</v>
      </c>
      <c r="B186" s="778">
        <v>15.42</v>
      </c>
      <c r="C186" s="778">
        <v>22.71</v>
      </c>
      <c r="D186" s="778">
        <v>12.92</v>
      </c>
      <c r="E186" s="778">
        <v>15.23</v>
      </c>
      <c r="F186" s="778">
        <v>15.82</v>
      </c>
      <c r="G186" s="778">
        <v>17.510000000000002</v>
      </c>
      <c r="H186" s="778">
        <v>19.05</v>
      </c>
      <c r="I186" s="778">
        <v>20.23</v>
      </c>
      <c r="J186" s="778">
        <v>21.21</v>
      </c>
      <c r="K186" s="778">
        <v>22.42</v>
      </c>
      <c r="L186" s="778">
        <v>23.58</v>
      </c>
      <c r="M186" s="778">
        <v>24.67</v>
      </c>
      <c r="N186" s="778">
        <v>25.58</v>
      </c>
      <c r="O186" s="778">
        <v>26.51</v>
      </c>
      <c r="P186" s="778">
        <v>27.27</v>
      </c>
      <c r="Q186" s="778">
        <v>28.18</v>
      </c>
      <c r="R186" s="778">
        <v>29.2</v>
      </c>
      <c r="S186" s="778">
        <v>30.07</v>
      </c>
      <c r="T186" s="778">
        <v>31.1</v>
      </c>
      <c r="U186" s="778">
        <v>32.130000000000003</v>
      </c>
      <c r="V186" s="778">
        <v>33.21</v>
      </c>
      <c r="W186" s="778">
        <v>34.54</v>
      </c>
      <c r="X186" s="778">
        <v>35.83</v>
      </c>
      <c r="Y186" s="778">
        <v>36.99</v>
      </c>
      <c r="Z186" s="778">
        <v>38.42</v>
      </c>
      <c r="AA186" s="778">
        <v>39.92</v>
      </c>
      <c r="AB186" s="778">
        <v>41.32</v>
      </c>
      <c r="AC186" s="778">
        <v>42.87</v>
      </c>
      <c r="AD186" s="778">
        <v>44.51</v>
      </c>
      <c r="AE186" s="814">
        <v>2.5000000000000001E-2</v>
      </c>
      <c r="AF186" s="778"/>
      <c r="AG186" s="778"/>
      <c r="AH186" s="778"/>
      <c r="AI186" s="778"/>
      <c r="AJ186" s="778"/>
      <c r="AK186" s="778"/>
      <c r="AL186" s="778"/>
      <c r="AM186" s="778"/>
      <c r="AN186" s="778"/>
      <c r="AO186" s="778"/>
      <c r="AP186" s="778"/>
      <c r="AQ186" s="778"/>
      <c r="AR186" s="778"/>
      <c r="AS186" s="778"/>
      <c r="AT186" s="778"/>
      <c r="AU186" s="778"/>
      <c r="AV186" s="778"/>
      <c r="AW186" s="778"/>
      <c r="AX186" s="778"/>
      <c r="AY186" s="778"/>
      <c r="AZ186" s="778"/>
      <c r="BA186" s="778"/>
      <c r="BB186" s="778"/>
      <c r="BC186" s="778"/>
      <c r="BD186" s="778"/>
      <c r="BE186" s="778"/>
      <c r="BF186" s="778"/>
      <c r="BG186" s="778"/>
      <c r="BH186" s="778"/>
      <c r="BI186" s="778"/>
      <c r="BJ186" s="778"/>
      <c r="BK186" s="778"/>
      <c r="BL186" s="778"/>
      <c r="BM186" s="778"/>
      <c r="BN186" s="778"/>
      <c r="BO186" s="778"/>
      <c r="BP186" s="778"/>
      <c r="BQ186" s="778"/>
      <c r="BR186" s="778"/>
      <c r="BS186" s="778"/>
      <c r="BT186" s="778"/>
    </row>
    <row r="187" spans="1:72" x14ac:dyDescent="0.25">
      <c r="A187" s="778" t="s">
        <v>595</v>
      </c>
      <c r="B187" s="778">
        <v>20.260000000000002</v>
      </c>
      <c r="C187" s="778">
        <v>26.27</v>
      </c>
      <c r="D187" s="778">
        <v>17.73</v>
      </c>
      <c r="E187" s="778">
        <v>18.260000000000002</v>
      </c>
      <c r="F187" s="778">
        <v>18.940000000000001</v>
      </c>
      <c r="G187" s="778">
        <v>20.58</v>
      </c>
      <c r="H187" s="778">
        <v>22.21</v>
      </c>
      <c r="I187" s="778">
        <v>23.39</v>
      </c>
      <c r="J187" s="778">
        <v>24.55</v>
      </c>
      <c r="K187" s="778">
        <v>25.86</v>
      </c>
      <c r="L187" s="778">
        <v>27.09</v>
      </c>
      <c r="M187" s="778">
        <v>28.33</v>
      </c>
      <c r="N187" s="778">
        <v>29.33</v>
      </c>
      <c r="O187" s="778">
        <v>30.3</v>
      </c>
      <c r="P187" s="778">
        <v>31.19</v>
      </c>
      <c r="Q187" s="778">
        <v>32.29</v>
      </c>
      <c r="R187" s="778">
        <v>33.22</v>
      </c>
      <c r="S187" s="778">
        <v>34.04</v>
      </c>
      <c r="T187" s="778">
        <v>35.14</v>
      </c>
      <c r="U187" s="778">
        <v>36.19</v>
      </c>
      <c r="V187" s="778">
        <v>37.31</v>
      </c>
      <c r="W187" s="778">
        <v>38.6</v>
      </c>
      <c r="X187" s="778">
        <v>40.04</v>
      </c>
      <c r="Y187" s="778">
        <v>41.2</v>
      </c>
      <c r="Z187" s="778">
        <v>42.78</v>
      </c>
      <c r="AA187" s="778">
        <v>44.38</v>
      </c>
      <c r="AB187" s="778">
        <v>45.87</v>
      </c>
      <c r="AC187" s="778">
        <v>47.52</v>
      </c>
      <c r="AD187" s="778">
        <v>49.31</v>
      </c>
      <c r="AE187" s="814">
        <v>2.4E-2</v>
      </c>
      <c r="AF187" s="778"/>
      <c r="AG187" s="778"/>
      <c r="AH187" s="778"/>
      <c r="AI187" s="778"/>
      <c r="AJ187" s="778"/>
      <c r="AK187" s="778"/>
      <c r="AL187" s="778"/>
      <c r="AM187" s="778"/>
      <c r="AN187" s="778"/>
      <c r="AO187" s="778"/>
      <c r="AP187" s="778"/>
      <c r="AQ187" s="778"/>
      <c r="AR187" s="778"/>
      <c r="AS187" s="778"/>
      <c r="AT187" s="778"/>
      <c r="AU187" s="778"/>
      <c r="AV187" s="778"/>
      <c r="AW187" s="778"/>
      <c r="AX187" s="778"/>
      <c r="AY187" s="778"/>
      <c r="AZ187" s="778"/>
      <c r="BA187" s="778"/>
      <c r="BB187" s="778"/>
      <c r="BC187" s="778"/>
      <c r="BD187" s="778"/>
      <c r="BE187" s="778"/>
      <c r="BF187" s="778"/>
      <c r="BG187" s="778"/>
      <c r="BH187" s="778"/>
      <c r="BI187" s="778"/>
      <c r="BJ187" s="778"/>
      <c r="BK187" s="778"/>
      <c r="BL187" s="778"/>
      <c r="BM187" s="778"/>
      <c r="BN187" s="778"/>
      <c r="BO187" s="778"/>
      <c r="BP187" s="778"/>
      <c r="BQ187" s="778"/>
      <c r="BR187" s="778"/>
      <c r="BS187" s="778"/>
      <c r="BT187" s="778"/>
    </row>
    <row r="188" spans="1:72" x14ac:dyDescent="0.25">
      <c r="A188" s="778" t="s">
        <v>596</v>
      </c>
      <c r="B188" s="778">
        <v>8.8699999999999992</v>
      </c>
      <c r="C188" s="778">
        <v>14.77</v>
      </c>
      <c r="D188" s="778">
        <v>9.1</v>
      </c>
      <c r="E188" s="778">
        <v>11.22</v>
      </c>
      <c r="F188" s="778">
        <v>11.49</v>
      </c>
      <c r="G188" s="778">
        <v>12.89</v>
      </c>
      <c r="H188" s="778">
        <v>14.14</v>
      </c>
      <c r="I188" s="778">
        <v>15.19</v>
      </c>
      <c r="J188" s="778">
        <v>15.89</v>
      </c>
      <c r="K188" s="778">
        <v>16.600000000000001</v>
      </c>
      <c r="L188" s="778">
        <v>17.5</v>
      </c>
      <c r="M188" s="778">
        <v>18.3</v>
      </c>
      <c r="N188" s="778">
        <v>18.89</v>
      </c>
      <c r="O188" s="778">
        <v>19.329999999999998</v>
      </c>
      <c r="P188" s="778">
        <v>20.03</v>
      </c>
      <c r="Q188" s="778">
        <v>20.64</v>
      </c>
      <c r="R188" s="778">
        <v>21.36</v>
      </c>
      <c r="S188" s="778">
        <v>22.08</v>
      </c>
      <c r="T188" s="778">
        <v>22.8</v>
      </c>
      <c r="U188" s="778">
        <v>23.35</v>
      </c>
      <c r="V188" s="778">
        <v>24.24</v>
      </c>
      <c r="W188" s="778">
        <v>25.11</v>
      </c>
      <c r="X188" s="778">
        <v>26.08</v>
      </c>
      <c r="Y188" s="778">
        <v>27.11</v>
      </c>
      <c r="Z188" s="778">
        <v>28.23</v>
      </c>
      <c r="AA188" s="778">
        <v>29.29</v>
      </c>
      <c r="AB188" s="778">
        <v>30.29</v>
      </c>
      <c r="AC188" s="778">
        <v>31.46</v>
      </c>
      <c r="AD188" s="778">
        <v>32.700000000000003</v>
      </c>
      <c r="AE188" s="814">
        <v>0.03</v>
      </c>
      <c r="AF188" s="778"/>
      <c r="AG188" s="778"/>
      <c r="AH188" s="778"/>
      <c r="AI188" s="778"/>
      <c r="AJ188" s="778"/>
      <c r="AK188" s="778"/>
      <c r="AL188" s="778"/>
      <c r="AM188" s="778"/>
      <c r="AN188" s="778"/>
      <c r="AO188" s="778"/>
      <c r="AP188" s="778"/>
      <c r="AQ188" s="778"/>
      <c r="AR188" s="778"/>
      <c r="AS188" s="778"/>
      <c r="AT188" s="778"/>
      <c r="AU188" s="778"/>
      <c r="AV188" s="778"/>
      <c r="AW188" s="778"/>
      <c r="AX188" s="778"/>
      <c r="AY188" s="778"/>
      <c r="AZ188" s="778"/>
      <c r="BA188" s="778"/>
      <c r="BB188" s="778"/>
      <c r="BC188" s="778"/>
      <c r="BD188" s="778"/>
      <c r="BE188" s="778"/>
      <c r="BF188" s="778"/>
      <c r="BG188" s="778"/>
      <c r="BH188" s="778"/>
      <c r="BI188" s="778"/>
      <c r="BJ188" s="778"/>
      <c r="BK188" s="778"/>
      <c r="BL188" s="778"/>
      <c r="BM188" s="778"/>
      <c r="BN188" s="778"/>
      <c r="BO188" s="778"/>
      <c r="BP188" s="778"/>
      <c r="BQ188" s="778"/>
      <c r="BR188" s="778"/>
      <c r="BS188" s="778"/>
      <c r="BT188" s="778"/>
    </row>
    <row r="189" spans="1:72" x14ac:dyDescent="0.25">
      <c r="A189" s="778" t="s">
        <v>496</v>
      </c>
      <c r="B189" s="778">
        <v>8.99</v>
      </c>
      <c r="C189" s="778">
        <v>10.53</v>
      </c>
      <c r="D189" s="778">
        <v>6.67</v>
      </c>
      <c r="E189" s="778">
        <v>7.08</v>
      </c>
      <c r="F189" s="778">
        <v>8.2100000000000009</v>
      </c>
      <c r="G189" s="778">
        <v>8.68</v>
      </c>
      <c r="H189" s="778">
        <v>8.67</v>
      </c>
      <c r="I189" s="778">
        <v>8.7799999999999994</v>
      </c>
      <c r="J189" s="778">
        <v>9.07</v>
      </c>
      <c r="K189" s="778">
        <v>9.33</v>
      </c>
      <c r="L189" s="778">
        <v>9.5</v>
      </c>
      <c r="M189" s="778">
        <v>9.73</v>
      </c>
      <c r="N189" s="778">
        <v>9.98</v>
      </c>
      <c r="O189" s="778">
        <v>10.32</v>
      </c>
      <c r="P189" s="778">
        <v>10.67</v>
      </c>
      <c r="Q189" s="778">
        <v>11.14</v>
      </c>
      <c r="R189" s="778">
        <v>11.42</v>
      </c>
      <c r="S189" s="778">
        <v>11.55</v>
      </c>
      <c r="T189" s="778">
        <v>11.88</v>
      </c>
      <c r="U189" s="778">
        <v>12.31</v>
      </c>
      <c r="V189" s="778">
        <v>12.79</v>
      </c>
      <c r="W189" s="778">
        <v>13.39</v>
      </c>
      <c r="X189" s="778">
        <v>14.02</v>
      </c>
      <c r="Y189" s="778">
        <v>14.7</v>
      </c>
      <c r="Z189" s="778">
        <v>15.51</v>
      </c>
      <c r="AA189" s="778">
        <v>16.05</v>
      </c>
      <c r="AB189" s="778">
        <v>16.46</v>
      </c>
      <c r="AC189" s="778">
        <v>17.12</v>
      </c>
      <c r="AD189" s="778">
        <v>17.71</v>
      </c>
      <c r="AE189" s="814">
        <v>1.9E-2</v>
      </c>
      <c r="AF189" s="778"/>
      <c r="AG189" s="778"/>
      <c r="AH189" s="778"/>
      <c r="AI189" s="778"/>
      <c r="AJ189" s="778"/>
      <c r="AK189" s="778"/>
      <c r="AL189" s="778"/>
      <c r="AM189" s="778"/>
      <c r="AN189" s="778"/>
      <c r="AO189" s="778"/>
      <c r="AP189" s="778"/>
      <c r="AQ189" s="778"/>
      <c r="AR189" s="778"/>
      <c r="AS189" s="778"/>
      <c r="AT189" s="778"/>
      <c r="AU189" s="778"/>
      <c r="AV189" s="778"/>
      <c r="AW189" s="778"/>
      <c r="AX189" s="778"/>
      <c r="AY189" s="778"/>
      <c r="AZ189" s="778"/>
      <c r="BA189" s="778"/>
      <c r="BB189" s="778"/>
      <c r="BC189" s="778"/>
      <c r="BD189" s="778"/>
      <c r="BE189" s="778"/>
      <c r="BF189" s="778"/>
      <c r="BG189" s="778"/>
      <c r="BH189" s="778"/>
      <c r="BI189" s="778"/>
      <c r="BJ189" s="778"/>
      <c r="BK189" s="778"/>
      <c r="BL189" s="778"/>
      <c r="BM189" s="778"/>
      <c r="BN189" s="778"/>
      <c r="BO189" s="778"/>
      <c r="BP189" s="778"/>
      <c r="BQ189" s="778"/>
      <c r="BR189" s="778"/>
      <c r="BS189" s="778"/>
      <c r="BT189" s="778"/>
    </row>
    <row r="190" spans="1:72" x14ac:dyDescent="0.25">
      <c r="A190" s="778" t="s">
        <v>599</v>
      </c>
      <c r="B190" s="778">
        <v>3.61</v>
      </c>
      <c r="C190" s="778">
        <v>4.49</v>
      </c>
      <c r="D190" s="778">
        <v>4.79</v>
      </c>
      <c r="E190" s="778">
        <v>4.9400000000000004</v>
      </c>
      <c r="F190" s="778">
        <v>5.07</v>
      </c>
      <c r="G190" s="778">
        <v>5.31</v>
      </c>
      <c r="H190" s="778">
        <v>5.44</v>
      </c>
      <c r="I190" s="778">
        <v>5.56</v>
      </c>
      <c r="J190" s="778">
        <v>5.66</v>
      </c>
      <c r="K190" s="778">
        <v>5.77</v>
      </c>
      <c r="L190" s="778">
        <v>5.97</v>
      </c>
      <c r="M190" s="778">
        <v>6.14</v>
      </c>
      <c r="N190" s="778">
        <v>6.34</v>
      </c>
      <c r="O190" s="778">
        <v>6.5</v>
      </c>
      <c r="P190" s="778">
        <v>6.68</v>
      </c>
      <c r="Q190" s="778">
        <v>6.84</v>
      </c>
      <c r="R190" s="778">
        <v>6.98</v>
      </c>
      <c r="S190" s="778">
        <v>7.07</v>
      </c>
      <c r="T190" s="778">
        <v>7.11</v>
      </c>
      <c r="U190" s="778">
        <v>7.15</v>
      </c>
      <c r="V190" s="778">
        <v>7.27</v>
      </c>
      <c r="W190" s="778">
        <v>7.43</v>
      </c>
      <c r="X190" s="778">
        <v>7.55</v>
      </c>
      <c r="Y190" s="778">
        <v>7.72</v>
      </c>
      <c r="Z190" s="778">
        <v>7.86</v>
      </c>
      <c r="AA190" s="778">
        <v>8.02</v>
      </c>
      <c r="AB190" s="778">
        <v>8.18</v>
      </c>
      <c r="AC190" s="778">
        <v>8.33</v>
      </c>
      <c r="AD190" s="778">
        <v>8.5</v>
      </c>
      <c r="AE190" s="814">
        <v>2.4E-2</v>
      </c>
      <c r="AF190" s="778"/>
      <c r="AG190" s="778"/>
      <c r="AH190" s="778"/>
      <c r="AI190" s="778"/>
      <c r="AJ190" s="778"/>
      <c r="AK190" s="778"/>
      <c r="AL190" s="778"/>
      <c r="AM190" s="778"/>
      <c r="AN190" s="778"/>
      <c r="AO190" s="778"/>
      <c r="AP190" s="778"/>
      <c r="AQ190" s="778"/>
      <c r="AR190" s="778"/>
      <c r="AS190" s="778"/>
      <c r="AT190" s="778"/>
      <c r="AU190" s="778"/>
      <c r="AV190" s="778"/>
      <c r="AW190" s="778"/>
      <c r="AX190" s="778"/>
      <c r="AY190" s="778"/>
      <c r="AZ190" s="778"/>
      <c r="BA190" s="778"/>
      <c r="BB190" s="778"/>
      <c r="BC190" s="778"/>
      <c r="BD190" s="778"/>
      <c r="BE190" s="778"/>
      <c r="BF190" s="778"/>
      <c r="BG190" s="778"/>
      <c r="BH190" s="778"/>
      <c r="BI190" s="778"/>
      <c r="BJ190" s="778"/>
      <c r="BK190" s="778"/>
      <c r="BL190" s="778"/>
      <c r="BM190" s="778"/>
      <c r="BN190" s="778"/>
      <c r="BO190" s="778"/>
      <c r="BP190" s="778"/>
      <c r="BQ190" s="778"/>
      <c r="BR190" s="778"/>
      <c r="BS190" s="778"/>
      <c r="BT190" s="778"/>
    </row>
    <row r="191" spans="1:72" x14ac:dyDescent="0.25">
      <c r="A191" s="778" t="s">
        <v>612</v>
      </c>
      <c r="B191" s="778">
        <v>1.8</v>
      </c>
      <c r="C191" s="778">
        <v>2.1</v>
      </c>
      <c r="D191" s="778">
        <v>2.2200000000000002</v>
      </c>
      <c r="E191" s="778">
        <v>2.09</v>
      </c>
      <c r="F191" s="778">
        <v>2.11</v>
      </c>
      <c r="G191" s="778">
        <v>2.14</v>
      </c>
      <c r="H191" s="778">
        <v>2.19</v>
      </c>
      <c r="I191" s="778">
        <v>2.23</v>
      </c>
      <c r="J191" s="778">
        <v>2.2799999999999998</v>
      </c>
      <c r="K191" s="778">
        <v>2.2999999999999998</v>
      </c>
      <c r="L191" s="778">
        <v>2.35</v>
      </c>
      <c r="M191" s="778">
        <v>2.39</v>
      </c>
      <c r="N191" s="778">
        <v>2.4300000000000002</v>
      </c>
      <c r="O191" s="778">
        <v>2.4700000000000002</v>
      </c>
      <c r="P191" s="778">
        <v>2.52</v>
      </c>
      <c r="Q191" s="778">
        <v>2.58</v>
      </c>
      <c r="R191" s="778">
        <v>2.64</v>
      </c>
      <c r="S191" s="778">
        <v>2.69</v>
      </c>
      <c r="T191" s="778">
        <v>2.74</v>
      </c>
      <c r="U191" s="778">
        <v>2.81</v>
      </c>
      <c r="V191" s="778">
        <v>2.87</v>
      </c>
      <c r="W191" s="778">
        <v>2.95</v>
      </c>
      <c r="X191" s="778">
        <v>3.03</v>
      </c>
      <c r="Y191" s="778">
        <v>3.11</v>
      </c>
      <c r="Z191" s="778">
        <v>3.2</v>
      </c>
      <c r="AA191" s="778">
        <v>3.28</v>
      </c>
      <c r="AB191" s="778">
        <v>3.37</v>
      </c>
      <c r="AC191" s="778">
        <v>3.46</v>
      </c>
      <c r="AD191" s="778">
        <v>3.56</v>
      </c>
      <c r="AE191" s="814">
        <v>0.02</v>
      </c>
      <c r="AF191" s="778"/>
      <c r="AG191" s="778"/>
      <c r="AH191" s="778"/>
      <c r="AI191" s="778"/>
      <c r="AJ191" s="778"/>
      <c r="AK191" s="778"/>
      <c r="AL191" s="778"/>
      <c r="AM191" s="778"/>
      <c r="AN191" s="778"/>
      <c r="AO191" s="778"/>
      <c r="AP191" s="778"/>
      <c r="AQ191" s="778"/>
      <c r="AR191" s="778"/>
      <c r="AS191" s="778"/>
      <c r="AT191" s="778"/>
      <c r="AU191" s="778"/>
      <c r="AV191" s="778"/>
      <c r="AW191" s="778"/>
      <c r="AX191" s="778"/>
      <c r="AY191" s="778"/>
      <c r="AZ191" s="778"/>
      <c r="BA191" s="778"/>
      <c r="BB191" s="778"/>
      <c r="BC191" s="778"/>
      <c r="BD191" s="778"/>
      <c r="BE191" s="778"/>
      <c r="BF191" s="778"/>
      <c r="BG191" s="778"/>
      <c r="BH191" s="778"/>
      <c r="BI191" s="778"/>
      <c r="BJ191" s="778"/>
      <c r="BK191" s="778"/>
      <c r="BL191" s="778"/>
      <c r="BM191" s="778"/>
      <c r="BN191" s="778"/>
      <c r="BO191" s="778"/>
      <c r="BP191" s="778"/>
      <c r="BQ191" s="778"/>
      <c r="BR191" s="778"/>
      <c r="BS191" s="778"/>
      <c r="BT191" s="778"/>
    </row>
    <row r="192" spans="1:72" x14ac:dyDescent="0.25">
      <c r="A192" s="778" t="s">
        <v>601</v>
      </c>
      <c r="B192" s="778" t="s">
        <v>773</v>
      </c>
      <c r="C192" s="778" t="s">
        <v>773</v>
      </c>
      <c r="D192" s="778" t="s">
        <v>773</v>
      </c>
      <c r="E192" s="778" t="s">
        <v>773</v>
      </c>
      <c r="F192" s="778">
        <v>1.32</v>
      </c>
      <c r="G192" s="778">
        <v>1.1000000000000001</v>
      </c>
      <c r="H192" s="778">
        <v>1.1200000000000001</v>
      </c>
      <c r="I192" s="778">
        <v>1.55</v>
      </c>
      <c r="J192" s="778">
        <v>1.58</v>
      </c>
      <c r="K192" s="778">
        <v>1.65</v>
      </c>
      <c r="L192" s="778">
        <v>1.72</v>
      </c>
      <c r="M192" s="778">
        <v>1.74</v>
      </c>
      <c r="N192" s="778">
        <v>1.76</v>
      </c>
      <c r="O192" s="778">
        <v>1.79</v>
      </c>
      <c r="P192" s="778">
        <v>1.86</v>
      </c>
      <c r="Q192" s="778">
        <v>1.91</v>
      </c>
      <c r="R192" s="778">
        <v>1.98</v>
      </c>
      <c r="S192" s="778">
        <v>1.99</v>
      </c>
      <c r="T192" s="778">
        <v>2.02</v>
      </c>
      <c r="U192" s="778">
        <v>2.04</v>
      </c>
      <c r="V192" s="778">
        <v>2.0699999999999998</v>
      </c>
      <c r="W192" s="778">
        <v>2.1</v>
      </c>
      <c r="X192" s="778">
        <v>2.13</v>
      </c>
      <c r="Y192" s="778">
        <v>2.1800000000000002</v>
      </c>
      <c r="Z192" s="778">
        <v>2.2200000000000002</v>
      </c>
      <c r="AA192" s="778">
        <v>2.2799999999999998</v>
      </c>
      <c r="AB192" s="778">
        <v>2.35</v>
      </c>
      <c r="AC192" s="778">
        <v>2.44</v>
      </c>
      <c r="AD192" s="778">
        <v>2.5299999999999998</v>
      </c>
      <c r="AE192" s="778" t="s">
        <v>773</v>
      </c>
      <c r="AF192" s="778"/>
      <c r="AG192" s="778"/>
      <c r="AH192" s="778"/>
      <c r="AI192" s="778"/>
      <c r="AJ192" s="778"/>
      <c r="AK192" s="778"/>
      <c r="AL192" s="778"/>
      <c r="AM192" s="778"/>
      <c r="AN192" s="778"/>
      <c r="AO192" s="778"/>
      <c r="AP192" s="778"/>
      <c r="AQ192" s="778"/>
      <c r="AR192" s="778"/>
      <c r="AS192" s="778"/>
      <c r="AT192" s="778"/>
      <c r="AU192" s="778"/>
      <c r="AV192" s="778"/>
      <c r="AW192" s="778"/>
      <c r="AX192" s="778"/>
      <c r="AY192" s="778"/>
      <c r="AZ192" s="778"/>
      <c r="BA192" s="778"/>
      <c r="BB192" s="778"/>
      <c r="BC192" s="778"/>
      <c r="BD192" s="778"/>
      <c r="BE192" s="778"/>
      <c r="BF192" s="778"/>
      <c r="BG192" s="778"/>
      <c r="BH192" s="778"/>
      <c r="BI192" s="778"/>
      <c r="BJ192" s="778"/>
      <c r="BK192" s="778"/>
      <c r="BL192" s="778"/>
      <c r="BM192" s="778"/>
      <c r="BN192" s="778"/>
      <c r="BO192" s="778"/>
      <c r="BP192" s="778"/>
      <c r="BQ192" s="778"/>
      <c r="BR192" s="778"/>
      <c r="BS192" s="778"/>
      <c r="BT192" s="778"/>
    </row>
    <row r="193" spans="1:72" x14ac:dyDescent="0.25">
      <c r="A193" s="778" t="s">
        <v>465</v>
      </c>
      <c r="B193" s="778">
        <v>26.66</v>
      </c>
      <c r="C193" s="778">
        <v>28.81</v>
      </c>
      <c r="D193" s="778">
        <v>28.5</v>
      </c>
      <c r="E193" s="778">
        <v>27.58</v>
      </c>
      <c r="F193" s="778">
        <v>26.29</v>
      </c>
      <c r="G193" s="778">
        <v>27.63</v>
      </c>
      <c r="H193" s="778">
        <v>28.19</v>
      </c>
      <c r="I193" s="778">
        <v>28.46</v>
      </c>
      <c r="J193" s="778">
        <v>28.92</v>
      </c>
      <c r="K193" s="778">
        <v>29.72</v>
      </c>
      <c r="L193" s="778">
        <v>30.45</v>
      </c>
      <c r="M193" s="778">
        <v>31.03</v>
      </c>
      <c r="N193" s="778">
        <v>31.53</v>
      </c>
      <c r="O193" s="778">
        <v>32.4</v>
      </c>
      <c r="P193" s="778">
        <v>33.33</v>
      </c>
      <c r="Q193" s="778">
        <v>34.229999999999997</v>
      </c>
      <c r="R193" s="778">
        <v>35.22</v>
      </c>
      <c r="S193" s="778">
        <v>36.159999999999997</v>
      </c>
      <c r="T193" s="778">
        <v>36.869999999999997</v>
      </c>
      <c r="U193" s="778">
        <v>37.86</v>
      </c>
      <c r="V193" s="778">
        <v>38.94</v>
      </c>
      <c r="W193" s="778">
        <v>40.090000000000003</v>
      </c>
      <c r="X193" s="778">
        <v>41.58</v>
      </c>
      <c r="Y193" s="778">
        <v>43</v>
      </c>
      <c r="Z193" s="778">
        <v>44.53</v>
      </c>
      <c r="AA193" s="778">
        <v>46.07</v>
      </c>
      <c r="AB193" s="778">
        <v>47.34</v>
      </c>
      <c r="AC193" s="778">
        <v>48.78</v>
      </c>
      <c r="AD193" s="778">
        <v>50.19</v>
      </c>
      <c r="AE193" s="814">
        <v>2.1000000000000001E-2</v>
      </c>
      <c r="AF193" s="778"/>
      <c r="AG193" s="778"/>
      <c r="AH193" s="778"/>
      <c r="AI193" s="778"/>
      <c r="AJ193" s="778"/>
      <c r="AK193" s="778"/>
      <c r="AL193" s="778"/>
      <c r="AM193" s="778"/>
      <c r="AN193" s="778"/>
      <c r="AO193" s="778"/>
      <c r="AP193" s="778"/>
      <c r="AQ193" s="778"/>
      <c r="AR193" s="778"/>
      <c r="AS193" s="778"/>
      <c r="AT193" s="778"/>
      <c r="AU193" s="778"/>
      <c r="AV193" s="778"/>
      <c r="AW193" s="778"/>
      <c r="AX193" s="778"/>
      <c r="AY193" s="778"/>
      <c r="AZ193" s="778"/>
      <c r="BA193" s="778"/>
      <c r="BB193" s="778"/>
      <c r="BC193" s="778"/>
      <c r="BD193" s="778"/>
      <c r="BE193" s="778"/>
      <c r="BF193" s="778"/>
      <c r="BG193" s="778"/>
      <c r="BH193" s="778"/>
      <c r="BI193" s="778"/>
      <c r="BJ193" s="778"/>
      <c r="BK193" s="778"/>
      <c r="BL193" s="778"/>
      <c r="BM193" s="778"/>
      <c r="BN193" s="778"/>
      <c r="BO193" s="778"/>
      <c r="BP193" s="778"/>
      <c r="BQ193" s="778"/>
      <c r="BR193" s="778"/>
      <c r="BS193" s="778"/>
      <c r="BT193" s="778"/>
    </row>
    <row r="194" spans="1:72" x14ac:dyDescent="0.25">
      <c r="A194" s="778"/>
      <c r="B194" s="778"/>
      <c r="C194" s="778"/>
      <c r="D194" s="778"/>
      <c r="E194" s="778"/>
      <c r="F194" s="778"/>
      <c r="G194" s="778"/>
      <c r="H194" s="778"/>
      <c r="I194" s="778"/>
      <c r="J194" s="778"/>
      <c r="K194" s="778"/>
      <c r="L194" s="778"/>
      <c r="M194" s="778"/>
      <c r="N194" s="778"/>
      <c r="O194" s="778"/>
      <c r="P194" s="778"/>
      <c r="Q194" s="778"/>
      <c r="R194" s="778"/>
      <c r="S194" s="778"/>
      <c r="T194" s="778"/>
      <c r="U194" s="778"/>
      <c r="V194" s="778"/>
      <c r="W194" s="778"/>
      <c r="X194" s="778"/>
      <c r="Y194" s="778"/>
      <c r="Z194" s="778"/>
      <c r="AA194" s="778"/>
      <c r="AB194" s="778"/>
      <c r="AC194" s="778"/>
      <c r="AD194" s="778"/>
      <c r="AE194" s="778"/>
      <c r="AF194" s="778"/>
      <c r="AG194" s="778"/>
      <c r="AH194" s="778"/>
      <c r="AI194" s="778"/>
      <c r="AJ194" s="778"/>
      <c r="AK194" s="778"/>
      <c r="AL194" s="778"/>
      <c r="AM194" s="778"/>
      <c r="AN194" s="778"/>
      <c r="AO194" s="778"/>
      <c r="AP194" s="778"/>
      <c r="AQ194" s="778"/>
      <c r="AR194" s="778"/>
      <c r="AS194" s="778"/>
      <c r="AT194" s="778"/>
      <c r="AU194" s="778"/>
      <c r="AV194" s="778"/>
      <c r="AW194" s="778"/>
      <c r="AX194" s="778"/>
      <c r="AY194" s="778"/>
      <c r="AZ194" s="778"/>
      <c r="BA194" s="778"/>
      <c r="BB194" s="778"/>
      <c r="BC194" s="778"/>
      <c r="BD194" s="778"/>
      <c r="BE194" s="778"/>
      <c r="BF194" s="778"/>
      <c r="BG194" s="778"/>
      <c r="BH194" s="778"/>
      <c r="BI194" s="778"/>
      <c r="BJ194" s="778"/>
      <c r="BK194" s="778"/>
      <c r="BL194" s="778"/>
      <c r="BM194" s="778"/>
      <c r="BN194" s="778"/>
      <c r="BO194" s="778"/>
      <c r="BP194" s="778"/>
      <c r="BQ194" s="778"/>
      <c r="BR194" s="778"/>
      <c r="BS194" s="778"/>
      <c r="BT194" s="778"/>
    </row>
    <row r="195" spans="1:72" x14ac:dyDescent="0.25">
      <c r="A195" s="778" t="s">
        <v>499</v>
      </c>
      <c r="B195" s="778"/>
      <c r="C195" s="778"/>
      <c r="D195" s="778"/>
      <c r="E195" s="778"/>
      <c r="F195" s="778"/>
      <c r="G195" s="778"/>
      <c r="H195" s="778"/>
      <c r="I195" s="778"/>
      <c r="J195" s="778"/>
      <c r="K195" s="778"/>
      <c r="L195" s="778"/>
      <c r="M195" s="778"/>
      <c r="N195" s="778"/>
      <c r="O195" s="778"/>
      <c r="P195" s="778"/>
      <c r="Q195" s="778"/>
      <c r="R195" s="778"/>
      <c r="S195" s="778"/>
      <c r="T195" s="778"/>
      <c r="U195" s="778"/>
      <c r="V195" s="778"/>
      <c r="W195" s="778"/>
      <c r="X195" s="778"/>
      <c r="Y195" s="778"/>
      <c r="Z195" s="778"/>
      <c r="AA195" s="778"/>
      <c r="AB195" s="778"/>
      <c r="AC195" s="778"/>
      <c r="AD195" s="778"/>
      <c r="AE195" s="778"/>
      <c r="AF195" s="778"/>
      <c r="AG195" s="778"/>
      <c r="AH195" s="778"/>
      <c r="AI195" s="778"/>
      <c r="AJ195" s="778"/>
      <c r="AK195" s="778"/>
      <c r="AL195" s="778"/>
      <c r="AM195" s="778"/>
      <c r="AN195" s="778"/>
      <c r="AO195" s="778"/>
      <c r="AP195" s="778"/>
      <c r="AQ195" s="778"/>
      <c r="AR195" s="778"/>
      <c r="AS195" s="778"/>
      <c r="AT195" s="778"/>
      <c r="AU195" s="778"/>
      <c r="AV195" s="778"/>
      <c r="AW195" s="778"/>
      <c r="AX195" s="778"/>
      <c r="AY195" s="778"/>
      <c r="AZ195" s="778"/>
      <c r="BA195" s="778"/>
      <c r="BB195" s="778"/>
      <c r="BC195" s="778"/>
      <c r="BD195" s="778"/>
      <c r="BE195" s="778"/>
      <c r="BF195" s="778"/>
      <c r="BG195" s="778"/>
      <c r="BH195" s="778"/>
      <c r="BI195" s="778"/>
      <c r="BJ195" s="778"/>
      <c r="BK195" s="778"/>
      <c r="BL195" s="778"/>
      <c r="BM195" s="778"/>
      <c r="BN195" s="778"/>
      <c r="BO195" s="778"/>
      <c r="BP195" s="778"/>
      <c r="BQ195" s="778"/>
      <c r="BR195" s="778"/>
      <c r="BS195" s="778"/>
      <c r="BT195" s="778"/>
    </row>
    <row r="196" spans="1:72" x14ac:dyDescent="0.25">
      <c r="A196" s="778" t="s">
        <v>712</v>
      </c>
      <c r="B196" s="778"/>
      <c r="C196" s="778"/>
      <c r="D196" s="778"/>
      <c r="E196" s="778"/>
      <c r="F196" s="778"/>
      <c r="G196" s="778"/>
      <c r="H196" s="778"/>
      <c r="I196" s="778"/>
      <c r="J196" s="778"/>
      <c r="K196" s="778"/>
      <c r="L196" s="778"/>
      <c r="M196" s="778"/>
      <c r="N196" s="778"/>
      <c r="O196" s="778"/>
      <c r="P196" s="778"/>
      <c r="Q196" s="778"/>
      <c r="R196" s="778"/>
      <c r="S196" s="778"/>
      <c r="T196" s="778"/>
      <c r="U196" s="778"/>
      <c r="V196" s="778"/>
      <c r="W196" s="778"/>
      <c r="X196" s="778"/>
      <c r="Y196" s="778"/>
      <c r="Z196" s="778"/>
      <c r="AA196" s="778"/>
      <c r="AB196" s="778"/>
      <c r="AC196" s="778"/>
      <c r="AD196" s="778"/>
      <c r="AE196" s="778"/>
      <c r="AF196" s="778"/>
      <c r="AG196" s="778"/>
      <c r="AH196" s="778"/>
      <c r="AI196" s="778"/>
      <c r="AJ196" s="778"/>
      <c r="AK196" s="778"/>
      <c r="AL196" s="778"/>
      <c r="AM196" s="778"/>
      <c r="AN196" s="778"/>
      <c r="AO196" s="778"/>
      <c r="AP196" s="778"/>
      <c r="AQ196" s="778"/>
      <c r="AR196" s="778"/>
      <c r="AS196" s="778"/>
      <c r="AT196" s="778"/>
      <c r="AU196" s="778"/>
      <c r="AV196" s="778"/>
      <c r="AW196" s="778"/>
      <c r="AX196" s="778"/>
      <c r="AY196" s="778"/>
      <c r="AZ196" s="778"/>
      <c r="BA196" s="778"/>
      <c r="BB196" s="778"/>
      <c r="BC196" s="778"/>
      <c r="BD196" s="778"/>
      <c r="BE196" s="778"/>
      <c r="BF196" s="778"/>
      <c r="BG196" s="778"/>
      <c r="BH196" s="778"/>
      <c r="BI196" s="778"/>
      <c r="BJ196" s="778"/>
      <c r="BK196" s="778"/>
      <c r="BL196" s="778"/>
      <c r="BM196" s="778"/>
      <c r="BN196" s="778"/>
      <c r="BO196" s="778"/>
      <c r="BP196" s="778"/>
      <c r="BQ196" s="778"/>
      <c r="BR196" s="778"/>
      <c r="BS196" s="778"/>
      <c r="BT196" s="778"/>
    </row>
    <row r="197" spans="1:72" x14ac:dyDescent="0.25">
      <c r="A197" s="778" t="s">
        <v>459</v>
      </c>
      <c r="B197" s="778">
        <v>236.38</v>
      </c>
      <c r="C197" s="778">
        <v>254.66</v>
      </c>
      <c r="D197" s="778">
        <v>235.17</v>
      </c>
      <c r="E197" s="778">
        <v>230.51</v>
      </c>
      <c r="F197" s="778">
        <v>232.31</v>
      </c>
      <c r="G197" s="778">
        <v>244.12</v>
      </c>
      <c r="H197" s="778">
        <v>246.57</v>
      </c>
      <c r="I197" s="778">
        <v>251.37</v>
      </c>
      <c r="J197" s="778">
        <v>257.29000000000002</v>
      </c>
      <c r="K197" s="778">
        <v>266.02999999999997</v>
      </c>
      <c r="L197" s="778">
        <v>273.52999999999997</v>
      </c>
      <c r="M197" s="778">
        <v>281.39999999999998</v>
      </c>
      <c r="N197" s="778">
        <v>289.27</v>
      </c>
      <c r="O197" s="778">
        <v>299.58999999999997</v>
      </c>
      <c r="P197" s="778">
        <v>309.45</v>
      </c>
      <c r="Q197" s="778">
        <v>320.3</v>
      </c>
      <c r="R197" s="778">
        <v>330.83</v>
      </c>
      <c r="S197" s="778">
        <v>341.36</v>
      </c>
      <c r="T197" s="778">
        <v>351.09</v>
      </c>
      <c r="U197" s="778">
        <v>363.72</v>
      </c>
      <c r="V197" s="778">
        <v>377.1</v>
      </c>
      <c r="W197" s="778">
        <v>392.03</v>
      </c>
      <c r="X197" s="778">
        <v>407.27</v>
      </c>
      <c r="Y197" s="778">
        <v>423.22</v>
      </c>
      <c r="Z197" s="778">
        <v>441.01</v>
      </c>
      <c r="AA197" s="778">
        <v>458.4</v>
      </c>
      <c r="AB197" s="778">
        <v>471.99</v>
      </c>
      <c r="AC197" s="778">
        <v>489.06</v>
      </c>
      <c r="AD197" s="778">
        <v>506.03</v>
      </c>
      <c r="AE197" s="814">
        <v>2.5999999999999999E-2</v>
      </c>
      <c r="AF197" s="778"/>
      <c r="AG197" s="778"/>
      <c r="AH197" s="778"/>
      <c r="AI197" s="778"/>
      <c r="AJ197" s="778"/>
      <c r="AK197" s="778"/>
      <c r="AL197" s="778"/>
      <c r="AM197" s="778"/>
      <c r="AN197" s="778"/>
      <c r="AO197" s="778"/>
      <c r="AP197" s="778"/>
      <c r="AQ197" s="778"/>
      <c r="AR197" s="778"/>
      <c r="AS197" s="778"/>
      <c r="AT197" s="778"/>
      <c r="AU197" s="778"/>
      <c r="AV197" s="778"/>
      <c r="AW197" s="778"/>
      <c r="AX197" s="778"/>
      <c r="AY197" s="778"/>
      <c r="AZ197" s="778"/>
      <c r="BA197" s="778"/>
      <c r="BB197" s="778"/>
      <c r="BC197" s="778"/>
      <c r="BD197" s="778"/>
      <c r="BE197" s="778"/>
      <c r="BF197" s="778"/>
      <c r="BG197" s="778"/>
      <c r="BH197" s="778"/>
      <c r="BI197" s="778"/>
      <c r="BJ197" s="778"/>
      <c r="BK197" s="778"/>
      <c r="BL197" s="778"/>
      <c r="BM197" s="778"/>
      <c r="BN197" s="778"/>
      <c r="BO197" s="778"/>
      <c r="BP197" s="778"/>
      <c r="BQ197" s="778"/>
      <c r="BR197" s="778"/>
      <c r="BS197" s="778"/>
      <c r="BT197" s="778"/>
    </row>
    <row r="198" spans="1:72" x14ac:dyDescent="0.25">
      <c r="A198" s="778" t="s">
        <v>466</v>
      </c>
      <c r="B198" s="778">
        <v>172.75</v>
      </c>
      <c r="C198" s="778">
        <v>191.19</v>
      </c>
      <c r="D198" s="778">
        <v>171.27</v>
      </c>
      <c r="E198" s="778">
        <v>168.36</v>
      </c>
      <c r="F198" s="778">
        <v>170.83</v>
      </c>
      <c r="G198" s="778">
        <v>182.74</v>
      </c>
      <c r="H198" s="778">
        <v>187.26</v>
      </c>
      <c r="I198" s="778">
        <v>190.86</v>
      </c>
      <c r="J198" s="778">
        <v>197.13</v>
      </c>
      <c r="K198" s="778">
        <v>205.11</v>
      </c>
      <c r="L198" s="778">
        <v>212.7</v>
      </c>
      <c r="M198" s="778">
        <v>219.88</v>
      </c>
      <c r="N198" s="778">
        <v>226.94</v>
      </c>
      <c r="O198" s="778">
        <v>236.05</v>
      </c>
      <c r="P198" s="778">
        <v>245.65</v>
      </c>
      <c r="Q198" s="778">
        <v>255.58</v>
      </c>
      <c r="R198" s="778">
        <v>265.91000000000003</v>
      </c>
      <c r="S198" s="778">
        <v>275.66000000000003</v>
      </c>
      <c r="T198" s="778">
        <v>285.08999999999997</v>
      </c>
      <c r="U198" s="778">
        <v>296.79000000000002</v>
      </c>
      <c r="V198" s="778">
        <v>309.27</v>
      </c>
      <c r="W198" s="778">
        <v>322.77</v>
      </c>
      <c r="X198" s="778">
        <v>338.69</v>
      </c>
      <c r="Y198" s="778">
        <v>354.37</v>
      </c>
      <c r="Z198" s="778">
        <v>371.75</v>
      </c>
      <c r="AA198" s="778">
        <v>388.64</v>
      </c>
      <c r="AB198" s="778">
        <v>403.84</v>
      </c>
      <c r="AC198" s="778">
        <v>421.34</v>
      </c>
      <c r="AD198" s="778">
        <v>438.74</v>
      </c>
      <c r="AE198" s="814">
        <v>3.1E-2</v>
      </c>
      <c r="AF198" s="778"/>
      <c r="AG198" s="778"/>
      <c r="AH198" s="778"/>
      <c r="AI198" s="778"/>
      <c r="AJ198" s="778"/>
      <c r="AK198" s="778"/>
      <c r="AL198" s="778"/>
      <c r="AM198" s="778"/>
      <c r="AN198" s="778"/>
      <c r="AO198" s="778"/>
      <c r="AP198" s="778"/>
      <c r="AQ198" s="778"/>
      <c r="AR198" s="778"/>
      <c r="AS198" s="778"/>
      <c r="AT198" s="778"/>
      <c r="AU198" s="778"/>
      <c r="AV198" s="778"/>
      <c r="AW198" s="778"/>
      <c r="AX198" s="778"/>
      <c r="AY198" s="778"/>
      <c r="AZ198" s="778"/>
      <c r="BA198" s="778"/>
      <c r="BB198" s="778"/>
      <c r="BC198" s="778"/>
      <c r="BD198" s="778"/>
      <c r="BE198" s="778"/>
      <c r="BF198" s="778"/>
      <c r="BG198" s="778"/>
      <c r="BH198" s="778"/>
      <c r="BI198" s="778"/>
      <c r="BJ198" s="778"/>
      <c r="BK198" s="778"/>
      <c r="BL198" s="778"/>
      <c r="BM198" s="778"/>
      <c r="BN198" s="778"/>
      <c r="BO198" s="778"/>
      <c r="BP198" s="778"/>
      <c r="BQ198" s="778"/>
      <c r="BR198" s="778"/>
      <c r="BS198" s="778"/>
      <c r="BT198" s="778"/>
    </row>
    <row r="199" spans="1:72" x14ac:dyDescent="0.25">
      <c r="A199" s="778" t="s">
        <v>501</v>
      </c>
      <c r="B199" s="778">
        <v>214.89</v>
      </c>
      <c r="C199" s="778">
        <v>244.81</v>
      </c>
      <c r="D199" s="778">
        <v>178.09</v>
      </c>
      <c r="E199" s="778">
        <v>168.16</v>
      </c>
      <c r="F199" s="778">
        <v>181.07</v>
      </c>
      <c r="G199" s="778">
        <v>202.87</v>
      </c>
      <c r="H199" s="778">
        <v>217.07</v>
      </c>
      <c r="I199" s="778">
        <v>227.35</v>
      </c>
      <c r="J199" s="778">
        <v>237.51</v>
      </c>
      <c r="K199" s="778">
        <v>248.26</v>
      </c>
      <c r="L199" s="778">
        <v>257.8</v>
      </c>
      <c r="M199" s="778">
        <v>268.36</v>
      </c>
      <c r="N199" s="778">
        <v>277.25</v>
      </c>
      <c r="O199" s="778">
        <v>287.02999999999997</v>
      </c>
      <c r="P199" s="778">
        <v>295.06</v>
      </c>
      <c r="Q199" s="778">
        <v>303.12</v>
      </c>
      <c r="R199" s="778">
        <v>311.48</v>
      </c>
      <c r="S199" s="778">
        <v>319.60000000000002</v>
      </c>
      <c r="T199" s="778">
        <v>328.09</v>
      </c>
      <c r="U199" s="778">
        <v>336.58</v>
      </c>
      <c r="V199" s="778">
        <v>346.81</v>
      </c>
      <c r="W199" s="778">
        <v>357.93</v>
      </c>
      <c r="X199" s="778">
        <v>370.58</v>
      </c>
      <c r="Y199" s="778">
        <v>382.62</v>
      </c>
      <c r="Z199" s="778">
        <v>397.61</v>
      </c>
      <c r="AA199" s="778">
        <v>409.44</v>
      </c>
      <c r="AB199" s="778">
        <v>421.52</v>
      </c>
      <c r="AC199" s="778">
        <v>436.23</v>
      </c>
      <c r="AD199" s="778">
        <v>449</v>
      </c>
      <c r="AE199" s="814">
        <v>2.3E-2</v>
      </c>
      <c r="AF199" s="778"/>
      <c r="AG199" s="778"/>
      <c r="AH199" s="778"/>
      <c r="AI199" s="778"/>
      <c r="AJ199" s="778"/>
      <c r="AK199" s="778"/>
      <c r="AL199" s="778"/>
      <c r="AM199" s="778"/>
      <c r="AN199" s="778"/>
      <c r="AO199" s="778"/>
      <c r="AP199" s="778"/>
      <c r="AQ199" s="778"/>
      <c r="AR199" s="778"/>
      <c r="AS199" s="778"/>
      <c r="AT199" s="778"/>
      <c r="AU199" s="778"/>
      <c r="AV199" s="778"/>
      <c r="AW199" s="778"/>
      <c r="AX199" s="778"/>
      <c r="AY199" s="778"/>
      <c r="AZ199" s="778"/>
      <c r="BA199" s="778"/>
      <c r="BB199" s="778"/>
      <c r="BC199" s="778"/>
      <c r="BD199" s="778"/>
      <c r="BE199" s="778"/>
      <c r="BF199" s="778"/>
      <c r="BG199" s="778"/>
      <c r="BH199" s="778"/>
      <c r="BI199" s="778"/>
      <c r="BJ199" s="778"/>
      <c r="BK199" s="778"/>
      <c r="BL199" s="778"/>
      <c r="BM199" s="778"/>
      <c r="BN199" s="778"/>
      <c r="BO199" s="778"/>
      <c r="BP199" s="778"/>
      <c r="BQ199" s="778"/>
      <c r="BR199" s="778"/>
      <c r="BS199" s="778"/>
      <c r="BT199" s="778"/>
    </row>
    <row r="200" spans="1:72" x14ac:dyDescent="0.25">
      <c r="A200" s="778" t="s">
        <v>473</v>
      </c>
      <c r="B200" s="778">
        <v>599.94000000000005</v>
      </c>
      <c r="C200" s="778">
        <v>705.86</v>
      </c>
      <c r="D200" s="778">
        <v>472.76</v>
      </c>
      <c r="E200" s="778">
        <v>523.54</v>
      </c>
      <c r="F200" s="778">
        <v>551.54</v>
      </c>
      <c r="G200" s="778">
        <v>600.52</v>
      </c>
      <c r="H200" s="778">
        <v>663.3</v>
      </c>
      <c r="I200" s="778">
        <v>702.29</v>
      </c>
      <c r="J200" s="778">
        <v>730.78</v>
      </c>
      <c r="K200" s="778">
        <v>762.17</v>
      </c>
      <c r="L200" s="778">
        <v>797.53</v>
      </c>
      <c r="M200" s="778">
        <v>828.81</v>
      </c>
      <c r="N200" s="778">
        <v>859.4</v>
      </c>
      <c r="O200" s="778">
        <v>891.87</v>
      </c>
      <c r="P200" s="778">
        <v>920.68</v>
      </c>
      <c r="Q200" s="778">
        <v>948.26</v>
      </c>
      <c r="R200" s="778">
        <v>986.59</v>
      </c>
      <c r="S200" s="778">
        <v>1021.27</v>
      </c>
      <c r="T200" s="778">
        <v>1062.24</v>
      </c>
      <c r="U200" s="778">
        <v>1101.69</v>
      </c>
      <c r="V200" s="778">
        <v>1143.03</v>
      </c>
      <c r="W200" s="778">
        <v>1188</v>
      </c>
      <c r="X200" s="778">
        <v>1232.23</v>
      </c>
      <c r="Y200" s="778">
        <v>1277.8499999999999</v>
      </c>
      <c r="Z200" s="778">
        <v>1321.12</v>
      </c>
      <c r="AA200" s="778">
        <v>1371.03</v>
      </c>
      <c r="AB200" s="778">
        <v>1423.78</v>
      </c>
      <c r="AC200" s="778">
        <v>1471.43</v>
      </c>
      <c r="AD200" s="778">
        <v>1525.95</v>
      </c>
      <c r="AE200" s="814">
        <v>2.9000000000000001E-2</v>
      </c>
      <c r="AF200" s="778"/>
      <c r="AG200" s="778"/>
      <c r="AH200" s="778"/>
      <c r="AI200" s="778"/>
      <c r="AJ200" s="778"/>
      <c r="AK200" s="778"/>
      <c r="AL200" s="778"/>
      <c r="AM200" s="778"/>
      <c r="AN200" s="778"/>
      <c r="AO200" s="778"/>
      <c r="AP200" s="778"/>
      <c r="AQ200" s="778"/>
      <c r="AR200" s="778"/>
      <c r="AS200" s="778"/>
      <c r="AT200" s="778"/>
      <c r="AU200" s="778"/>
      <c r="AV200" s="778"/>
      <c r="AW200" s="778"/>
      <c r="AX200" s="778"/>
      <c r="AY200" s="778"/>
      <c r="AZ200" s="778"/>
      <c r="BA200" s="778"/>
      <c r="BB200" s="778"/>
      <c r="BC200" s="778"/>
      <c r="BD200" s="778"/>
      <c r="BE200" s="778"/>
      <c r="BF200" s="778"/>
      <c r="BG200" s="778"/>
      <c r="BH200" s="778"/>
      <c r="BI200" s="778"/>
      <c r="BJ200" s="778"/>
      <c r="BK200" s="778"/>
      <c r="BL200" s="778"/>
      <c r="BM200" s="778"/>
      <c r="BN200" s="778"/>
      <c r="BO200" s="778"/>
      <c r="BP200" s="778"/>
      <c r="BQ200" s="778"/>
      <c r="BR200" s="778"/>
      <c r="BS200" s="778"/>
      <c r="BT200" s="778"/>
    </row>
    <row r="201" spans="1:72" x14ac:dyDescent="0.25">
      <c r="A201" s="778" t="s">
        <v>502</v>
      </c>
      <c r="B201" s="778">
        <v>1223.96</v>
      </c>
      <c r="C201" s="778">
        <v>1396.52</v>
      </c>
      <c r="D201" s="778">
        <v>1057.29</v>
      </c>
      <c r="E201" s="778">
        <v>1090.58</v>
      </c>
      <c r="F201" s="778">
        <v>1135.76</v>
      </c>
      <c r="G201" s="778">
        <v>1230.25</v>
      </c>
      <c r="H201" s="778">
        <v>1314.19</v>
      </c>
      <c r="I201" s="778">
        <v>1371.86</v>
      </c>
      <c r="J201" s="778">
        <v>1422.72</v>
      </c>
      <c r="K201" s="778">
        <v>1481.57</v>
      </c>
      <c r="L201" s="778">
        <v>1541.56</v>
      </c>
      <c r="M201" s="778">
        <v>1598.45</v>
      </c>
      <c r="N201" s="778">
        <v>1652.86</v>
      </c>
      <c r="O201" s="778">
        <v>1714.54</v>
      </c>
      <c r="P201" s="778">
        <v>1770.84</v>
      </c>
      <c r="Q201" s="778">
        <v>1827.25</v>
      </c>
      <c r="R201" s="778">
        <v>1894.81</v>
      </c>
      <c r="S201" s="778">
        <v>1957.89</v>
      </c>
      <c r="T201" s="778">
        <v>2026.51</v>
      </c>
      <c r="U201" s="778">
        <v>2098.7800000000002</v>
      </c>
      <c r="V201" s="778">
        <v>2176.1999999999998</v>
      </c>
      <c r="W201" s="778">
        <v>2260.73</v>
      </c>
      <c r="X201" s="778">
        <v>2348.7600000000002</v>
      </c>
      <c r="Y201" s="778">
        <v>2438.06</v>
      </c>
      <c r="Z201" s="778">
        <v>2531.5</v>
      </c>
      <c r="AA201" s="778">
        <v>2627.51</v>
      </c>
      <c r="AB201" s="778">
        <v>2721.14</v>
      </c>
      <c r="AC201" s="778">
        <v>2818.06</v>
      </c>
      <c r="AD201" s="778">
        <v>2919.72</v>
      </c>
      <c r="AE201" s="814">
        <v>2.8000000000000001E-2</v>
      </c>
      <c r="AF201" s="778"/>
      <c r="AG201" s="778"/>
      <c r="AH201" s="778"/>
      <c r="AI201" s="778"/>
      <c r="AJ201" s="778"/>
      <c r="AK201" s="778"/>
      <c r="AL201" s="778"/>
      <c r="AM201" s="778"/>
      <c r="AN201" s="778"/>
      <c r="AO201" s="778"/>
      <c r="AP201" s="778"/>
      <c r="AQ201" s="778"/>
      <c r="AR201" s="778"/>
      <c r="AS201" s="778"/>
      <c r="AT201" s="778"/>
      <c r="AU201" s="778"/>
      <c r="AV201" s="778"/>
      <c r="AW201" s="778"/>
      <c r="AX201" s="778"/>
      <c r="AY201" s="778"/>
      <c r="AZ201" s="778"/>
      <c r="BA201" s="778"/>
      <c r="BB201" s="778"/>
      <c r="BC201" s="778"/>
      <c r="BD201" s="778"/>
      <c r="BE201" s="778"/>
      <c r="BF201" s="778"/>
      <c r="BG201" s="778"/>
      <c r="BH201" s="778"/>
      <c r="BI201" s="778"/>
      <c r="BJ201" s="778"/>
      <c r="BK201" s="778"/>
      <c r="BL201" s="778"/>
      <c r="BM201" s="778"/>
      <c r="BN201" s="778"/>
      <c r="BO201" s="778"/>
      <c r="BP201" s="778"/>
      <c r="BQ201" s="778"/>
      <c r="BR201" s="778"/>
      <c r="BS201" s="778"/>
      <c r="BT201" s="778"/>
    </row>
    <row r="202" spans="1:72" x14ac:dyDescent="0.25">
      <c r="A202" s="778" t="s">
        <v>614</v>
      </c>
      <c r="B202" s="778">
        <v>0.04</v>
      </c>
      <c r="C202" s="778">
        <v>0.17</v>
      </c>
      <c r="D202" s="778">
        <v>0.04</v>
      </c>
      <c r="E202" s="778">
        <v>0.09</v>
      </c>
      <c r="F202" s="778">
        <v>0.11</v>
      </c>
      <c r="G202" s="778">
        <v>0.13</v>
      </c>
      <c r="H202" s="778">
        <v>0.16</v>
      </c>
      <c r="I202" s="778">
        <v>0.18</v>
      </c>
      <c r="J202" s="778">
        <v>0.24</v>
      </c>
      <c r="K202" s="778">
        <v>2.65</v>
      </c>
      <c r="L202" s="778">
        <v>3.64</v>
      </c>
      <c r="M202" s="778">
        <v>4.71</v>
      </c>
      <c r="N202" s="778">
        <v>6.36</v>
      </c>
      <c r="O202" s="778">
        <v>8.6999999999999993</v>
      </c>
      <c r="P202" s="778">
        <v>11.96</v>
      </c>
      <c r="Q202" s="778">
        <v>22.18</v>
      </c>
      <c r="R202" s="778">
        <v>20.28</v>
      </c>
      <c r="S202" s="778">
        <v>19.329999999999998</v>
      </c>
      <c r="T202" s="778">
        <v>20.440000000000001</v>
      </c>
      <c r="U202" s="778">
        <v>23.52</v>
      </c>
      <c r="V202" s="778">
        <v>26.81</v>
      </c>
      <c r="W202" s="778">
        <v>29.72</v>
      </c>
      <c r="X202" s="778">
        <v>34.94</v>
      </c>
      <c r="Y202" s="778">
        <v>37.81</v>
      </c>
      <c r="Z202" s="778">
        <v>49.23</v>
      </c>
      <c r="AA202" s="778">
        <v>57.96</v>
      </c>
      <c r="AB202" s="778">
        <v>65.66</v>
      </c>
      <c r="AC202" s="778">
        <v>79.569999999999993</v>
      </c>
      <c r="AD202" s="778">
        <v>94.81</v>
      </c>
      <c r="AE202" s="814">
        <v>0.26500000000000001</v>
      </c>
      <c r="AF202" s="778"/>
      <c r="AG202" s="778"/>
      <c r="AH202" s="778"/>
      <c r="AI202" s="778"/>
      <c r="AJ202" s="778"/>
      <c r="AK202" s="778"/>
      <c r="AL202" s="778"/>
      <c r="AM202" s="778"/>
      <c r="AN202" s="778"/>
      <c r="AO202" s="778"/>
      <c r="AP202" s="778"/>
      <c r="AQ202" s="778"/>
      <c r="AR202" s="778"/>
      <c r="AS202" s="778"/>
      <c r="AT202" s="778"/>
      <c r="AU202" s="778"/>
      <c r="AV202" s="778"/>
      <c r="AW202" s="778"/>
      <c r="AX202" s="778"/>
      <c r="AY202" s="778"/>
      <c r="AZ202" s="778"/>
      <c r="BA202" s="778"/>
      <c r="BB202" s="778"/>
      <c r="BC202" s="778"/>
      <c r="BD202" s="778"/>
      <c r="BE202" s="778"/>
      <c r="BF202" s="778"/>
      <c r="BG202" s="778"/>
      <c r="BH202" s="778"/>
      <c r="BI202" s="778"/>
      <c r="BJ202" s="778"/>
      <c r="BK202" s="778"/>
      <c r="BL202" s="778"/>
      <c r="BM202" s="778"/>
      <c r="BN202" s="778"/>
      <c r="BO202" s="778"/>
      <c r="BP202" s="778"/>
      <c r="BQ202" s="778"/>
      <c r="BR202" s="778"/>
      <c r="BS202" s="778"/>
      <c r="BT202" s="778"/>
    </row>
    <row r="203" spans="1:72" x14ac:dyDescent="0.25">
      <c r="A203" s="778" t="s">
        <v>504</v>
      </c>
      <c r="B203" s="778">
        <v>1224</v>
      </c>
      <c r="C203" s="778">
        <v>1396.69</v>
      </c>
      <c r="D203" s="778">
        <v>1057.33</v>
      </c>
      <c r="E203" s="778">
        <v>1090.67</v>
      </c>
      <c r="F203" s="778">
        <v>1135.8699999999999</v>
      </c>
      <c r="G203" s="778">
        <v>1230.3800000000001</v>
      </c>
      <c r="H203" s="778">
        <v>1314.36</v>
      </c>
      <c r="I203" s="778">
        <v>1372.05</v>
      </c>
      <c r="J203" s="778">
        <v>1422.95</v>
      </c>
      <c r="K203" s="778">
        <v>1484.22</v>
      </c>
      <c r="L203" s="778">
        <v>1545.2</v>
      </c>
      <c r="M203" s="778">
        <v>1603.16</v>
      </c>
      <c r="N203" s="778">
        <v>1659.22</v>
      </c>
      <c r="O203" s="778">
        <v>1723.24</v>
      </c>
      <c r="P203" s="778">
        <v>1782.8</v>
      </c>
      <c r="Q203" s="778">
        <v>1849.44</v>
      </c>
      <c r="R203" s="778">
        <v>1915.09</v>
      </c>
      <c r="S203" s="778">
        <v>1977.22</v>
      </c>
      <c r="T203" s="778">
        <v>2046.94</v>
      </c>
      <c r="U203" s="778">
        <v>2122.3000000000002</v>
      </c>
      <c r="V203" s="778">
        <v>2203.0100000000002</v>
      </c>
      <c r="W203" s="778">
        <v>2290.46</v>
      </c>
      <c r="X203" s="778">
        <v>2383.6999999999998</v>
      </c>
      <c r="Y203" s="778">
        <v>2475.87</v>
      </c>
      <c r="Z203" s="778">
        <v>2580.73</v>
      </c>
      <c r="AA203" s="778">
        <v>2685.47</v>
      </c>
      <c r="AB203" s="778">
        <v>2786.79</v>
      </c>
      <c r="AC203" s="778">
        <v>2897.63</v>
      </c>
      <c r="AD203" s="778">
        <v>3014.53</v>
      </c>
      <c r="AE203" s="814">
        <v>2.9000000000000001E-2</v>
      </c>
      <c r="AF203" s="778"/>
      <c r="AG203" s="778"/>
      <c r="AH203" s="778"/>
      <c r="AI203" s="778"/>
      <c r="AJ203" s="778"/>
      <c r="AK203" s="778"/>
      <c r="AL203" s="778"/>
      <c r="AM203" s="778"/>
      <c r="AN203" s="778"/>
      <c r="AO203" s="778"/>
      <c r="AP203" s="778"/>
      <c r="AQ203" s="778"/>
      <c r="AR203" s="778"/>
      <c r="AS203" s="778"/>
      <c r="AT203" s="778"/>
      <c r="AU203" s="778"/>
      <c r="AV203" s="778"/>
      <c r="AW203" s="778"/>
      <c r="AX203" s="778"/>
      <c r="AY203" s="778"/>
      <c r="AZ203" s="778"/>
      <c r="BA203" s="778"/>
      <c r="BB203" s="778"/>
      <c r="BC203" s="778"/>
      <c r="BD203" s="778"/>
      <c r="BE203" s="778"/>
      <c r="BF203" s="778"/>
      <c r="BG203" s="778"/>
      <c r="BH203" s="778"/>
      <c r="BI203" s="778"/>
      <c r="BJ203" s="778"/>
      <c r="BK203" s="778"/>
      <c r="BL203" s="778"/>
      <c r="BM203" s="778"/>
      <c r="BN203" s="778"/>
      <c r="BO203" s="778"/>
      <c r="BP203" s="778"/>
      <c r="BQ203" s="778"/>
      <c r="BR203" s="778"/>
      <c r="BS203" s="778"/>
      <c r="BT203" s="778"/>
    </row>
    <row r="204" spans="1:72" x14ac:dyDescent="0.25">
      <c r="A204" s="778"/>
      <c r="B204" s="778"/>
      <c r="C204" s="778"/>
      <c r="D204" s="778"/>
      <c r="E204" s="778"/>
      <c r="F204" s="778"/>
      <c r="G204" s="778"/>
      <c r="H204" s="778"/>
      <c r="I204" s="778"/>
      <c r="J204" s="778"/>
      <c r="K204" s="778"/>
      <c r="L204" s="778"/>
      <c r="M204" s="778"/>
      <c r="N204" s="778"/>
      <c r="O204" s="778"/>
      <c r="P204" s="778"/>
      <c r="Q204" s="778"/>
      <c r="R204" s="778"/>
      <c r="S204" s="778"/>
      <c r="T204" s="778"/>
      <c r="U204" s="778"/>
      <c r="V204" s="778"/>
      <c r="W204" s="778"/>
      <c r="X204" s="778"/>
      <c r="Y204" s="778"/>
      <c r="Z204" s="778"/>
      <c r="AA204" s="778"/>
      <c r="AB204" s="778"/>
      <c r="AC204" s="778"/>
      <c r="AD204" s="778"/>
      <c r="AE204" s="778"/>
      <c r="AF204" s="778"/>
      <c r="AG204" s="778"/>
      <c r="AH204" s="778"/>
      <c r="AI204" s="778"/>
      <c r="AJ204" s="778"/>
      <c r="AK204" s="778"/>
      <c r="AL204" s="778"/>
      <c r="AM204" s="778"/>
      <c r="AN204" s="778"/>
      <c r="AO204" s="778"/>
      <c r="AP204" s="778"/>
      <c r="AQ204" s="778"/>
      <c r="AR204" s="778"/>
      <c r="AS204" s="778"/>
      <c r="AT204" s="778"/>
      <c r="AU204" s="778"/>
      <c r="AV204" s="778"/>
      <c r="AW204" s="778"/>
      <c r="AX204" s="778"/>
      <c r="AY204" s="778"/>
      <c r="AZ204" s="778"/>
      <c r="BA204" s="778"/>
      <c r="BB204" s="778"/>
      <c r="BC204" s="778"/>
      <c r="BD204" s="778"/>
      <c r="BE204" s="778"/>
      <c r="BF204" s="778"/>
      <c r="BG204" s="778"/>
      <c r="BH204" s="778"/>
      <c r="BI204" s="778"/>
      <c r="BJ204" s="778"/>
      <c r="BK204" s="778"/>
      <c r="BL204" s="778"/>
      <c r="BM204" s="778"/>
      <c r="BN204" s="778"/>
      <c r="BO204" s="778"/>
      <c r="BP204" s="778"/>
      <c r="BQ204" s="778"/>
      <c r="BR204" s="778"/>
      <c r="BS204" s="778"/>
      <c r="BT204" s="778"/>
    </row>
    <row r="205" spans="1:72" x14ac:dyDescent="0.25">
      <c r="A205" s="778"/>
      <c r="B205" s="778"/>
      <c r="C205" s="778"/>
      <c r="D205" s="778"/>
      <c r="E205" s="778"/>
      <c r="F205" s="778"/>
      <c r="G205" s="778"/>
      <c r="H205" s="778"/>
      <c r="I205" s="778"/>
      <c r="J205" s="778"/>
      <c r="K205" s="778"/>
      <c r="L205" s="778"/>
      <c r="M205" s="778"/>
      <c r="N205" s="778"/>
      <c r="O205" s="778"/>
      <c r="P205" s="778"/>
      <c r="Q205" s="778"/>
      <c r="R205" s="778"/>
      <c r="S205" s="778"/>
      <c r="T205" s="778"/>
      <c r="U205" s="778"/>
      <c r="V205" s="778"/>
      <c r="W205" s="778"/>
      <c r="X205" s="778"/>
      <c r="Y205" s="778"/>
      <c r="Z205" s="778"/>
      <c r="AA205" s="778"/>
      <c r="AB205" s="778"/>
      <c r="AC205" s="778"/>
      <c r="AD205" s="778"/>
      <c r="AE205" s="778"/>
      <c r="AF205" s="778"/>
      <c r="AG205" s="778"/>
      <c r="AH205" s="778"/>
      <c r="AI205" s="778"/>
      <c r="AJ205" s="778"/>
      <c r="AK205" s="778"/>
      <c r="AL205" s="778"/>
      <c r="AM205" s="778"/>
      <c r="AN205" s="778"/>
      <c r="AO205" s="778"/>
      <c r="AP205" s="778"/>
      <c r="AQ205" s="778"/>
      <c r="AR205" s="778"/>
      <c r="AS205" s="778"/>
      <c r="AT205" s="778"/>
      <c r="AU205" s="778"/>
      <c r="AV205" s="778"/>
      <c r="AW205" s="778"/>
      <c r="AX205" s="778"/>
      <c r="AY205" s="778"/>
      <c r="AZ205" s="778"/>
      <c r="BA205" s="778"/>
      <c r="BB205" s="778"/>
      <c r="BC205" s="778"/>
      <c r="BD205" s="778"/>
      <c r="BE205" s="778"/>
      <c r="BF205" s="778"/>
      <c r="BG205" s="778"/>
      <c r="BH205" s="778"/>
      <c r="BI205" s="778"/>
      <c r="BJ205" s="778"/>
      <c r="BK205" s="778"/>
      <c r="BL205" s="778"/>
      <c r="BM205" s="778"/>
      <c r="BN205" s="778"/>
      <c r="BO205" s="778"/>
      <c r="BP205" s="778"/>
      <c r="BQ205" s="778"/>
      <c r="BR205" s="778"/>
      <c r="BS205" s="778"/>
      <c r="BT205" s="778"/>
    </row>
    <row r="206" spans="1:72" x14ac:dyDescent="0.25">
      <c r="A206" s="778"/>
      <c r="B206" s="778"/>
      <c r="C206" s="778"/>
      <c r="D206" s="778"/>
      <c r="E206" s="778"/>
      <c r="F206" s="778"/>
      <c r="G206" s="778"/>
      <c r="H206" s="778"/>
      <c r="I206" s="778"/>
      <c r="J206" s="778"/>
      <c r="K206" s="778"/>
      <c r="L206" s="778"/>
      <c r="M206" s="778"/>
      <c r="N206" s="778"/>
      <c r="O206" s="778"/>
      <c r="P206" s="778"/>
      <c r="Q206" s="778"/>
      <c r="R206" s="778"/>
      <c r="S206" s="778"/>
      <c r="T206" s="778"/>
      <c r="U206" s="778"/>
      <c r="V206" s="778"/>
      <c r="W206" s="778"/>
      <c r="X206" s="778"/>
      <c r="Y206" s="778"/>
      <c r="Z206" s="778"/>
      <c r="AA206" s="778"/>
      <c r="AB206" s="778"/>
      <c r="AC206" s="778"/>
      <c r="AD206" s="778"/>
      <c r="AE206" s="778"/>
      <c r="AF206" s="778"/>
      <c r="AG206" s="778"/>
      <c r="AH206" s="778"/>
      <c r="AI206" s="778"/>
      <c r="AJ206" s="778"/>
      <c r="AK206" s="778"/>
      <c r="AL206" s="778"/>
      <c r="AM206" s="778"/>
      <c r="AN206" s="778"/>
      <c r="AO206" s="778"/>
      <c r="AP206" s="778"/>
      <c r="AQ206" s="778"/>
      <c r="AR206" s="778"/>
      <c r="AS206" s="778"/>
      <c r="AT206" s="778"/>
      <c r="AU206" s="778"/>
      <c r="AV206" s="778"/>
      <c r="AW206" s="778"/>
      <c r="AX206" s="778"/>
      <c r="AY206" s="778"/>
      <c r="AZ206" s="778"/>
      <c r="BA206" s="778"/>
      <c r="BB206" s="778"/>
      <c r="BC206" s="778"/>
      <c r="BD206" s="778"/>
      <c r="BE206" s="778"/>
      <c r="BF206" s="778"/>
      <c r="BG206" s="778"/>
      <c r="BH206" s="778"/>
      <c r="BI206" s="778"/>
      <c r="BJ206" s="778"/>
      <c r="BK206" s="778"/>
      <c r="BL206" s="778"/>
      <c r="BM206" s="778"/>
      <c r="BN206" s="778"/>
      <c r="BO206" s="778"/>
      <c r="BP206" s="778"/>
      <c r="BQ206" s="778"/>
      <c r="BR206" s="778"/>
      <c r="BS206" s="778"/>
      <c r="BT206" s="778"/>
    </row>
    <row r="207" spans="1:72" x14ac:dyDescent="0.25">
      <c r="A207" s="778" t="s">
        <v>615</v>
      </c>
      <c r="B207" s="778"/>
      <c r="C207" s="778"/>
      <c r="D207" s="778"/>
      <c r="E207" s="778"/>
      <c r="F207" s="778"/>
      <c r="G207" s="778"/>
      <c r="H207" s="778"/>
      <c r="I207" s="778"/>
      <c r="J207" s="778"/>
      <c r="K207" s="778"/>
      <c r="L207" s="778"/>
      <c r="M207" s="778"/>
      <c r="N207" s="778"/>
      <c r="O207" s="778"/>
      <c r="P207" s="778"/>
      <c r="Q207" s="778"/>
      <c r="R207" s="778"/>
      <c r="S207" s="778"/>
      <c r="T207" s="778"/>
      <c r="U207" s="778"/>
      <c r="V207" s="778"/>
      <c r="W207" s="778"/>
      <c r="X207" s="778"/>
      <c r="Y207" s="778"/>
      <c r="Z207" s="778"/>
      <c r="AA207" s="778"/>
      <c r="AB207" s="778"/>
      <c r="AC207" s="778"/>
      <c r="AD207" s="778"/>
      <c r="AE207" s="778"/>
      <c r="AF207" s="778"/>
      <c r="AG207" s="778"/>
      <c r="AH207" s="778"/>
      <c r="AI207" s="778"/>
      <c r="AJ207" s="778"/>
      <c r="AK207" s="778"/>
      <c r="AL207" s="778"/>
      <c r="AM207" s="778"/>
      <c r="AN207" s="778"/>
      <c r="AO207" s="778"/>
      <c r="AP207" s="778"/>
      <c r="AQ207" s="778"/>
      <c r="AR207" s="778"/>
      <c r="AS207" s="778"/>
      <c r="AT207" s="778"/>
      <c r="AU207" s="778"/>
      <c r="AV207" s="778"/>
      <c r="AW207" s="778"/>
      <c r="AX207" s="778"/>
      <c r="AY207" s="778"/>
      <c r="AZ207" s="778"/>
      <c r="BA207" s="778"/>
      <c r="BB207" s="778"/>
      <c r="BC207" s="778"/>
      <c r="BD207" s="778"/>
      <c r="BE207" s="778"/>
      <c r="BF207" s="778"/>
      <c r="BG207" s="778"/>
      <c r="BH207" s="778"/>
      <c r="BI207" s="778"/>
      <c r="BJ207" s="778"/>
      <c r="BK207" s="778"/>
      <c r="BL207" s="778"/>
      <c r="BM207" s="778"/>
      <c r="BN207" s="778"/>
      <c r="BO207" s="778"/>
      <c r="BP207" s="778"/>
      <c r="BQ207" s="778"/>
      <c r="BR207" s="778"/>
      <c r="BS207" s="778"/>
      <c r="BT207" s="778"/>
    </row>
    <row r="208" spans="1:72" x14ac:dyDescent="0.25">
      <c r="A208" s="778" t="s">
        <v>616</v>
      </c>
      <c r="B208" s="778"/>
      <c r="C208" s="778"/>
      <c r="D208" s="778"/>
      <c r="E208" s="778"/>
      <c r="F208" s="778"/>
      <c r="G208" s="778"/>
      <c r="H208" s="778"/>
      <c r="I208" s="778"/>
      <c r="J208" s="778"/>
      <c r="K208" s="778"/>
      <c r="L208" s="778"/>
      <c r="M208" s="778"/>
      <c r="N208" s="778"/>
      <c r="O208" s="778"/>
      <c r="P208" s="778"/>
      <c r="Q208" s="778"/>
      <c r="R208" s="778"/>
      <c r="S208" s="778"/>
      <c r="T208" s="778"/>
      <c r="U208" s="778"/>
      <c r="V208" s="778"/>
      <c r="W208" s="778"/>
      <c r="X208" s="778"/>
      <c r="Y208" s="778"/>
      <c r="Z208" s="778"/>
      <c r="AA208" s="778"/>
      <c r="AB208" s="778"/>
      <c r="AC208" s="778"/>
      <c r="AD208" s="778"/>
      <c r="AE208" s="778"/>
      <c r="AF208" s="778"/>
      <c r="AG208" s="778"/>
      <c r="AH208" s="778"/>
      <c r="AI208" s="778"/>
      <c r="AJ208" s="778"/>
      <c r="AK208" s="778"/>
      <c r="AL208" s="778"/>
      <c r="AM208" s="778"/>
      <c r="AN208" s="778"/>
      <c r="AO208" s="778"/>
      <c r="AP208" s="778"/>
      <c r="AQ208" s="778"/>
      <c r="AR208" s="778"/>
      <c r="AS208" s="778"/>
      <c r="AT208" s="778"/>
      <c r="AU208" s="778"/>
      <c r="AV208" s="778"/>
      <c r="AW208" s="778"/>
      <c r="AX208" s="778"/>
      <c r="AY208" s="778"/>
      <c r="AZ208" s="778"/>
      <c r="BA208" s="778"/>
      <c r="BB208" s="778"/>
      <c r="BC208" s="778"/>
      <c r="BD208" s="778"/>
      <c r="BE208" s="778"/>
      <c r="BF208" s="778"/>
      <c r="BG208" s="778"/>
      <c r="BH208" s="778"/>
      <c r="BI208" s="778"/>
      <c r="BJ208" s="778"/>
      <c r="BK208" s="778"/>
      <c r="BL208" s="778"/>
      <c r="BM208" s="778"/>
      <c r="BN208" s="778"/>
      <c r="BO208" s="778"/>
      <c r="BP208" s="778"/>
      <c r="BQ208" s="778"/>
      <c r="BR208" s="778"/>
      <c r="BS208" s="778"/>
      <c r="BT208" s="778"/>
    </row>
    <row r="209" spans="1:72" x14ac:dyDescent="0.25">
      <c r="A209" s="778" t="s">
        <v>617</v>
      </c>
      <c r="B209" s="778"/>
      <c r="C209" s="778"/>
      <c r="D209" s="778"/>
      <c r="E209" s="778"/>
      <c r="F209" s="778"/>
      <c r="G209" s="778"/>
      <c r="H209" s="778"/>
      <c r="I209" s="778"/>
      <c r="J209" s="778"/>
      <c r="K209" s="778"/>
      <c r="L209" s="778"/>
      <c r="M209" s="778"/>
      <c r="N209" s="778"/>
      <c r="O209" s="778"/>
      <c r="P209" s="778"/>
      <c r="Q209" s="778"/>
      <c r="R209" s="778"/>
      <c r="S209" s="778"/>
      <c r="T209" s="778"/>
      <c r="U209" s="778"/>
      <c r="V209" s="778"/>
      <c r="W209" s="778"/>
      <c r="X209" s="778"/>
      <c r="Y209" s="778"/>
      <c r="Z209" s="778"/>
      <c r="AA209" s="778"/>
      <c r="AB209" s="778"/>
      <c r="AC209" s="778"/>
      <c r="AD209" s="778"/>
      <c r="AE209" s="778"/>
      <c r="AF209" s="778"/>
      <c r="AG209" s="778"/>
      <c r="AH209" s="778"/>
      <c r="AI209" s="778"/>
      <c r="AJ209" s="778"/>
      <c r="AK209" s="778"/>
      <c r="AL209" s="778"/>
      <c r="AM209" s="778"/>
      <c r="AN209" s="778"/>
      <c r="AO209" s="778"/>
      <c r="AP209" s="778"/>
      <c r="AQ209" s="778"/>
      <c r="AR209" s="778"/>
      <c r="AS209" s="778"/>
      <c r="AT209" s="778"/>
      <c r="AU209" s="778"/>
      <c r="AV209" s="778"/>
      <c r="AW209" s="778"/>
      <c r="AX209" s="778"/>
      <c r="AY209" s="778"/>
      <c r="AZ209" s="778"/>
      <c r="BA209" s="778"/>
      <c r="BB209" s="778"/>
      <c r="BC209" s="778"/>
      <c r="BD209" s="778"/>
      <c r="BE209" s="778"/>
      <c r="BF209" s="778"/>
      <c r="BG209" s="778"/>
      <c r="BH209" s="778"/>
      <c r="BI209" s="778"/>
      <c r="BJ209" s="778"/>
      <c r="BK209" s="778"/>
      <c r="BL209" s="778"/>
      <c r="BM209" s="778"/>
      <c r="BN209" s="778"/>
      <c r="BO209" s="778"/>
      <c r="BP209" s="778"/>
      <c r="BQ209" s="778"/>
      <c r="BR209" s="778"/>
      <c r="BS209" s="778"/>
      <c r="BT209" s="778"/>
    </row>
    <row r="210" spans="1:72" x14ac:dyDescent="0.25">
      <c r="A210" s="778" t="s">
        <v>775</v>
      </c>
      <c r="B210" s="778"/>
      <c r="C210" s="778"/>
      <c r="D210" s="778"/>
      <c r="E210" s="778"/>
      <c r="F210" s="778"/>
      <c r="G210" s="778"/>
      <c r="H210" s="778"/>
      <c r="I210" s="778"/>
      <c r="J210" s="778"/>
      <c r="K210" s="778"/>
      <c r="L210" s="778"/>
      <c r="M210" s="778"/>
      <c r="N210" s="778"/>
      <c r="O210" s="778"/>
      <c r="P210" s="778"/>
      <c r="Q210" s="778"/>
      <c r="R210" s="778"/>
      <c r="S210" s="778"/>
      <c r="T210" s="778"/>
      <c r="U210" s="778"/>
      <c r="V210" s="778"/>
      <c r="W210" s="778"/>
      <c r="X210" s="778"/>
      <c r="Y210" s="778"/>
      <c r="Z210" s="778"/>
      <c r="AA210" s="778"/>
      <c r="AB210" s="778"/>
      <c r="AC210" s="778"/>
      <c r="AD210" s="778"/>
      <c r="AE210" s="778"/>
      <c r="AF210" s="778"/>
      <c r="AG210" s="778"/>
      <c r="AH210" s="778"/>
      <c r="AI210" s="778"/>
      <c r="AJ210" s="778"/>
      <c r="AK210" s="778"/>
      <c r="AL210" s="778"/>
      <c r="AM210" s="778"/>
      <c r="AN210" s="778"/>
      <c r="AO210" s="778"/>
      <c r="AP210" s="778"/>
      <c r="AQ210" s="778"/>
      <c r="AR210" s="778"/>
      <c r="AS210" s="778"/>
      <c r="AT210" s="778"/>
      <c r="AU210" s="778"/>
      <c r="AV210" s="778"/>
      <c r="AW210" s="778"/>
      <c r="AX210" s="778"/>
      <c r="AY210" s="778"/>
      <c r="AZ210" s="778"/>
      <c r="BA210" s="778"/>
      <c r="BB210" s="778"/>
      <c r="BC210" s="778"/>
      <c r="BD210" s="778"/>
      <c r="BE210" s="778"/>
      <c r="BF210" s="778"/>
      <c r="BG210" s="778"/>
      <c r="BH210" s="778"/>
      <c r="BI210" s="778"/>
      <c r="BJ210" s="778"/>
      <c r="BK210" s="778"/>
      <c r="BL210" s="778"/>
      <c r="BM210" s="778"/>
      <c r="BN210" s="778"/>
      <c r="BO210" s="778"/>
      <c r="BP210" s="778"/>
      <c r="BQ210" s="778"/>
      <c r="BR210" s="778"/>
      <c r="BS210" s="778"/>
      <c r="BT210" s="778"/>
    </row>
    <row r="211" spans="1:72" x14ac:dyDescent="0.25">
      <c r="A211" s="778" t="s">
        <v>776</v>
      </c>
      <c r="B211" s="778"/>
      <c r="C211" s="778"/>
      <c r="D211" s="778"/>
      <c r="E211" s="778"/>
      <c r="F211" s="778"/>
      <c r="G211" s="778"/>
      <c r="H211" s="778"/>
      <c r="I211" s="778"/>
      <c r="J211" s="778"/>
      <c r="K211" s="778"/>
      <c r="L211" s="778"/>
      <c r="M211" s="778"/>
      <c r="N211" s="778"/>
      <c r="O211" s="778"/>
      <c r="P211" s="778"/>
      <c r="Q211" s="778"/>
      <c r="R211" s="778"/>
      <c r="S211" s="778"/>
      <c r="T211" s="778"/>
      <c r="U211" s="778"/>
      <c r="V211" s="778"/>
      <c r="W211" s="778"/>
      <c r="X211" s="778"/>
      <c r="Y211" s="778"/>
      <c r="Z211" s="778"/>
      <c r="AA211" s="778"/>
      <c r="AB211" s="778"/>
      <c r="AC211" s="778"/>
      <c r="AD211" s="778"/>
      <c r="AE211" s="778"/>
      <c r="AF211" s="778"/>
      <c r="AG211" s="778"/>
      <c r="AH211" s="778"/>
      <c r="AI211" s="778"/>
      <c r="AJ211" s="778"/>
      <c r="AK211" s="778"/>
      <c r="AL211" s="778"/>
      <c r="AM211" s="778"/>
      <c r="AN211" s="778"/>
      <c r="AO211" s="778"/>
      <c r="AP211" s="778"/>
      <c r="AQ211" s="778"/>
      <c r="AR211" s="778"/>
      <c r="AS211" s="778"/>
      <c r="AT211" s="778"/>
      <c r="AU211" s="778"/>
      <c r="AV211" s="778"/>
      <c r="AW211" s="778"/>
      <c r="AX211" s="778"/>
      <c r="AY211" s="778"/>
      <c r="AZ211" s="778"/>
      <c r="BA211" s="778"/>
      <c r="BB211" s="778"/>
      <c r="BC211" s="778"/>
      <c r="BD211" s="778"/>
      <c r="BE211" s="778"/>
      <c r="BF211" s="778"/>
      <c r="BG211" s="778"/>
      <c r="BH211" s="778"/>
      <c r="BI211" s="778"/>
      <c r="BJ211" s="778"/>
      <c r="BK211" s="778"/>
      <c r="BL211" s="778"/>
      <c r="BM211" s="778"/>
      <c r="BN211" s="778"/>
      <c r="BO211" s="778"/>
      <c r="BP211" s="778"/>
      <c r="BQ211" s="778"/>
      <c r="BR211" s="778"/>
      <c r="BS211" s="778"/>
      <c r="BT211" s="778"/>
    </row>
    <row r="212" spans="1:72" x14ac:dyDescent="0.25">
      <c r="A212" s="778" t="s">
        <v>634</v>
      </c>
      <c r="B212" s="778"/>
      <c r="C212" s="778"/>
      <c r="D212" s="778"/>
      <c r="E212" s="778"/>
      <c r="F212" s="778"/>
      <c r="G212" s="778"/>
      <c r="H212" s="778"/>
      <c r="I212" s="778"/>
      <c r="J212" s="778"/>
      <c r="K212" s="778"/>
      <c r="L212" s="778"/>
      <c r="M212" s="778"/>
      <c r="N212" s="778"/>
      <c r="O212" s="778"/>
      <c r="P212" s="778"/>
      <c r="Q212" s="778"/>
      <c r="R212" s="778"/>
      <c r="S212" s="778"/>
      <c r="T212" s="778"/>
      <c r="U212" s="778"/>
      <c r="V212" s="778"/>
      <c r="W212" s="778"/>
      <c r="X212" s="778"/>
      <c r="Y212" s="778"/>
      <c r="Z212" s="778"/>
      <c r="AA212" s="778"/>
      <c r="AB212" s="778"/>
      <c r="AC212" s="778"/>
      <c r="AD212" s="778"/>
      <c r="AE212" s="778"/>
      <c r="AF212" s="778"/>
      <c r="AG212" s="778"/>
      <c r="AH212" s="778"/>
      <c r="AI212" s="778"/>
      <c r="AJ212" s="778"/>
      <c r="AK212" s="778"/>
      <c r="AL212" s="778"/>
      <c r="AM212" s="778"/>
      <c r="AN212" s="778"/>
      <c r="AO212" s="778"/>
      <c r="AP212" s="778"/>
      <c r="AQ212" s="778"/>
      <c r="AR212" s="778"/>
      <c r="AS212" s="778"/>
      <c r="AT212" s="778"/>
      <c r="AU212" s="778"/>
      <c r="AV212" s="778"/>
      <c r="AW212" s="778"/>
      <c r="AX212" s="778"/>
      <c r="AY212" s="778"/>
      <c r="AZ212" s="778"/>
      <c r="BA212" s="778"/>
      <c r="BB212" s="778"/>
      <c r="BC212" s="778"/>
      <c r="BD212" s="778"/>
      <c r="BE212" s="778"/>
      <c r="BF212" s="778"/>
      <c r="BG212" s="778"/>
      <c r="BH212" s="778"/>
      <c r="BI212" s="778"/>
      <c r="BJ212" s="778"/>
      <c r="BK212" s="778"/>
      <c r="BL212" s="778"/>
      <c r="BM212" s="778"/>
      <c r="BN212" s="778"/>
      <c r="BO212" s="778"/>
      <c r="BP212" s="778"/>
      <c r="BQ212" s="778"/>
      <c r="BR212" s="778"/>
      <c r="BS212" s="778"/>
      <c r="BT212" s="778"/>
    </row>
    <row r="213" spans="1:72" x14ac:dyDescent="0.25">
      <c r="A213" s="778" t="s">
        <v>635</v>
      </c>
      <c r="B213" s="778"/>
      <c r="C213" s="778"/>
      <c r="D213" s="778"/>
      <c r="E213" s="778"/>
      <c r="F213" s="778"/>
      <c r="G213" s="778"/>
      <c r="H213" s="778"/>
      <c r="I213" s="778"/>
      <c r="J213" s="778"/>
      <c r="K213" s="778"/>
      <c r="L213" s="778"/>
      <c r="M213" s="778"/>
      <c r="N213" s="778"/>
      <c r="O213" s="778"/>
      <c r="P213" s="778"/>
      <c r="Q213" s="778"/>
      <c r="R213" s="778"/>
      <c r="S213" s="778"/>
      <c r="T213" s="778"/>
      <c r="U213" s="778"/>
      <c r="V213" s="778"/>
      <c r="W213" s="778"/>
      <c r="X213" s="778"/>
      <c r="Y213" s="778"/>
      <c r="Z213" s="778"/>
      <c r="AA213" s="778"/>
      <c r="AB213" s="778"/>
      <c r="AC213" s="778"/>
      <c r="AD213" s="778"/>
      <c r="AE213" s="778"/>
      <c r="AF213" s="778"/>
      <c r="AG213" s="778"/>
      <c r="AH213" s="778"/>
      <c r="AI213" s="778"/>
      <c r="AJ213" s="778"/>
      <c r="AK213" s="778"/>
      <c r="AL213" s="778"/>
      <c r="AM213" s="778"/>
      <c r="AN213" s="778"/>
      <c r="AO213" s="778"/>
      <c r="AP213" s="778"/>
      <c r="AQ213" s="778"/>
      <c r="AR213" s="778"/>
      <c r="AS213" s="778"/>
      <c r="AT213" s="778"/>
      <c r="AU213" s="778"/>
      <c r="AV213" s="778"/>
      <c r="AW213" s="778"/>
      <c r="AX213" s="778"/>
      <c r="AY213" s="778"/>
      <c r="AZ213" s="778"/>
      <c r="BA213" s="778"/>
      <c r="BB213" s="778"/>
      <c r="BC213" s="778"/>
      <c r="BD213" s="778"/>
      <c r="BE213" s="778"/>
      <c r="BF213" s="778"/>
      <c r="BG213" s="778"/>
      <c r="BH213" s="778"/>
      <c r="BI213" s="778"/>
      <c r="BJ213" s="778"/>
      <c r="BK213" s="778"/>
      <c r="BL213" s="778"/>
      <c r="BM213" s="778"/>
      <c r="BN213" s="778"/>
      <c r="BO213" s="778"/>
      <c r="BP213" s="778"/>
      <c r="BQ213" s="778"/>
      <c r="BR213" s="778"/>
      <c r="BS213" s="778"/>
      <c r="BT213" s="778"/>
    </row>
    <row r="214" spans="1:72" x14ac:dyDescent="0.25">
      <c r="A214" s="778" t="s">
        <v>636</v>
      </c>
      <c r="B214" s="778"/>
      <c r="C214" s="778"/>
      <c r="D214" s="778"/>
      <c r="E214" s="778"/>
      <c r="F214" s="778"/>
      <c r="G214" s="778"/>
      <c r="H214" s="778"/>
      <c r="I214" s="778"/>
      <c r="J214" s="778"/>
      <c r="K214" s="778"/>
      <c r="L214" s="778"/>
      <c r="M214" s="778"/>
      <c r="N214" s="778"/>
      <c r="O214" s="778"/>
      <c r="P214" s="778"/>
      <c r="Q214" s="778"/>
      <c r="R214" s="778"/>
      <c r="S214" s="778"/>
      <c r="T214" s="778"/>
      <c r="U214" s="778"/>
      <c r="V214" s="778"/>
      <c r="W214" s="778"/>
      <c r="X214" s="778"/>
      <c r="Y214" s="778"/>
      <c r="Z214" s="778"/>
      <c r="AA214" s="778"/>
      <c r="AB214" s="778"/>
      <c r="AC214" s="778"/>
      <c r="AD214" s="778"/>
      <c r="AE214" s="778"/>
      <c r="AF214" s="778"/>
      <c r="AG214" s="778"/>
      <c r="AH214" s="778"/>
      <c r="AI214" s="778"/>
      <c r="AJ214" s="778"/>
      <c r="AK214" s="778"/>
      <c r="AL214" s="778"/>
      <c r="AM214" s="778"/>
      <c r="AN214" s="778"/>
      <c r="AO214" s="778"/>
      <c r="AP214" s="778"/>
      <c r="AQ214" s="778"/>
      <c r="AR214" s="778"/>
      <c r="AS214" s="778"/>
      <c r="AT214" s="778"/>
      <c r="AU214" s="778"/>
      <c r="AV214" s="778"/>
      <c r="AW214" s="778"/>
      <c r="AX214" s="778"/>
      <c r="AY214" s="778"/>
      <c r="AZ214" s="778"/>
      <c r="BA214" s="778"/>
      <c r="BB214" s="778"/>
      <c r="BC214" s="778"/>
      <c r="BD214" s="778"/>
      <c r="BE214" s="778"/>
      <c r="BF214" s="778"/>
      <c r="BG214" s="778"/>
      <c r="BH214" s="778"/>
      <c r="BI214" s="778"/>
      <c r="BJ214" s="778"/>
      <c r="BK214" s="778"/>
      <c r="BL214" s="778"/>
      <c r="BM214" s="778"/>
      <c r="BN214" s="778"/>
      <c r="BO214" s="778"/>
      <c r="BP214" s="778"/>
      <c r="BQ214" s="778"/>
      <c r="BR214" s="778"/>
      <c r="BS214" s="778"/>
      <c r="BT214" s="778"/>
    </row>
    <row r="215" spans="1:72" x14ac:dyDescent="0.25">
      <c r="A215" s="778" t="s">
        <v>637</v>
      </c>
      <c r="B215" s="778"/>
      <c r="C215" s="778"/>
      <c r="D215" s="778"/>
      <c r="E215" s="778"/>
      <c r="F215" s="778"/>
      <c r="G215" s="778"/>
      <c r="H215" s="778"/>
      <c r="I215" s="778"/>
      <c r="J215" s="778"/>
      <c r="K215" s="778"/>
      <c r="L215" s="778"/>
      <c r="M215" s="778"/>
      <c r="N215" s="778"/>
      <c r="O215" s="778"/>
      <c r="P215" s="778"/>
      <c r="Q215" s="778"/>
      <c r="R215" s="778"/>
      <c r="S215" s="778"/>
      <c r="T215" s="778"/>
      <c r="U215" s="778"/>
      <c r="V215" s="778"/>
      <c r="W215" s="778"/>
      <c r="X215" s="778"/>
      <c r="Y215" s="778"/>
      <c r="Z215" s="778"/>
      <c r="AA215" s="778"/>
      <c r="AB215" s="778"/>
      <c r="AC215" s="778"/>
      <c r="AD215" s="778"/>
      <c r="AE215" s="778"/>
      <c r="AF215" s="778"/>
      <c r="AG215" s="778"/>
      <c r="AH215" s="778"/>
      <c r="AI215" s="778"/>
      <c r="AJ215" s="778"/>
      <c r="AK215" s="778"/>
      <c r="AL215" s="778"/>
      <c r="AM215" s="778"/>
      <c r="AN215" s="778"/>
      <c r="AO215" s="778"/>
      <c r="AP215" s="778"/>
      <c r="AQ215" s="778"/>
      <c r="AR215" s="778"/>
      <c r="AS215" s="778"/>
      <c r="AT215" s="778"/>
      <c r="AU215" s="778"/>
      <c r="AV215" s="778"/>
      <c r="AW215" s="778"/>
      <c r="AX215" s="778"/>
      <c r="AY215" s="778"/>
      <c r="AZ215" s="778"/>
      <c r="BA215" s="778"/>
      <c r="BB215" s="778"/>
      <c r="BC215" s="778"/>
      <c r="BD215" s="778"/>
      <c r="BE215" s="778"/>
      <c r="BF215" s="778"/>
      <c r="BG215" s="778"/>
      <c r="BH215" s="778"/>
      <c r="BI215" s="778"/>
      <c r="BJ215" s="778"/>
      <c r="BK215" s="778"/>
      <c r="BL215" s="778"/>
      <c r="BM215" s="778"/>
      <c r="BN215" s="778"/>
      <c r="BO215" s="778"/>
      <c r="BP215" s="778"/>
      <c r="BQ215" s="778"/>
      <c r="BR215" s="778"/>
      <c r="BS215" s="778"/>
      <c r="BT215" s="778"/>
    </row>
    <row r="216" spans="1:72" x14ac:dyDescent="0.25">
      <c r="A216" s="778" t="s">
        <v>638</v>
      </c>
      <c r="B216" s="778"/>
      <c r="C216" s="778"/>
      <c r="D216" s="778"/>
      <c r="E216" s="778"/>
      <c r="F216" s="778"/>
      <c r="G216" s="778"/>
      <c r="H216" s="778"/>
      <c r="I216" s="778"/>
      <c r="J216" s="778"/>
      <c r="K216" s="778"/>
      <c r="L216" s="778"/>
      <c r="M216" s="778"/>
      <c r="N216" s="778"/>
      <c r="O216" s="778"/>
      <c r="P216" s="778"/>
      <c r="Q216" s="778"/>
      <c r="R216" s="778"/>
      <c r="S216" s="778"/>
      <c r="T216" s="778"/>
      <c r="U216" s="778"/>
      <c r="V216" s="778"/>
      <c r="W216" s="778"/>
      <c r="X216" s="778"/>
      <c r="Y216" s="778"/>
      <c r="Z216" s="778"/>
      <c r="AA216" s="778"/>
      <c r="AB216" s="778"/>
      <c r="AC216" s="778"/>
      <c r="AD216" s="778"/>
      <c r="AE216" s="778"/>
      <c r="AF216" s="778"/>
      <c r="AG216" s="778"/>
      <c r="AH216" s="778"/>
      <c r="AI216" s="778"/>
      <c r="AJ216" s="778"/>
      <c r="AK216" s="778"/>
      <c r="AL216" s="778"/>
      <c r="AM216" s="778"/>
      <c r="AN216" s="778"/>
      <c r="AO216" s="778"/>
      <c r="AP216" s="778"/>
      <c r="AQ216" s="778"/>
      <c r="AR216" s="778"/>
      <c r="AS216" s="778"/>
      <c r="AT216" s="778"/>
      <c r="AU216" s="778"/>
      <c r="AV216" s="778"/>
      <c r="AW216" s="778"/>
      <c r="AX216" s="778"/>
      <c r="AY216" s="778"/>
      <c r="AZ216" s="778"/>
      <c r="BA216" s="778"/>
      <c r="BB216" s="778"/>
      <c r="BC216" s="778"/>
      <c r="BD216" s="778"/>
      <c r="BE216" s="778"/>
      <c r="BF216" s="778"/>
      <c r="BG216" s="778"/>
      <c r="BH216" s="778"/>
      <c r="BI216" s="778"/>
      <c r="BJ216" s="778"/>
      <c r="BK216" s="778"/>
      <c r="BL216" s="778"/>
      <c r="BM216" s="778"/>
      <c r="BN216" s="778"/>
      <c r="BO216" s="778"/>
      <c r="BP216" s="778"/>
      <c r="BQ216" s="778"/>
      <c r="BR216" s="778"/>
      <c r="BS216" s="778"/>
      <c r="BT216" s="778"/>
    </row>
    <row r="217" spans="1:72" x14ac:dyDescent="0.25">
      <c r="A217" s="778" t="s">
        <v>639</v>
      </c>
      <c r="B217" s="778"/>
      <c r="C217" s="778"/>
      <c r="D217" s="778"/>
      <c r="E217" s="778"/>
      <c r="F217" s="778"/>
      <c r="G217" s="778"/>
      <c r="H217" s="778"/>
      <c r="I217" s="778"/>
      <c r="J217" s="778"/>
      <c r="K217" s="778"/>
      <c r="L217" s="778"/>
      <c r="M217" s="778"/>
      <c r="N217" s="778"/>
      <c r="O217" s="778"/>
      <c r="P217" s="778"/>
      <c r="Q217" s="778"/>
      <c r="R217" s="778"/>
      <c r="S217" s="778"/>
      <c r="T217" s="778"/>
      <c r="U217" s="778"/>
      <c r="V217" s="778"/>
      <c r="W217" s="778"/>
      <c r="X217" s="778"/>
      <c r="Y217" s="778"/>
      <c r="Z217" s="778"/>
      <c r="AA217" s="778"/>
      <c r="AB217" s="778"/>
      <c r="AC217" s="778"/>
      <c r="AD217" s="778"/>
      <c r="AE217" s="778"/>
      <c r="AF217" s="778"/>
      <c r="AG217" s="778"/>
      <c r="AH217" s="778"/>
      <c r="AI217" s="778"/>
      <c r="AJ217" s="778"/>
      <c r="AK217" s="778"/>
      <c r="AL217" s="778"/>
      <c r="AM217" s="778"/>
      <c r="AN217" s="778"/>
      <c r="AO217" s="778"/>
      <c r="AP217" s="778"/>
      <c r="AQ217" s="778"/>
      <c r="AR217" s="778"/>
      <c r="AS217" s="778"/>
      <c r="AT217" s="778"/>
      <c r="AU217" s="778"/>
      <c r="AV217" s="778"/>
      <c r="AW217" s="778"/>
      <c r="AX217" s="778"/>
      <c r="AY217" s="778"/>
      <c r="AZ217" s="778"/>
      <c r="BA217" s="778"/>
      <c r="BB217" s="778"/>
      <c r="BC217" s="778"/>
      <c r="BD217" s="778"/>
      <c r="BE217" s="778"/>
      <c r="BF217" s="778"/>
      <c r="BG217" s="778"/>
      <c r="BH217" s="778"/>
      <c r="BI217" s="778"/>
      <c r="BJ217" s="778"/>
      <c r="BK217" s="778"/>
      <c r="BL217" s="778"/>
      <c r="BM217" s="778"/>
      <c r="BN217" s="778"/>
      <c r="BO217" s="778"/>
      <c r="BP217" s="778"/>
      <c r="BQ217" s="778"/>
      <c r="BR217" s="778"/>
      <c r="BS217" s="778"/>
      <c r="BT217" s="778"/>
    </row>
    <row r="218" spans="1:72" x14ac:dyDescent="0.25">
      <c r="A218" s="778" t="s">
        <v>531</v>
      </c>
      <c r="B218" s="778"/>
      <c r="C218" s="778"/>
      <c r="D218" s="778"/>
      <c r="E218" s="778"/>
      <c r="F218" s="778"/>
      <c r="G218" s="778"/>
      <c r="H218" s="778"/>
      <c r="I218" s="778"/>
      <c r="J218" s="778"/>
      <c r="K218" s="778"/>
      <c r="L218" s="778"/>
      <c r="M218" s="778"/>
      <c r="N218" s="778"/>
      <c r="O218" s="778"/>
      <c r="P218" s="778"/>
      <c r="Q218" s="778"/>
      <c r="R218" s="778"/>
      <c r="S218" s="778"/>
      <c r="T218" s="778"/>
      <c r="U218" s="778"/>
      <c r="V218" s="778"/>
      <c r="W218" s="778"/>
      <c r="X218" s="778"/>
      <c r="Y218" s="778"/>
      <c r="Z218" s="778"/>
      <c r="AA218" s="778"/>
      <c r="AB218" s="778"/>
      <c r="AC218" s="778"/>
      <c r="AD218" s="778"/>
      <c r="AE218" s="778"/>
      <c r="AF218" s="778"/>
      <c r="AG218" s="778"/>
      <c r="AH218" s="778"/>
      <c r="AI218" s="778"/>
      <c r="AJ218" s="778"/>
      <c r="AK218" s="778"/>
      <c r="AL218" s="778"/>
      <c r="AM218" s="778"/>
      <c r="AN218" s="778"/>
      <c r="AO218" s="778"/>
      <c r="AP218" s="778"/>
      <c r="AQ218" s="778"/>
      <c r="AR218" s="778"/>
      <c r="AS218" s="778"/>
      <c r="AT218" s="778"/>
      <c r="AU218" s="778"/>
      <c r="AV218" s="778"/>
      <c r="AW218" s="778"/>
      <c r="AX218" s="778"/>
      <c r="AY218" s="778"/>
      <c r="AZ218" s="778"/>
      <c r="BA218" s="778"/>
      <c r="BB218" s="778"/>
      <c r="BC218" s="778"/>
      <c r="BD218" s="778"/>
      <c r="BE218" s="778"/>
      <c r="BF218" s="778"/>
      <c r="BG218" s="778"/>
      <c r="BH218" s="778"/>
      <c r="BI218" s="778"/>
      <c r="BJ218" s="778"/>
      <c r="BK218" s="778"/>
      <c r="BL218" s="778"/>
      <c r="BM218" s="778"/>
      <c r="BN218" s="778"/>
      <c r="BO218" s="778"/>
      <c r="BP218" s="778"/>
      <c r="BQ218" s="778"/>
      <c r="BR218" s="778"/>
      <c r="BS218" s="778"/>
      <c r="BT218" s="778"/>
    </row>
    <row r="219" spans="1:72" x14ac:dyDescent="0.25">
      <c r="A219" s="778" t="s">
        <v>715</v>
      </c>
      <c r="B219" s="778"/>
      <c r="C219" s="778"/>
      <c r="D219" s="778"/>
      <c r="E219" s="778"/>
      <c r="F219" s="778"/>
      <c r="G219" s="778"/>
      <c r="H219" s="778"/>
      <c r="I219" s="778"/>
      <c r="J219" s="778"/>
      <c r="K219" s="778"/>
      <c r="L219" s="778"/>
      <c r="M219" s="778"/>
      <c r="N219" s="778"/>
      <c r="O219" s="778"/>
      <c r="P219" s="778"/>
      <c r="Q219" s="778"/>
      <c r="R219" s="778"/>
      <c r="S219" s="778"/>
      <c r="T219" s="778"/>
      <c r="U219" s="778"/>
      <c r="V219" s="778"/>
      <c r="W219" s="778"/>
      <c r="X219" s="778"/>
      <c r="Y219" s="778"/>
      <c r="Z219" s="778"/>
      <c r="AA219" s="778"/>
      <c r="AB219" s="778"/>
      <c r="AC219" s="778"/>
      <c r="AD219" s="778"/>
      <c r="AE219" s="778"/>
      <c r="AF219" s="778"/>
      <c r="AG219" s="778"/>
      <c r="AH219" s="778"/>
      <c r="AI219" s="778"/>
      <c r="AJ219" s="778"/>
      <c r="AK219" s="778"/>
      <c r="AL219" s="778"/>
      <c r="AM219" s="778"/>
      <c r="AN219" s="778"/>
      <c r="AO219" s="778"/>
      <c r="AP219" s="778"/>
      <c r="AQ219" s="778"/>
      <c r="AR219" s="778"/>
      <c r="AS219" s="778"/>
      <c r="AT219" s="778"/>
      <c r="AU219" s="778"/>
      <c r="AV219" s="778"/>
      <c r="AW219" s="778"/>
      <c r="AX219" s="778"/>
      <c r="AY219" s="778"/>
      <c r="AZ219" s="778"/>
      <c r="BA219" s="778"/>
      <c r="BB219" s="778"/>
      <c r="BC219" s="778"/>
      <c r="BD219" s="778"/>
      <c r="BE219" s="778"/>
      <c r="BF219" s="778"/>
      <c r="BG219" s="778"/>
      <c r="BH219" s="778"/>
      <c r="BI219" s="778"/>
      <c r="BJ219" s="778"/>
      <c r="BK219" s="778"/>
      <c r="BL219" s="778"/>
      <c r="BM219" s="778"/>
      <c r="BN219" s="778"/>
      <c r="BO219" s="778"/>
      <c r="BP219" s="778"/>
      <c r="BQ219" s="778"/>
      <c r="BR219" s="778"/>
      <c r="BS219" s="778"/>
      <c r="BT219" s="778"/>
    </row>
    <row r="220" spans="1:72" x14ac:dyDescent="0.25">
      <c r="A220" s="778" t="s">
        <v>777</v>
      </c>
      <c r="B220" s="778"/>
      <c r="C220" s="778"/>
      <c r="D220" s="778"/>
      <c r="E220" s="778"/>
      <c r="F220" s="778"/>
      <c r="G220" s="778"/>
      <c r="H220" s="778"/>
      <c r="I220" s="778"/>
      <c r="J220" s="778"/>
      <c r="K220" s="778"/>
      <c r="L220" s="778"/>
      <c r="M220" s="778"/>
      <c r="N220" s="778"/>
      <c r="O220" s="778"/>
      <c r="P220" s="778"/>
      <c r="Q220" s="778"/>
      <c r="R220" s="778"/>
      <c r="S220" s="778"/>
      <c r="T220" s="778"/>
      <c r="U220" s="778"/>
      <c r="V220" s="778"/>
      <c r="W220" s="778"/>
      <c r="X220" s="778"/>
      <c r="Y220" s="778"/>
      <c r="Z220" s="778"/>
      <c r="AA220" s="778"/>
      <c r="AB220" s="778"/>
      <c r="AC220" s="778"/>
      <c r="AD220" s="778"/>
      <c r="AE220" s="778"/>
      <c r="AF220" s="778"/>
      <c r="AG220" s="778"/>
      <c r="AH220" s="778"/>
      <c r="AI220" s="778"/>
      <c r="AJ220" s="778"/>
      <c r="AK220" s="778"/>
      <c r="AL220" s="778"/>
      <c r="AM220" s="778"/>
      <c r="AN220" s="778"/>
      <c r="AO220" s="778"/>
      <c r="AP220" s="778"/>
      <c r="AQ220" s="778"/>
      <c r="AR220" s="778"/>
      <c r="AS220" s="778"/>
      <c r="AT220" s="778"/>
      <c r="AU220" s="778"/>
      <c r="AV220" s="778"/>
      <c r="AW220" s="778"/>
      <c r="AX220" s="778"/>
      <c r="AY220" s="778"/>
      <c r="AZ220" s="778"/>
      <c r="BA220" s="778"/>
      <c r="BB220" s="778"/>
      <c r="BC220" s="778"/>
      <c r="BD220" s="778"/>
      <c r="BE220" s="778"/>
      <c r="BF220" s="778"/>
      <c r="BG220" s="778"/>
      <c r="BH220" s="778"/>
      <c r="BI220" s="778"/>
      <c r="BJ220" s="778"/>
      <c r="BK220" s="778"/>
      <c r="BL220" s="778"/>
      <c r="BM220" s="778"/>
      <c r="BN220" s="778"/>
      <c r="BO220" s="778"/>
      <c r="BP220" s="778"/>
      <c r="BQ220" s="778"/>
      <c r="BR220" s="778"/>
      <c r="BS220" s="778"/>
      <c r="BT220" s="778"/>
    </row>
    <row r="221" spans="1:72" x14ac:dyDescent="0.25">
      <c r="A221" s="778" t="s">
        <v>778</v>
      </c>
      <c r="B221" s="778"/>
      <c r="C221" s="778"/>
      <c r="D221" s="778"/>
      <c r="E221" s="778"/>
      <c r="F221" s="778"/>
      <c r="G221" s="778"/>
      <c r="H221" s="778"/>
      <c r="I221" s="778"/>
      <c r="J221" s="778"/>
      <c r="K221" s="778"/>
      <c r="L221" s="778"/>
      <c r="M221" s="778"/>
      <c r="N221" s="778"/>
      <c r="O221" s="778"/>
      <c r="P221" s="778"/>
      <c r="Q221" s="778"/>
      <c r="R221" s="778"/>
      <c r="S221" s="778"/>
      <c r="T221" s="778"/>
      <c r="U221" s="778"/>
      <c r="V221" s="778"/>
      <c r="W221" s="778"/>
      <c r="X221" s="778"/>
      <c r="Y221" s="778"/>
      <c r="Z221" s="778"/>
      <c r="AA221" s="778"/>
      <c r="AB221" s="778"/>
      <c r="AC221" s="778"/>
      <c r="AD221" s="778"/>
      <c r="AE221" s="778"/>
      <c r="AF221" s="778"/>
      <c r="AG221" s="778"/>
      <c r="AH221" s="778"/>
      <c r="AI221" s="778"/>
      <c r="AJ221" s="778"/>
      <c r="AK221" s="778"/>
      <c r="AL221" s="778"/>
      <c r="AM221" s="778"/>
      <c r="AN221" s="778"/>
      <c r="AO221" s="778"/>
      <c r="AP221" s="778"/>
      <c r="AQ221" s="778"/>
      <c r="AR221" s="778"/>
      <c r="AS221" s="778"/>
      <c r="AT221" s="778"/>
      <c r="AU221" s="778"/>
      <c r="AV221" s="778"/>
      <c r="AW221" s="778"/>
      <c r="AX221" s="778"/>
      <c r="AY221" s="778"/>
      <c r="AZ221" s="778"/>
      <c r="BA221" s="778"/>
      <c r="BB221" s="778"/>
      <c r="BC221" s="778"/>
      <c r="BD221" s="778"/>
      <c r="BE221" s="778"/>
      <c r="BF221" s="778"/>
      <c r="BG221" s="778"/>
      <c r="BH221" s="778"/>
      <c r="BI221" s="778"/>
      <c r="BJ221" s="778"/>
      <c r="BK221" s="778"/>
      <c r="BL221" s="778"/>
      <c r="BM221" s="778"/>
      <c r="BN221" s="778"/>
      <c r="BO221" s="778"/>
      <c r="BP221" s="778"/>
      <c r="BQ221" s="778"/>
      <c r="BR221" s="778"/>
      <c r="BS221" s="778"/>
      <c r="BT221" s="778"/>
    </row>
    <row r="222" spans="1:72" x14ac:dyDescent="0.25">
      <c r="A222" s="778" t="s">
        <v>779</v>
      </c>
      <c r="B222" s="778"/>
      <c r="C222" s="778"/>
      <c r="D222" s="778"/>
      <c r="E222" s="778"/>
      <c r="F222" s="778"/>
      <c r="G222" s="778"/>
      <c r="H222" s="778"/>
      <c r="I222" s="778"/>
      <c r="J222" s="778"/>
      <c r="K222" s="778"/>
      <c r="L222" s="778"/>
      <c r="M222" s="778"/>
      <c r="N222" s="778"/>
      <c r="O222" s="778"/>
      <c r="P222" s="778"/>
      <c r="Q222" s="778"/>
      <c r="R222" s="778"/>
      <c r="S222" s="778"/>
      <c r="T222" s="778"/>
      <c r="U222" s="778"/>
      <c r="V222" s="778"/>
      <c r="W222" s="778"/>
      <c r="X222" s="778"/>
      <c r="Y222" s="778"/>
      <c r="Z222" s="778"/>
      <c r="AA222" s="778"/>
      <c r="AB222" s="778"/>
      <c r="AC222" s="778"/>
      <c r="AD222" s="778"/>
      <c r="AE222" s="778"/>
      <c r="AF222" s="778"/>
      <c r="AG222" s="778"/>
      <c r="AH222" s="778"/>
      <c r="AI222" s="778"/>
      <c r="AJ222" s="778"/>
      <c r="AK222" s="778"/>
      <c r="AL222" s="778"/>
      <c r="AM222" s="778"/>
      <c r="AN222" s="778"/>
      <c r="AO222" s="778"/>
      <c r="AP222" s="778"/>
      <c r="AQ222" s="778"/>
      <c r="AR222" s="778"/>
      <c r="AS222" s="778"/>
      <c r="AT222" s="778"/>
      <c r="AU222" s="778"/>
      <c r="AV222" s="778"/>
      <c r="AW222" s="778"/>
      <c r="AX222" s="778"/>
      <c r="AY222" s="778"/>
      <c r="AZ222" s="778"/>
      <c r="BA222" s="778"/>
      <c r="BB222" s="778"/>
      <c r="BC222" s="778"/>
      <c r="BD222" s="778"/>
      <c r="BE222" s="778"/>
      <c r="BF222" s="778"/>
      <c r="BG222" s="778"/>
      <c r="BH222" s="778"/>
      <c r="BI222" s="778"/>
      <c r="BJ222" s="778"/>
      <c r="BK222" s="778"/>
      <c r="BL222" s="778"/>
      <c r="BM222" s="778"/>
      <c r="BN222" s="778"/>
      <c r="BO222" s="778"/>
      <c r="BP222" s="778"/>
      <c r="BQ222" s="778"/>
      <c r="BR222" s="778"/>
      <c r="BS222" s="778"/>
      <c r="BT222" s="778"/>
    </row>
    <row r="223" spans="1:72" x14ac:dyDescent="0.25">
      <c r="A223" s="778" t="s">
        <v>780</v>
      </c>
      <c r="B223" s="778"/>
      <c r="C223" s="778"/>
      <c r="D223" s="778"/>
      <c r="E223" s="778"/>
      <c r="F223" s="778"/>
      <c r="G223" s="778"/>
      <c r="H223" s="778"/>
      <c r="I223" s="778"/>
      <c r="J223" s="778"/>
      <c r="K223" s="778"/>
      <c r="L223" s="778"/>
      <c r="M223" s="778"/>
      <c r="N223" s="778"/>
      <c r="O223" s="778"/>
      <c r="P223" s="778"/>
      <c r="Q223" s="778"/>
      <c r="R223" s="778"/>
      <c r="S223" s="778"/>
      <c r="T223" s="778"/>
      <c r="U223" s="778"/>
      <c r="V223" s="778"/>
      <c r="W223" s="778"/>
      <c r="X223" s="778"/>
      <c r="Y223" s="778"/>
      <c r="Z223" s="778"/>
      <c r="AA223" s="778"/>
      <c r="AB223" s="778"/>
      <c r="AC223" s="778"/>
      <c r="AD223" s="778"/>
      <c r="AE223" s="778"/>
      <c r="AF223" s="778"/>
      <c r="AG223" s="778"/>
      <c r="AH223" s="778"/>
      <c r="AI223" s="778"/>
      <c r="AJ223" s="778"/>
      <c r="AK223" s="778"/>
      <c r="AL223" s="778"/>
      <c r="AM223" s="778"/>
      <c r="AN223" s="778"/>
      <c r="AO223" s="778"/>
      <c r="AP223" s="778"/>
      <c r="AQ223" s="778"/>
      <c r="AR223" s="778"/>
      <c r="AS223" s="778"/>
      <c r="AT223" s="778"/>
      <c r="AU223" s="778"/>
      <c r="AV223" s="778"/>
      <c r="AW223" s="778"/>
      <c r="AX223" s="778"/>
      <c r="AY223" s="778"/>
      <c r="AZ223" s="778"/>
      <c r="BA223" s="778"/>
      <c r="BB223" s="778"/>
      <c r="BC223" s="778"/>
      <c r="BD223" s="778"/>
      <c r="BE223" s="778"/>
      <c r="BF223" s="778"/>
      <c r="BG223" s="778"/>
      <c r="BH223" s="778"/>
      <c r="BI223" s="778"/>
      <c r="BJ223" s="778"/>
      <c r="BK223" s="778"/>
      <c r="BL223" s="778"/>
      <c r="BM223" s="778"/>
      <c r="BN223" s="778"/>
      <c r="BO223" s="778"/>
      <c r="BP223" s="778"/>
      <c r="BQ223" s="778"/>
      <c r="BR223" s="778"/>
      <c r="BS223" s="778"/>
      <c r="BT223" s="778"/>
    </row>
    <row r="224" spans="1:72" x14ac:dyDescent="0.25">
      <c r="A224" s="778" t="s">
        <v>781</v>
      </c>
      <c r="B224" s="778"/>
      <c r="C224" s="778"/>
      <c r="D224" s="778"/>
      <c r="E224" s="778"/>
      <c r="F224" s="778"/>
      <c r="G224" s="778"/>
      <c r="H224" s="778"/>
      <c r="I224" s="778"/>
      <c r="J224" s="778"/>
      <c r="K224" s="778"/>
      <c r="L224" s="778"/>
      <c r="M224" s="778"/>
      <c r="N224" s="778"/>
      <c r="O224" s="778"/>
      <c r="P224" s="778"/>
      <c r="Q224" s="778"/>
      <c r="R224" s="778"/>
      <c r="S224" s="778"/>
      <c r="T224" s="778"/>
      <c r="U224" s="778"/>
      <c r="V224" s="778"/>
      <c r="W224" s="778"/>
      <c r="X224" s="778"/>
      <c r="Y224" s="778"/>
      <c r="Z224" s="778"/>
      <c r="AA224" s="778"/>
      <c r="AB224" s="778"/>
      <c r="AC224" s="778"/>
      <c r="AD224" s="778"/>
      <c r="AE224" s="778"/>
      <c r="AF224" s="778"/>
      <c r="AG224" s="778"/>
      <c r="AH224" s="778"/>
      <c r="AI224" s="778"/>
      <c r="AJ224" s="778"/>
      <c r="AK224" s="778"/>
      <c r="AL224" s="778"/>
      <c r="AM224" s="778"/>
      <c r="AN224" s="778"/>
      <c r="AO224" s="778"/>
      <c r="AP224" s="778"/>
      <c r="AQ224" s="778"/>
      <c r="AR224" s="778"/>
      <c r="AS224" s="778"/>
      <c r="AT224" s="778"/>
      <c r="AU224" s="778"/>
      <c r="AV224" s="778"/>
      <c r="AW224" s="778"/>
      <c r="AX224" s="778"/>
      <c r="AY224" s="778"/>
      <c r="AZ224" s="778"/>
      <c r="BA224" s="778"/>
      <c r="BB224" s="778"/>
      <c r="BC224" s="778"/>
      <c r="BD224" s="778"/>
      <c r="BE224" s="778"/>
      <c r="BF224" s="778"/>
      <c r="BG224" s="778"/>
      <c r="BH224" s="778"/>
      <c r="BI224" s="778"/>
      <c r="BJ224" s="778"/>
      <c r="BK224" s="778"/>
      <c r="BL224" s="778"/>
      <c r="BM224" s="778"/>
      <c r="BN224" s="778"/>
      <c r="BO224" s="778"/>
      <c r="BP224" s="778"/>
      <c r="BQ224" s="778"/>
      <c r="BR224" s="778"/>
      <c r="BS224" s="778"/>
      <c r="BT224" s="778"/>
    </row>
    <row r="225" spans="1:72" x14ac:dyDescent="0.25">
      <c r="A225" s="778" t="s">
        <v>782</v>
      </c>
      <c r="B225" s="778"/>
      <c r="C225" s="778"/>
      <c r="D225" s="778"/>
      <c r="E225" s="778"/>
      <c r="F225" s="778"/>
      <c r="G225" s="778"/>
      <c r="H225" s="778"/>
      <c r="I225" s="778"/>
      <c r="J225" s="778"/>
      <c r="K225" s="778"/>
      <c r="L225" s="778"/>
      <c r="M225" s="778"/>
      <c r="N225" s="778"/>
      <c r="O225" s="778"/>
      <c r="P225" s="778"/>
      <c r="Q225" s="778"/>
      <c r="R225" s="778"/>
      <c r="S225" s="778"/>
      <c r="T225" s="778"/>
      <c r="U225" s="778"/>
      <c r="V225" s="778"/>
      <c r="W225" s="778"/>
      <c r="X225" s="778"/>
      <c r="Y225" s="778"/>
      <c r="Z225" s="778"/>
      <c r="AA225" s="778"/>
      <c r="AB225" s="778"/>
      <c r="AC225" s="778"/>
      <c r="AD225" s="778"/>
      <c r="AE225" s="778"/>
      <c r="AF225" s="778"/>
      <c r="AG225" s="778"/>
      <c r="AH225" s="778"/>
      <c r="AI225" s="778"/>
      <c r="AJ225" s="778"/>
      <c r="AK225" s="778"/>
      <c r="AL225" s="778"/>
      <c r="AM225" s="778"/>
      <c r="AN225" s="778"/>
      <c r="AO225" s="778"/>
      <c r="AP225" s="778"/>
      <c r="AQ225" s="778"/>
      <c r="AR225" s="778"/>
      <c r="AS225" s="778"/>
      <c r="AT225" s="778"/>
      <c r="AU225" s="778"/>
      <c r="AV225" s="778"/>
      <c r="AW225" s="778"/>
      <c r="AX225" s="778"/>
      <c r="AY225" s="778"/>
      <c r="AZ225" s="778"/>
      <c r="BA225" s="778"/>
      <c r="BB225" s="778"/>
      <c r="BC225" s="778"/>
      <c r="BD225" s="778"/>
      <c r="BE225" s="778"/>
      <c r="BF225" s="778"/>
      <c r="BG225" s="778"/>
      <c r="BH225" s="778"/>
      <c r="BI225" s="778"/>
      <c r="BJ225" s="778"/>
      <c r="BK225" s="778"/>
      <c r="BL225" s="778"/>
      <c r="BM225" s="778"/>
      <c r="BN225" s="778"/>
      <c r="BO225" s="778"/>
      <c r="BP225" s="778"/>
      <c r="BQ225" s="778"/>
      <c r="BR225" s="778"/>
      <c r="BS225" s="778"/>
      <c r="BT225" s="778"/>
    </row>
    <row r="226" spans="1:72" x14ac:dyDescent="0.25">
      <c r="A226" s="778" t="s">
        <v>783</v>
      </c>
      <c r="B226" s="778"/>
      <c r="C226" s="778"/>
      <c r="D226" s="778"/>
      <c r="E226" s="778"/>
      <c r="F226" s="778"/>
      <c r="G226" s="778"/>
      <c r="H226" s="778"/>
      <c r="I226" s="778"/>
      <c r="J226" s="778"/>
      <c r="K226" s="778"/>
      <c r="L226" s="778"/>
      <c r="M226" s="778"/>
      <c r="N226" s="778"/>
      <c r="O226" s="778"/>
      <c r="P226" s="778"/>
      <c r="Q226" s="778"/>
      <c r="R226" s="778"/>
      <c r="S226" s="778"/>
      <c r="T226" s="778"/>
      <c r="U226" s="778"/>
      <c r="V226" s="778"/>
      <c r="W226" s="778"/>
      <c r="X226" s="778"/>
      <c r="Y226" s="778"/>
      <c r="Z226" s="778"/>
      <c r="AA226" s="778"/>
      <c r="AB226" s="778"/>
      <c r="AC226" s="778"/>
      <c r="AD226" s="778"/>
      <c r="AE226" s="778"/>
      <c r="AF226" s="778"/>
      <c r="AG226" s="778"/>
      <c r="AH226" s="778"/>
      <c r="AI226" s="778"/>
      <c r="AJ226" s="778"/>
      <c r="AK226" s="778"/>
      <c r="AL226" s="778"/>
      <c r="AM226" s="778"/>
      <c r="AN226" s="778"/>
      <c r="AO226" s="778"/>
      <c r="AP226" s="778"/>
      <c r="AQ226" s="778"/>
      <c r="AR226" s="778"/>
      <c r="AS226" s="778"/>
      <c r="AT226" s="778"/>
      <c r="AU226" s="778"/>
      <c r="AV226" s="778"/>
      <c r="AW226" s="778"/>
      <c r="AX226" s="778"/>
      <c r="AY226" s="778"/>
      <c r="AZ226" s="778"/>
      <c r="BA226" s="778"/>
      <c r="BB226" s="778"/>
      <c r="BC226" s="778"/>
      <c r="BD226" s="778"/>
      <c r="BE226" s="778"/>
      <c r="BF226" s="778"/>
      <c r="BG226" s="778"/>
      <c r="BH226" s="778"/>
      <c r="BI226" s="778"/>
      <c r="BJ226" s="778"/>
      <c r="BK226" s="778"/>
      <c r="BL226" s="778"/>
      <c r="BM226" s="778"/>
      <c r="BN226" s="778"/>
      <c r="BO226" s="778"/>
      <c r="BP226" s="778"/>
      <c r="BQ226" s="778"/>
      <c r="BR226" s="778"/>
      <c r="BS226" s="778"/>
      <c r="BT226" s="778"/>
    </row>
    <row r="227" spans="1:72" x14ac:dyDescent="0.25">
      <c r="A227" s="778" t="s">
        <v>784</v>
      </c>
      <c r="B227" s="778"/>
      <c r="C227" s="778"/>
      <c r="D227" s="778"/>
      <c r="E227" s="778"/>
      <c r="F227" s="778"/>
      <c r="G227" s="778"/>
      <c r="H227" s="778"/>
      <c r="I227" s="778"/>
      <c r="J227" s="778"/>
      <c r="K227" s="778"/>
      <c r="L227" s="778"/>
      <c r="M227" s="778"/>
      <c r="N227" s="778"/>
      <c r="O227" s="778"/>
      <c r="P227" s="778"/>
      <c r="Q227" s="778"/>
      <c r="R227" s="778"/>
      <c r="S227" s="778"/>
      <c r="T227" s="778"/>
      <c r="U227" s="778"/>
      <c r="V227" s="778"/>
      <c r="W227" s="778"/>
      <c r="X227" s="778"/>
      <c r="Y227" s="778"/>
      <c r="Z227" s="778"/>
      <c r="AA227" s="778"/>
      <c r="AB227" s="778"/>
      <c r="AC227" s="778"/>
      <c r="AD227" s="778"/>
      <c r="AE227" s="778"/>
      <c r="AF227" s="778"/>
      <c r="AG227" s="778"/>
      <c r="AH227" s="778"/>
      <c r="AI227" s="778"/>
      <c r="AJ227" s="778"/>
      <c r="AK227" s="778"/>
      <c r="AL227" s="778"/>
      <c r="AM227" s="778"/>
      <c r="AN227" s="778"/>
      <c r="AO227" s="778"/>
      <c r="AP227" s="778"/>
      <c r="AQ227" s="778"/>
      <c r="AR227" s="778"/>
      <c r="AS227" s="778"/>
      <c r="AT227" s="778"/>
      <c r="AU227" s="778"/>
      <c r="AV227" s="778"/>
      <c r="AW227" s="778"/>
      <c r="AX227" s="778"/>
      <c r="AY227" s="778"/>
      <c r="AZ227" s="778"/>
      <c r="BA227" s="778"/>
      <c r="BB227" s="778"/>
      <c r="BC227" s="778"/>
      <c r="BD227" s="778"/>
      <c r="BE227" s="778"/>
      <c r="BF227" s="778"/>
      <c r="BG227" s="778"/>
      <c r="BH227" s="778"/>
      <c r="BI227" s="778"/>
      <c r="BJ227" s="778"/>
      <c r="BK227" s="778"/>
      <c r="BL227" s="778"/>
      <c r="BM227" s="778"/>
      <c r="BN227" s="778"/>
      <c r="BO227" s="778"/>
      <c r="BP227" s="778"/>
      <c r="BQ227" s="778"/>
      <c r="BR227" s="778"/>
      <c r="BS227" s="778"/>
      <c r="BT227" s="778"/>
    </row>
    <row r="228" spans="1:72" x14ac:dyDescent="0.25">
      <c r="A228" s="778" t="s">
        <v>785</v>
      </c>
      <c r="B228" s="778"/>
      <c r="C228" s="778"/>
      <c r="D228" s="778"/>
      <c r="E228" s="778"/>
      <c r="F228" s="778"/>
      <c r="G228" s="778"/>
      <c r="H228" s="778"/>
      <c r="I228" s="778"/>
      <c r="J228" s="778"/>
      <c r="K228" s="778"/>
      <c r="L228" s="778"/>
      <c r="M228" s="778"/>
      <c r="N228" s="778"/>
      <c r="O228" s="778"/>
      <c r="P228" s="778"/>
      <c r="Q228" s="778"/>
      <c r="R228" s="778"/>
      <c r="S228" s="778"/>
      <c r="T228" s="778"/>
      <c r="U228" s="778"/>
      <c r="V228" s="778"/>
      <c r="W228" s="778"/>
      <c r="X228" s="778"/>
      <c r="Y228" s="778"/>
      <c r="Z228" s="778"/>
      <c r="AA228" s="778"/>
      <c r="AB228" s="778"/>
      <c r="AC228" s="778"/>
      <c r="AD228" s="778"/>
      <c r="AE228" s="778"/>
      <c r="AF228" s="778"/>
      <c r="AG228" s="778"/>
      <c r="AH228" s="778"/>
      <c r="AI228" s="778"/>
      <c r="AJ228" s="778"/>
      <c r="AK228" s="778"/>
      <c r="AL228" s="778"/>
      <c r="AM228" s="778"/>
      <c r="AN228" s="778"/>
      <c r="AO228" s="778"/>
      <c r="AP228" s="778"/>
      <c r="AQ228" s="778"/>
      <c r="AR228" s="778"/>
      <c r="AS228" s="778"/>
      <c r="AT228" s="778"/>
      <c r="AU228" s="778"/>
      <c r="AV228" s="778"/>
      <c r="AW228" s="778"/>
      <c r="AX228" s="778"/>
      <c r="AY228" s="778"/>
      <c r="AZ228" s="778"/>
      <c r="BA228" s="778"/>
      <c r="BB228" s="778"/>
      <c r="BC228" s="778"/>
      <c r="BD228" s="778"/>
      <c r="BE228" s="778"/>
      <c r="BF228" s="778"/>
      <c r="BG228" s="778"/>
      <c r="BH228" s="778"/>
      <c r="BI228" s="778"/>
      <c r="BJ228" s="778"/>
      <c r="BK228" s="778"/>
      <c r="BL228" s="778"/>
      <c r="BM228" s="778"/>
      <c r="BN228" s="778"/>
      <c r="BO228" s="778"/>
      <c r="BP228" s="778"/>
      <c r="BQ228" s="778"/>
      <c r="BR228" s="778"/>
      <c r="BS228" s="778"/>
      <c r="BT228" s="778"/>
    </row>
    <row r="229" spans="1:72" x14ac:dyDescent="0.25">
      <c r="A229" s="778" t="s">
        <v>786</v>
      </c>
      <c r="B229" s="778"/>
      <c r="C229" s="778"/>
      <c r="D229" s="778"/>
      <c r="E229" s="778"/>
      <c r="F229" s="778"/>
      <c r="G229" s="778"/>
      <c r="H229" s="778"/>
      <c r="I229" s="778"/>
      <c r="J229" s="778"/>
      <c r="K229" s="778"/>
      <c r="L229" s="778"/>
      <c r="M229" s="778"/>
      <c r="N229" s="778"/>
      <c r="O229" s="778"/>
      <c r="P229" s="778"/>
      <c r="Q229" s="778"/>
      <c r="R229" s="778"/>
      <c r="S229" s="778"/>
      <c r="T229" s="778"/>
      <c r="U229" s="778"/>
      <c r="V229" s="778"/>
      <c r="W229" s="778"/>
      <c r="X229" s="778"/>
      <c r="Y229" s="778"/>
      <c r="Z229" s="778"/>
      <c r="AA229" s="778"/>
      <c r="AB229" s="778"/>
      <c r="AC229" s="778"/>
      <c r="AD229" s="778"/>
      <c r="AE229" s="778"/>
      <c r="AF229" s="778"/>
      <c r="AG229" s="778"/>
      <c r="AH229" s="778"/>
      <c r="AI229" s="778"/>
      <c r="AJ229" s="778"/>
      <c r="AK229" s="778"/>
      <c r="AL229" s="778"/>
      <c r="AM229" s="778"/>
      <c r="AN229" s="778"/>
      <c r="AO229" s="778"/>
      <c r="AP229" s="778"/>
      <c r="AQ229" s="778"/>
      <c r="AR229" s="778"/>
      <c r="AS229" s="778"/>
      <c r="AT229" s="778"/>
      <c r="AU229" s="778"/>
      <c r="AV229" s="778"/>
      <c r="AW229" s="778"/>
      <c r="AX229" s="778"/>
      <c r="AY229" s="778"/>
      <c r="AZ229" s="778"/>
      <c r="BA229" s="778"/>
      <c r="BB229" s="778"/>
      <c r="BC229" s="778"/>
      <c r="BD229" s="778"/>
      <c r="BE229" s="778"/>
      <c r="BF229" s="778"/>
      <c r="BG229" s="778"/>
      <c r="BH229" s="778"/>
      <c r="BI229" s="778"/>
      <c r="BJ229" s="778"/>
      <c r="BK229" s="778"/>
      <c r="BL229" s="778"/>
      <c r="BM229" s="778"/>
      <c r="BN229" s="778"/>
      <c r="BO229" s="778"/>
      <c r="BP229" s="778"/>
      <c r="BQ229" s="778"/>
      <c r="BR229" s="778"/>
      <c r="BS229" s="778"/>
      <c r="BT229" s="778"/>
    </row>
    <row r="230" spans="1:72" x14ac:dyDescent="0.25">
      <c r="A230" s="778" t="s">
        <v>787</v>
      </c>
      <c r="B230" s="778"/>
      <c r="C230" s="778"/>
      <c r="D230" s="778"/>
      <c r="E230" s="778"/>
      <c r="F230" s="778"/>
      <c r="G230" s="778"/>
      <c r="H230" s="778"/>
      <c r="I230" s="778"/>
      <c r="J230" s="778"/>
      <c r="K230" s="778"/>
      <c r="L230" s="778"/>
      <c r="M230" s="778"/>
      <c r="N230" s="778"/>
      <c r="O230" s="778"/>
      <c r="P230" s="778"/>
      <c r="Q230" s="778"/>
      <c r="R230" s="778"/>
      <c r="S230" s="778"/>
      <c r="T230" s="778"/>
      <c r="U230" s="778"/>
      <c r="V230" s="778"/>
      <c r="W230" s="778"/>
      <c r="X230" s="778"/>
      <c r="Y230" s="778"/>
      <c r="Z230" s="778"/>
      <c r="AA230" s="778"/>
      <c r="AB230" s="778"/>
      <c r="AC230" s="778"/>
      <c r="AD230" s="778"/>
      <c r="AE230" s="778"/>
      <c r="AF230" s="778"/>
      <c r="AG230" s="778"/>
      <c r="AH230" s="778"/>
      <c r="AI230" s="778"/>
      <c r="AJ230" s="778"/>
      <c r="AK230" s="778"/>
      <c r="AL230" s="778"/>
      <c r="AM230" s="778"/>
      <c r="AN230" s="778"/>
      <c r="AO230" s="778"/>
      <c r="AP230" s="778"/>
      <c r="AQ230" s="778"/>
      <c r="AR230" s="778"/>
      <c r="AS230" s="778"/>
      <c r="AT230" s="778"/>
      <c r="AU230" s="778"/>
      <c r="AV230" s="778"/>
      <c r="AW230" s="778"/>
      <c r="AX230" s="778"/>
      <c r="AY230" s="778"/>
      <c r="AZ230" s="778"/>
      <c r="BA230" s="778"/>
      <c r="BB230" s="778"/>
      <c r="BC230" s="778"/>
      <c r="BD230" s="778"/>
      <c r="BE230" s="778"/>
      <c r="BF230" s="778"/>
      <c r="BG230" s="778"/>
      <c r="BH230" s="778"/>
      <c r="BI230" s="778"/>
      <c r="BJ230" s="778"/>
      <c r="BK230" s="778"/>
      <c r="BL230" s="778"/>
      <c r="BM230" s="778"/>
      <c r="BN230" s="778"/>
      <c r="BO230" s="778"/>
      <c r="BP230" s="778"/>
      <c r="BQ230" s="778"/>
      <c r="BR230" s="778"/>
      <c r="BS230" s="778"/>
      <c r="BT230" s="778"/>
    </row>
    <row r="231" spans="1:72" x14ac:dyDescent="0.25">
      <c r="A231" s="778" t="s">
        <v>788</v>
      </c>
      <c r="B231" s="778"/>
      <c r="C231" s="778"/>
      <c r="D231" s="778"/>
      <c r="E231" s="778"/>
      <c r="F231" s="778"/>
      <c r="G231" s="778"/>
      <c r="H231" s="778"/>
      <c r="I231" s="778"/>
      <c r="J231" s="778"/>
      <c r="K231" s="778"/>
      <c r="L231" s="778"/>
      <c r="M231" s="778"/>
      <c r="N231" s="778"/>
      <c r="O231" s="778"/>
      <c r="P231" s="778"/>
      <c r="Q231" s="778"/>
      <c r="R231" s="778"/>
      <c r="S231" s="778"/>
      <c r="T231" s="778"/>
      <c r="U231" s="778"/>
      <c r="V231" s="778"/>
      <c r="W231" s="778"/>
      <c r="X231" s="778"/>
      <c r="Y231" s="778"/>
      <c r="Z231" s="778"/>
      <c r="AA231" s="778"/>
      <c r="AB231" s="778"/>
      <c r="AC231" s="778"/>
      <c r="AD231" s="778"/>
      <c r="AE231" s="778"/>
      <c r="AF231" s="778"/>
      <c r="AG231" s="778"/>
      <c r="AH231" s="778"/>
      <c r="AI231" s="778"/>
      <c r="AJ231" s="778"/>
      <c r="AK231" s="778"/>
      <c r="AL231" s="778"/>
      <c r="AM231" s="778"/>
      <c r="AN231" s="778"/>
      <c r="AO231" s="778"/>
      <c r="AP231" s="778"/>
      <c r="AQ231" s="778"/>
      <c r="AR231" s="778"/>
      <c r="AS231" s="778"/>
      <c r="AT231" s="778"/>
      <c r="AU231" s="778"/>
      <c r="AV231" s="778"/>
      <c r="AW231" s="778"/>
      <c r="AX231" s="778"/>
      <c r="AY231" s="778"/>
      <c r="AZ231" s="778"/>
      <c r="BA231" s="778"/>
      <c r="BB231" s="778"/>
      <c r="BC231" s="778"/>
      <c r="BD231" s="778"/>
      <c r="BE231" s="778"/>
      <c r="BF231" s="778"/>
      <c r="BG231" s="778"/>
      <c r="BH231" s="778"/>
      <c r="BI231" s="778"/>
      <c r="BJ231" s="778"/>
      <c r="BK231" s="778"/>
      <c r="BL231" s="778"/>
      <c r="BM231" s="778"/>
      <c r="BN231" s="778"/>
      <c r="BO231" s="778"/>
      <c r="BP231" s="778"/>
      <c r="BQ231" s="778"/>
      <c r="BR231" s="778"/>
      <c r="BS231" s="778"/>
      <c r="BT231" s="778"/>
    </row>
    <row r="232" spans="1:72" x14ac:dyDescent="0.25">
      <c r="A232" s="778" t="s">
        <v>789</v>
      </c>
      <c r="B232" s="778"/>
      <c r="C232" s="778"/>
      <c r="D232" s="778"/>
      <c r="E232" s="778"/>
      <c r="F232" s="778"/>
      <c r="G232" s="778"/>
      <c r="H232" s="778"/>
      <c r="I232" s="778"/>
      <c r="J232" s="778"/>
      <c r="K232" s="778"/>
      <c r="L232" s="778"/>
      <c r="M232" s="778"/>
      <c r="N232" s="778"/>
      <c r="O232" s="778"/>
      <c r="P232" s="778"/>
      <c r="Q232" s="778"/>
      <c r="R232" s="778"/>
      <c r="S232" s="778"/>
      <c r="T232" s="778"/>
      <c r="U232" s="778"/>
      <c r="V232" s="778"/>
      <c r="W232" s="778"/>
      <c r="X232" s="778"/>
      <c r="Y232" s="778"/>
      <c r="Z232" s="778"/>
      <c r="AA232" s="778"/>
      <c r="AB232" s="778"/>
      <c r="AC232" s="778"/>
      <c r="AD232" s="778"/>
      <c r="AE232" s="778"/>
      <c r="AF232" s="778"/>
      <c r="AG232" s="778"/>
      <c r="AH232" s="778"/>
      <c r="AI232" s="778"/>
      <c r="AJ232" s="778"/>
      <c r="AK232" s="778"/>
      <c r="AL232" s="778"/>
      <c r="AM232" s="778"/>
      <c r="AN232" s="778"/>
      <c r="AO232" s="778"/>
      <c r="AP232" s="778"/>
      <c r="AQ232" s="778"/>
      <c r="AR232" s="778"/>
      <c r="AS232" s="778"/>
      <c r="AT232" s="778"/>
      <c r="AU232" s="778"/>
      <c r="AV232" s="778"/>
      <c r="AW232" s="778"/>
      <c r="AX232" s="778"/>
      <c r="AY232" s="778"/>
      <c r="AZ232" s="778"/>
      <c r="BA232" s="778"/>
      <c r="BB232" s="778"/>
      <c r="BC232" s="778"/>
      <c r="BD232" s="778"/>
      <c r="BE232" s="778"/>
      <c r="BF232" s="778"/>
      <c r="BG232" s="778"/>
      <c r="BH232" s="778"/>
      <c r="BI232" s="778"/>
      <c r="BJ232" s="778"/>
      <c r="BK232" s="778"/>
      <c r="BL232" s="778"/>
      <c r="BM232" s="778"/>
      <c r="BN232" s="778"/>
      <c r="BO232" s="778"/>
      <c r="BP232" s="778"/>
      <c r="BQ232" s="778"/>
      <c r="BR232" s="778"/>
      <c r="BS232" s="778"/>
      <c r="BT232" s="778"/>
    </row>
    <row r="233" spans="1:72" x14ac:dyDescent="0.25">
      <c r="A233" s="755" t="s">
        <v>790</v>
      </c>
      <c r="AA233" s="300"/>
      <c r="AB233" s="300"/>
      <c r="AC233" s="300"/>
      <c r="AD233" s="300"/>
    </row>
    <row r="234" spans="1:72" x14ac:dyDescent="0.25">
      <c r="A234" s="755" t="s">
        <v>791</v>
      </c>
      <c r="AA234" s="300"/>
      <c r="AB234" s="300"/>
      <c r="AC234" s="300"/>
      <c r="AD234" s="300"/>
    </row>
    <row r="235" spans="1:72" x14ac:dyDescent="0.25">
      <c r="A235" s="755" t="s">
        <v>703</v>
      </c>
      <c r="B235" t="s">
        <v>704</v>
      </c>
      <c r="C235" t="s">
        <v>705</v>
      </c>
      <c r="E235" t="s">
        <v>706</v>
      </c>
      <c r="AA235" s="300"/>
      <c r="AB235" s="300"/>
      <c r="AC235" s="300"/>
      <c r="AD235" s="300"/>
    </row>
    <row r="236" spans="1:72" x14ac:dyDescent="0.25">
      <c r="AA236" s="300"/>
      <c r="AB236" s="300"/>
      <c r="AC236" s="300"/>
      <c r="AD236" s="300"/>
    </row>
    <row r="237" spans="1:72" x14ac:dyDescent="0.25">
      <c r="A237" s="755" t="s">
        <v>433</v>
      </c>
      <c r="AA237" s="300"/>
      <c r="AB237" s="300"/>
      <c r="AC237" s="300"/>
      <c r="AD237" s="300"/>
    </row>
    <row r="238" spans="1:72" x14ac:dyDescent="0.25">
      <c r="A238" s="755" t="s">
        <v>707</v>
      </c>
      <c r="AA238" s="300"/>
      <c r="AB238" s="300"/>
      <c r="AC238" s="300"/>
      <c r="AD238" s="300"/>
    </row>
    <row r="239" spans="1:72" x14ac:dyDescent="0.25">
      <c r="AA239" s="300"/>
      <c r="AB239" s="300"/>
      <c r="AC239" s="300"/>
      <c r="AD239" s="300"/>
    </row>
    <row r="240" spans="1:72" x14ac:dyDescent="0.25">
      <c r="AA240" s="300"/>
      <c r="AB240" s="300"/>
      <c r="AC240" s="300"/>
      <c r="AD240" s="300"/>
    </row>
    <row r="241" spans="1:70" x14ac:dyDescent="0.25">
      <c r="AA241" s="300"/>
      <c r="AB241" s="300"/>
      <c r="AC241" s="300"/>
      <c r="AD241" s="300"/>
    </row>
    <row r="242" spans="1:70" x14ac:dyDescent="0.25">
      <c r="B242" s="756" t="s">
        <v>439</v>
      </c>
      <c r="C242" s="756" t="s">
        <v>440</v>
      </c>
      <c r="D242" s="756" t="s">
        <v>441</v>
      </c>
      <c r="E242" s="756" t="s">
        <v>442</v>
      </c>
      <c r="F242" s="756" t="s">
        <v>443</v>
      </c>
      <c r="G242" s="756" t="s">
        <v>444</v>
      </c>
      <c r="H242" s="756" t="s">
        <v>445</v>
      </c>
      <c r="I242" s="756" t="s">
        <v>446</v>
      </c>
      <c r="J242" s="756" t="s">
        <v>447</v>
      </c>
      <c r="K242" s="756" t="s">
        <v>448</v>
      </c>
      <c r="L242" s="756" t="s">
        <v>449</v>
      </c>
      <c r="M242" s="756" t="s">
        <v>450</v>
      </c>
      <c r="N242" s="756" t="s">
        <v>451</v>
      </c>
      <c r="O242" s="756" t="s">
        <v>452</v>
      </c>
      <c r="P242" s="756" t="s">
        <v>453</v>
      </c>
      <c r="Q242" s="756" t="s">
        <v>454</v>
      </c>
      <c r="R242" s="756" t="s">
        <v>455</v>
      </c>
      <c r="S242" s="756" t="s">
        <v>456</v>
      </c>
      <c r="T242" s="756" t="s">
        <v>457</v>
      </c>
      <c r="U242" s="756" t="s">
        <v>458</v>
      </c>
      <c r="V242" s="756" t="s">
        <v>589</v>
      </c>
      <c r="W242" s="756" t="s">
        <v>590</v>
      </c>
      <c r="X242" s="756" t="s">
        <v>591</v>
      </c>
      <c r="Y242" s="756" t="s">
        <v>592</v>
      </c>
      <c r="Z242" s="756" t="s">
        <v>593</v>
      </c>
      <c r="AA242" s="300" t="s">
        <v>590</v>
      </c>
      <c r="AB242" s="300" t="s">
        <v>591</v>
      </c>
      <c r="AC242" s="300" t="s">
        <v>592</v>
      </c>
      <c r="AD242" s="300" t="s">
        <v>593</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0"/>
      <c r="AB243" s="300"/>
      <c r="AC243" s="300"/>
      <c r="AD243" s="300"/>
    </row>
    <row r="244" spans="1:70" x14ac:dyDescent="0.25">
      <c r="AA244" s="300"/>
      <c r="AB244" s="300"/>
      <c r="AC244" s="300"/>
      <c r="AD244" s="300"/>
    </row>
    <row r="245" spans="1:70" x14ac:dyDescent="0.25">
      <c r="A245" s="755" t="s">
        <v>459</v>
      </c>
      <c r="AA245" s="300"/>
      <c r="AB245" s="300"/>
      <c r="AC245" s="300"/>
      <c r="AD245" s="300"/>
    </row>
    <row r="246" spans="1:70" x14ac:dyDescent="0.25">
      <c r="A246" s="755" t="s">
        <v>594</v>
      </c>
      <c r="B246" s="757">
        <v>23.882804870605501</v>
      </c>
      <c r="C246" s="757">
        <v>24.973464965820298</v>
      </c>
      <c r="D246" s="757">
        <v>28.470840454101602</v>
      </c>
      <c r="E246" s="757">
        <v>21.505495071411101</v>
      </c>
      <c r="F246" s="757">
        <v>20.697200775146499</v>
      </c>
      <c r="G246" s="757">
        <v>23.0020751953125</v>
      </c>
      <c r="H246" s="757">
        <v>24.980747222900401</v>
      </c>
      <c r="I246" s="757">
        <v>26.7403888702393</v>
      </c>
      <c r="J246" s="757">
        <v>28.254840850830099</v>
      </c>
      <c r="K246" s="757">
        <v>29.8807067871094</v>
      </c>
      <c r="L246" s="757">
        <v>30.930690765380898</v>
      </c>
      <c r="M246" s="757">
        <v>31.804765701293899</v>
      </c>
      <c r="N246" s="757">
        <v>32.682899475097699</v>
      </c>
      <c r="O246" s="757">
        <v>33.084945678710902</v>
      </c>
      <c r="P246" s="757">
        <v>33.339298248291001</v>
      </c>
      <c r="Q246" s="757">
        <v>33.569530487060497</v>
      </c>
      <c r="R246" s="757">
        <v>33.692008972167997</v>
      </c>
      <c r="S246" s="757">
        <v>34.029460906982401</v>
      </c>
      <c r="T246" s="757">
        <v>34.165733337402301</v>
      </c>
      <c r="U246" s="757">
        <v>33.722698211669901</v>
      </c>
      <c r="V246" s="757">
        <v>33.999015808105497</v>
      </c>
      <c r="W246" s="757">
        <v>34.276668548583999</v>
      </c>
      <c r="X246" s="757">
        <v>34.616855621337898</v>
      </c>
      <c r="Y246" s="757">
        <v>34.804977416992202</v>
      </c>
      <c r="Z246" s="757">
        <v>35.163482666015597</v>
      </c>
      <c r="AA246" s="300">
        <v>23.653226852416999</v>
      </c>
      <c r="AB246" s="300">
        <v>23.781959533691399</v>
      </c>
      <c r="AC246" s="300">
        <v>23.869001388549801</v>
      </c>
      <c r="AD246" s="300">
        <v>23.909082412719702</v>
      </c>
    </row>
    <row r="247" spans="1:70" x14ac:dyDescent="0.25">
      <c r="A247" s="755" t="s">
        <v>595</v>
      </c>
      <c r="B247" s="757">
        <v>18.4642543792725</v>
      </c>
      <c r="C247" s="757">
        <v>19.664405822753899</v>
      </c>
      <c r="D247" s="757">
        <v>23.940315246581999</v>
      </c>
      <c r="E247" s="757">
        <v>15.6857194900513</v>
      </c>
      <c r="F247" s="757">
        <v>13.3512983322144</v>
      </c>
      <c r="G247" s="757">
        <v>15.708171844482401</v>
      </c>
      <c r="H247" s="757">
        <v>17.491518020629901</v>
      </c>
      <c r="I247" s="757">
        <v>18.8044624328613</v>
      </c>
      <c r="J247" s="757">
        <v>20.071212768554702</v>
      </c>
      <c r="K247" s="757">
        <v>21.571735382080099</v>
      </c>
      <c r="L247" s="757">
        <v>22.444984436035199</v>
      </c>
      <c r="M247" s="757">
        <v>23.2645053863525</v>
      </c>
      <c r="N247" s="757">
        <v>23.975505828857401</v>
      </c>
      <c r="O247" s="757">
        <v>24.350082397460898</v>
      </c>
      <c r="P247" s="757">
        <v>24.6401481628418</v>
      </c>
      <c r="Q247" s="757">
        <v>24.7862453460693</v>
      </c>
      <c r="R247" s="757">
        <v>24.899822235107401</v>
      </c>
      <c r="S247" s="757">
        <v>25.1952934265137</v>
      </c>
      <c r="T247" s="757">
        <v>25.492937088012699</v>
      </c>
      <c r="U247" s="757">
        <v>25.134300231933601</v>
      </c>
      <c r="V247" s="757">
        <v>25.433099746704102</v>
      </c>
      <c r="W247" s="757">
        <v>25.7546691894531</v>
      </c>
      <c r="X247" s="757">
        <v>26.098386764526399</v>
      </c>
      <c r="Y247" s="757">
        <v>26.3820476531982</v>
      </c>
      <c r="Z247" s="757">
        <v>26.7700805664063</v>
      </c>
      <c r="AA247" s="300">
        <v>13.801754951477101</v>
      </c>
      <c r="AB247" s="300">
        <v>13.897899627685501</v>
      </c>
      <c r="AC247" s="300">
        <v>14.058331489563001</v>
      </c>
      <c r="AD247" s="300">
        <v>14.125551223754901</v>
      </c>
    </row>
    <row r="248" spans="1:70" x14ac:dyDescent="0.25">
      <c r="A248" s="755" t="s">
        <v>496</v>
      </c>
      <c r="B248" s="757">
        <v>13.7000589370728</v>
      </c>
      <c r="C248" s="757">
        <v>12.691158294677701</v>
      </c>
      <c r="D248" s="757">
        <v>12.9778490066528</v>
      </c>
      <c r="E248" s="757">
        <v>10.717614173889199</v>
      </c>
      <c r="F248" s="757">
        <v>11.192774772644</v>
      </c>
      <c r="G248" s="757">
        <v>11.487280845642101</v>
      </c>
      <c r="H248" s="757">
        <v>11.3991556167603</v>
      </c>
      <c r="I248" s="757">
        <v>11.307798385620099</v>
      </c>
      <c r="J248" s="757">
        <v>11.2896461486816</v>
      </c>
      <c r="K248" s="757">
        <v>11.345415115356399</v>
      </c>
      <c r="L248" s="757">
        <v>11.538298606872599</v>
      </c>
      <c r="M248" s="757">
        <v>11.7583208084106</v>
      </c>
      <c r="N248" s="757">
        <v>11.975100517272899</v>
      </c>
      <c r="O248" s="757">
        <v>12.23952293396</v>
      </c>
      <c r="P248" s="757">
        <v>12.557071685791</v>
      </c>
      <c r="Q248" s="757">
        <v>12.7957820892334</v>
      </c>
      <c r="R248" s="757">
        <v>12.871651649475099</v>
      </c>
      <c r="S248" s="757">
        <v>12.660281181335399</v>
      </c>
      <c r="T248" s="757">
        <v>12.6240320205688</v>
      </c>
      <c r="U248" s="757">
        <v>12.5992183685303</v>
      </c>
      <c r="V248" s="757">
        <v>12.7868556976318</v>
      </c>
      <c r="W248" s="757">
        <v>13.07555103302</v>
      </c>
      <c r="X248" s="757">
        <v>13.407883644104</v>
      </c>
      <c r="Y248" s="757">
        <v>13.6725673675537</v>
      </c>
      <c r="Z248" s="757">
        <v>13.962038993835399</v>
      </c>
      <c r="AA248" s="300">
        <v>11.116808891296399</v>
      </c>
      <c r="AB248" s="300">
        <v>11.2574377059937</v>
      </c>
      <c r="AC248" s="300">
        <v>11.3709173202515</v>
      </c>
      <c r="AD248" s="300">
        <v>11.426144599914601</v>
      </c>
    </row>
    <row r="249" spans="1:70" x14ac:dyDescent="0.25">
      <c r="A249" s="755" t="s">
        <v>465</v>
      </c>
      <c r="B249" s="757">
        <v>31.206779479980501</v>
      </c>
      <c r="C249" s="757">
        <v>31.181957244873001</v>
      </c>
      <c r="D249" s="757">
        <v>31.772819519043001</v>
      </c>
      <c r="E249" s="757">
        <v>30.736837387085</v>
      </c>
      <c r="F249" s="757">
        <v>28.616357803344702</v>
      </c>
      <c r="G249" s="757">
        <v>29.873619079589801</v>
      </c>
      <c r="H249" s="757">
        <v>30.101655960083001</v>
      </c>
      <c r="I249" s="757">
        <v>30.425390243530298</v>
      </c>
      <c r="J249" s="757">
        <v>30.7938537597656</v>
      </c>
      <c r="K249" s="757">
        <v>30.883028030395501</v>
      </c>
      <c r="L249" s="757">
        <v>31.149145126342798</v>
      </c>
      <c r="M249" s="757">
        <v>31.4898681640625</v>
      </c>
      <c r="N249" s="757">
        <v>31.815629959106399</v>
      </c>
      <c r="O249" s="757">
        <v>32.020698547363303</v>
      </c>
      <c r="P249" s="757">
        <v>32.4303588867188</v>
      </c>
      <c r="Q249" s="757">
        <v>32.7907905578613</v>
      </c>
      <c r="R249" s="757">
        <v>32.994007110595703</v>
      </c>
      <c r="S249" s="757">
        <v>32.923465728759801</v>
      </c>
      <c r="T249" s="757">
        <v>32.920154571533203</v>
      </c>
      <c r="U249" s="757">
        <v>32.902271270752003</v>
      </c>
      <c r="V249" s="757">
        <v>32.958240509033203</v>
      </c>
      <c r="W249" s="757">
        <v>33.321102142333999</v>
      </c>
      <c r="X249" s="757">
        <v>33.734363555908203</v>
      </c>
      <c r="Y249" s="757">
        <v>34.149539947509801</v>
      </c>
      <c r="Z249" s="757">
        <v>34.490489959716797</v>
      </c>
      <c r="AA249" s="300">
        <v>26.5695495605469</v>
      </c>
      <c r="AB249" s="300">
        <v>26.6057014465332</v>
      </c>
      <c r="AC249" s="300">
        <v>26.7373046875</v>
      </c>
      <c r="AD249" s="300">
        <v>26.757972717285199</v>
      </c>
    </row>
    <row r="250" spans="1:70" x14ac:dyDescent="0.25">
      <c r="AA250" s="300"/>
      <c r="AB250" s="300"/>
      <c r="AC250" s="300"/>
      <c r="AD250" s="300"/>
    </row>
    <row r="251" spans="1:70" x14ac:dyDescent="0.25">
      <c r="A251" s="755" t="s">
        <v>466</v>
      </c>
      <c r="AA251" s="300">
        <v>12.0537929534912</v>
      </c>
      <c r="AB251" s="300">
        <v>12.2529897689819</v>
      </c>
      <c r="AC251" s="300">
        <v>12.3258762359619</v>
      </c>
      <c r="AD251" s="300">
        <v>12.452996253967299</v>
      </c>
    </row>
    <row r="252" spans="1:70" ht="13.8" thickBot="1" x14ac:dyDescent="0.3">
      <c r="A252" s="755" t="s">
        <v>594</v>
      </c>
      <c r="B252" s="757">
        <v>21.1974983215332</v>
      </c>
      <c r="C252" s="757">
        <v>23.041419982910199</v>
      </c>
      <c r="D252" s="757">
        <v>23.540430068969702</v>
      </c>
      <c r="E252" s="757">
        <v>20.975297927856399</v>
      </c>
      <c r="F252" s="757">
        <v>17.540355682373001</v>
      </c>
      <c r="G252" s="757">
        <v>19.827720642089801</v>
      </c>
      <c r="H252" s="757">
        <v>21.7962131500244</v>
      </c>
      <c r="I252" s="757">
        <v>23.5440998077393</v>
      </c>
      <c r="J252" s="757">
        <v>25.047388076782202</v>
      </c>
      <c r="K252" s="757">
        <v>26.6623840332031</v>
      </c>
      <c r="L252" s="757">
        <v>27.701774597168001</v>
      </c>
      <c r="M252" s="757">
        <v>28.565574645996101</v>
      </c>
      <c r="N252" s="757">
        <v>29.4346523284912</v>
      </c>
      <c r="O252" s="757">
        <v>29.8274021148682</v>
      </c>
      <c r="P252" s="757">
        <v>30.0731811523438</v>
      </c>
      <c r="Q252" s="757">
        <v>30.2960014343262</v>
      </c>
      <c r="R252" s="757">
        <v>30.4115695953369</v>
      </c>
      <c r="S252" s="757">
        <v>30.7421360015869</v>
      </c>
      <c r="T252" s="757">
        <v>30.871879577636701</v>
      </c>
      <c r="U252" s="757">
        <v>30.422807693481399</v>
      </c>
      <c r="V252" s="757">
        <v>30.6932373046875</v>
      </c>
      <c r="W252" s="757">
        <v>30.965314865112301</v>
      </c>
      <c r="X252" s="757">
        <v>31.299940109252901</v>
      </c>
      <c r="Y252" s="757">
        <v>31.482862472534201</v>
      </c>
      <c r="Z252" s="757">
        <v>31.836189270019499</v>
      </c>
      <c r="AA252" s="300">
        <v>7.3951959609985396</v>
      </c>
      <c r="AB252" s="300">
        <v>7.4624595642089799</v>
      </c>
      <c r="AC252" s="300">
        <v>7.2386937141418501</v>
      </c>
      <c r="AD252" s="300">
        <v>7.3113985061645499</v>
      </c>
    </row>
    <row r="253" spans="1:70" ht="13.8" thickBot="1" x14ac:dyDescent="0.3">
      <c r="A253" s="755" t="s">
        <v>595</v>
      </c>
      <c r="B253" s="757">
        <v>15.019946098327599</v>
      </c>
      <c r="C253" s="757">
        <v>16.054100036621101</v>
      </c>
      <c r="D253" s="757">
        <v>20.9568576812744</v>
      </c>
      <c r="E253" s="757">
        <v>13.740292549133301</v>
      </c>
      <c r="F253" s="757">
        <v>10.759732246398899</v>
      </c>
      <c r="G253" s="757">
        <v>13.277551651001</v>
      </c>
      <c r="H253" s="757">
        <v>15.102119445800801</v>
      </c>
      <c r="I253" s="757">
        <v>16.819028854370099</v>
      </c>
      <c r="J253" s="757">
        <v>18.163129806518601</v>
      </c>
      <c r="K253" s="757">
        <v>19.404659271240199</v>
      </c>
      <c r="L253" s="757">
        <v>20.2805690765381</v>
      </c>
      <c r="M253" s="757">
        <v>21.141357421875</v>
      </c>
      <c r="N253" s="757">
        <v>21.870569229126001</v>
      </c>
      <c r="O253" s="757">
        <v>22.288406372070298</v>
      </c>
      <c r="P253" s="757">
        <v>22.606428146362301</v>
      </c>
      <c r="Q253" s="757">
        <v>22.643785476684599</v>
      </c>
      <c r="R253" s="757">
        <v>22.862098693847699</v>
      </c>
      <c r="S253" s="757">
        <v>23.111530303955099</v>
      </c>
      <c r="T253" s="757">
        <v>23.2818489074707</v>
      </c>
      <c r="U253" s="757">
        <v>23.1139316558838</v>
      </c>
      <c r="V253" s="757">
        <v>23.4434604644775</v>
      </c>
      <c r="W253" s="757">
        <v>23.529294967651399</v>
      </c>
      <c r="X253" s="757">
        <v>23.9437866210938</v>
      </c>
      <c r="Y253" s="757">
        <v>24.471529006958001</v>
      </c>
      <c r="Z253" s="757">
        <v>24.6476936340332</v>
      </c>
      <c r="AA253" s="300">
        <v>9.0512752532959002</v>
      </c>
      <c r="AB253" s="300">
        <v>9.1702537536621094</v>
      </c>
      <c r="AC253" s="300">
        <v>9.2454566955566406</v>
      </c>
      <c r="AD253" s="300">
        <v>9.3029346466064506</v>
      </c>
      <c r="AE253" s="277">
        <f>AD253+($AI$253-$AD$253)/5</f>
        <v>9.3577216364198588</v>
      </c>
      <c r="AF253" s="277">
        <f>AE253+($AI$253-$AD$253)/5</f>
        <v>9.4125086262332669</v>
      </c>
      <c r="AG253" s="277">
        <f>AF253+($AI$253-$AD$253)/5</f>
        <v>9.467295616046675</v>
      </c>
      <c r="AH253" s="277">
        <f>AG253+($AI$253-$AD$253)/5</f>
        <v>9.5220826058600831</v>
      </c>
      <c r="AI253" s="278">
        <f>T423*$E$742</f>
        <v>9.5768695956734877</v>
      </c>
      <c r="AJ253" s="277">
        <f>AI253+($AX$253-$AI$253)/15</f>
        <v>9.6852727225982509</v>
      </c>
      <c r="AK253" s="277">
        <f t="shared" ref="AK253:AW253" si="3">AJ253+($AX$253-$AI$253)/15</f>
        <v>9.7936758495230141</v>
      </c>
      <c r="AL253" s="277">
        <f t="shared" si="3"/>
        <v>9.9020789764477772</v>
      </c>
      <c r="AM253" s="277">
        <f t="shared" si="3"/>
        <v>10.01048210337254</v>
      </c>
      <c r="AN253" s="277">
        <f t="shared" si="3"/>
        <v>10.118885230297304</v>
      </c>
      <c r="AO253" s="277">
        <f t="shared" si="3"/>
        <v>10.227288357222067</v>
      </c>
      <c r="AP253" s="277">
        <f t="shared" si="3"/>
        <v>10.33569148414683</v>
      </c>
      <c r="AQ253" s="277">
        <f t="shared" si="3"/>
        <v>10.444094611071593</v>
      </c>
      <c r="AR253" s="277">
        <f t="shared" si="3"/>
        <v>10.552497737996356</v>
      </c>
      <c r="AS253" s="277">
        <f t="shared" si="3"/>
        <v>10.660900864921119</v>
      </c>
      <c r="AT253" s="277">
        <f t="shared" si="3"/>
        <v>10.769303991845883</v>
      </c>
      <c r="AU253" s="277">
        <f t="shared" si="3"/>
        <v>10.877707118770646</v>
      </c>
      <c r="AV253" s="277">
        <f t="shared" si="3"/>
        <v>10.986110245695409</v>
      </c>
      <c r="AW253" s="277">
        <f t="shared" si="3"/>
        <v>11.094513372620172</v>
      </c>
      <c r="AX253" s="278">
        <f>AI253*$B$742</f>
        <v>11.202916499544939</v>
      </c>
      <c r="AY253" s="277">
        <f>AX253+($BM$253-$AX$253)/15</f>
        <v>11.313845014700993</v>
      </c>
      <c r="AZ253" s="277">
        <f t="shared" ref="AZ253:BL253" si="4">AY253+($BM$253-$AX$253)/15</f>
        <v>11.424773529857047</v>
      </c>
      <c r="BA253" s="277">
        <f t="shared" si="4"/>
        <v>11.535702045013101</v>
      </c>
      <c r="BB253" s="277">
        <f t="shared" si="4"/>
        <v>11.646630560169156</v>
      </c>
      <c r="BC253" s="277">
        <f t="shared" si="4"/>
        <v>11.75755907532521</v>
      </c>
      <c r="BD253" s="277">
        <f t="shared" si="4"/>
        <v>11.868487590481264</v>
      </c>
      <c r="BE253" s="277">
        <f t="shared" si="4"/>
        <v>11.979416105637318</v>
      </c>
      <c r="BF253" s="277">
        <f t="shared" si="4"/>
        <v>12.090344620793372</v>
      </c>
      <c r="BG253" s="277">
        <f t="shared" si="4"/>
        <v>12.201273135949426</v>
      </c>
      <c r="BH253" s="277">
        <f t="shared" si="4"/>
        <v>12.312201651105481</v>
      </c>
      <c r="BI253" s="277">
        <f t="shared" si="4"/>
        <v>12.423130166261535</v>
      </c>
      <c r="BJ253" s="277">
        <f t="shared" si="4"/>
        <v>12.534058681417589</v>
      </c>
      <c r="BK253" s="277">
        <f t="shared" si="4"/>
        <v>12.644987196573643</v>
      </c>
      <c r="BL253" s="277">
        <f t="shared" si="4"/>
        <v>12.755915711729697</v>
      </c>
      <c r="BM253" s="278">
        <f>AX253*$C$742</f>
        <v>12.866844226885757</v>
      </c>
      <c r="BN253" s="277">
        <f>BM253+($BR$253-$BM$253)/5</f>
        <v>12.994248543867917</v>
      </c>
      <c r="BO253" s="277">
        <f>BN253+($BR$253-$BM$253)/5</f>
        <v>13.121652860850077</v>
      </c>
      <c r="BP253" s="277">
        <f>BO253+($BR$253-$BM$253)/5</f>
        <v>13.249057177832237</v>
      </c>
      <c r="BQ253" s="277">
        <f>BP253+($BR$253-$BM$253)/5</f>
        <v>13.376461494814397</v>
      </c>
      <c r="BR253" s="278">
        <f>BM253*$D$742</f>
        <v>13.503865811796555</v>
      </c>
    </row>
    <row r="254" spans="1:70" ht="13.8" thickBot="1" x14ac:dyDescent="0.3">
      <c r="A254" s="755" t="s">
        <v>708</v>
      </c>
      <c r="B254" s="757">
        <v>8.8815975189209002</v>
      </c>
      <c r="C254" s="757">
        <v>10.3074436187744</v>
      </c>
      <c r="D254" s="757">
        <v>13.411918640136699</v>
      </c>
      <c r="E254" s="757">
        <v>6.6991925239562997</v>
      </c>
      <c r="F254" s="757">
        <v>5.8016228675842303</v>
      </c>
      <c r="G254" s="757">
        <v>8.5975322723388707</v>
      </c>
      <c r="H254" s="757">
        <v>10.1285858154297</v>
      </c>
      <c r="I254" s="757">
        <v>11.654000282287599</v>
      </c>
      <c r="J254" s="757">
        <v>12.9474182128906</v>
      </c>
      <c r="K254" s="757">
        <v>14.400235176086399</v>
      </c>
      <c r="L254" s="757">
        <v>15.2041673660278</v>
      </c>
      <c r="M254" s="757">
        <v>15.658245086669901</v>
      </c>
      <c r="N254" s="757">
        <v>16.352220535278299</v>
      </c>
      <c r="O254" s="757">
        <v>16.605510711669901</v>
      </c>
      <c r="P254" s="757">
        <v>16.856744766235401</v>
      </c>
      <c r="Q254" s="757">
        <v>17.043632507324201</v>
      </c>
      <c r="R254" s="757">
        <v>17.1953125</v>
      </c>
      <c r="S254" s="757">
        <v>17.403110504150401</v>
      </c>
      <c r="T254" s="757">
        <v>17.4520969390869</v>
      </c>
      <c r="U254" s="757">
        <v>17.016120910644499</v>
      </c>
      <c r="V254" s="757">
        <v>17.163618087768601</v>
      </c>
      <c r="W254" s="757">
        <v>17.311967849731399</v>
      </c>
      <c r="X254" s="757">
        <v>17.516565322876001</v>
      </c>
      <c r="Y254" s="757">
        <v>17.704761505126999</v>
      </c>
      <c r="Z254" s="757">
        <v>17.873653411865199</v>
      </c>
      <c r="AA254" s="300">
        <v>24.1571254730225</v>
      </c>
      <c r="AB254" s="300">
        <v>24.207300186157202</v>
      </c>
      <c r="AC254" s="300">
        <v>24.2876873016357</v>
      </c>
      <c r="AD254" s="300">
        <v>24.267208099365199</v>
      </c>
      <c r="AE254" s="279">
        <f>AD254+($AI$254-$AD$254)/5</f>
        <v>24.075703794494256</v>
      </c>
      <c r="AF254" s="279">
        <f>AE254+($AI$254-$AD$254)/5</f>
        <v>23.884199489623313</v>
      </c>
      <c r="AG254" s="279">
        <f>AF254+($AI$254-$AD$254)/5</f>
        <v>23.69269518475237</v>
      </c>
      <c r="AH254" s="279">
        <f>AG254+($AI$254-$AD$254)/5</f>
        <v>23.501190879881428</v>
      </c>
      <c r="AI254" s="280">
        <f>T424*$E$745</f>
        <v>23.309686575010492</v>
      </c>
      <c r="AJ254" s="279">
        <f>AI254+($AX$254-$AI$254)/15</f>
        <v>23.300523054015734</v>
      </c>
      <c r="AK254" s="279">
        <f t="shared" ref="AK254:AW254" si="5">AJ254+($AX$254-$AI$254)/15</f>
        <v>23.291359533020977</v>
      </c>
      <c r="AL254" s="279">
        <f t="shared" si="5"/>
        <v>23.282196012026219</v>
      </c>
      <c r="AM254" s="279">
        <f t="shared" si="5"/>
        <v>23.273032491031461</v>
      </c>
      <c r="AN254" s="279">
        <f t="shared" si="5"/>
        <v>23.263868970036704</v>
      </c>
      <c r="AO254" s="279">
        <f t="shared" si="5"/>
        <v>23.254705449041946</v>
      </c>
      <c r="AP254" s="279">
        <f t="shared" si="5"/>
        <v>23.245541928047189</v>
      </c>
      <c r="AQ254" s="279">
        <f t="shared" si="5"/>
        <v>23.236378407052431</v>
      </c>
      <c r="AR254" s="279">
        <f t="shared" si="5"/>
        <v>23.227214886057673</v>
      </c>
      <c r="AS254" s="279">
        <f t="shared" si="5"/>
        <v>23.218051365062916</v>
      </c>
      <c r="AT254" s="279">
        <f t="shared" si="5"/>
        <v>23.208887844068158</v>
      </c>
      <c r="AU254" s="279">
        <f t="shared" si="5"/>
        <v>23.199724323073401</v>
      </c>
      <c r="AV254" s="279">
        <f t="shared" si="5"/>
        <v>23.190560802078643</v>
      </c>
      <c r="AW254" s="279">
        <f t="shared" si="5"/>
        <v>23.181397281083886</v>
      </c>
      <c r="AX254" s="280">
        <f>AI254*$B$745</f>
        <v>23.172233760089139</v>
      </c>
      <c r="AY254" s="279">
        <f>AX254+($BM$254-$AX$254)/15</f>
        <v>23.186953863011141</v>
      </c>
      <c r="AZ254" s="279">
        <f t="shared" ref="AZ254:BL254" si="6">AY254+($BM$254-$AX$254)/15</f>
        <v>23.201673965933143</v>
      </c>
      <c r="BA254" s="279">
        <f t="shared" si="6"/>
        <v>23.216394068855145</v>
      </c>
      <c r="BB254" s="279">
        <f t="shared" si="6"/>
        <v>23.231114171777147</v>
      </c>
      <c r="BC254" s="279">
        <f t="shared" si="6"/>
        <v>23.245834274699149</v>
      </c>
      <c r="BD254" s="279">
        <f t="shared" si="6"/>
        <v>23.260554377621151</v>
      </c>
      <c r="BE254" s="279">
        <f t="shared" si="6"/>
        <v>23.275274480543153</v>
      </c>
      <c r="BF254" s="279">
        <f t="shared" si="6"/>
        <v>23.289994583465155</v>
      </c>
      <c r="BG254" s="279">
        <f t="shared" si="6"/>
        <v>23.304714686387157</v>
      </c>
      <c r="BH254" s="279">
        <f t="shared" si="6"/>
        <v>23.31943478930916</v>
      </c>
      <c r="BI254" s="279">
        <f t="shared" si="6"/>
        <v>23.334154892231162</v>
      </c>
      <c r="BJ254" s="279">
        <f t="shared" si="6"/>
        <v>23.348874995153164</v>
      </c>
      <c r="BK254" s="279">
        <f t="shared" si="6"/>
        <v>23.363595098075166</v>
      </c>
      <c r="BL254" s="279">
        <f t="shared" si="6"/>
        <v>23.378315200997168</v>
      </c>
      <c r="BM254" s="280">
        <f>AX254*$C$745</f>
        <v>23.393035303919145</v>
      </c>
      <c r="BN254" s="279">
        <f>BM254+($BR$254-$BM$254)/5</f>
        <v>23.407895670463727</v>
      </c>
      <c r="BO254" s="279">
        <f>BN254+($BR$254-$BM$254)/5</f>
        <v>23.422756037008309</v>
      </c>
      <c r="BP254" s="279">
        <f>BO254+($BR$254-$BM$254)/5</f>
        <v>23.437616403552891</v>
      </c>
      <c r="BQ254" s="279">
        <f>BP254+($BR$254-$BM$254)/5</f>
        <v>23.452476770097473</v>
      </c>
      <c r="BR254" s="280">
        <f>BM254*$D$745</f>
        <v>23.467337136642058</v>
      </c>
    </row>
    <row r="255" spans="1:70" x14ac:dyDescent="0.25">
      <c r="A255" s="755" t="s">
        <v>496</v>
      </c>
      <c r="B255" s="757">
        <v>11.896094322204601</v>
      </c>
      <c r="C255" s="757">
        <v>10.9898433685303</v>
      </c>
      <c r="D255" s="757">
        <v>11.3387994766235</v>
      </c>
      <c r="E255" s="757">
        <v>8.9075946807861293</v>
      </c>
      <c r="F255" s="757">
        <v>9.4656057357788104</v>
      </c>
      <c r="G255" s="757">
        <v>9.7463216781616193</v>
      </c>
      <c r="H255" s="757">
        <v>9.7210922241210902</v>
      </c>
      <c r="I255" s="757">
        <v>9.6719341278076207</v>
      </c>
      <c r="J255" s="757">
        <v>9.7138872146606392</v>
      </c>
      <c r="K255" s="757">
        <v>9.8306560516357404</v>
      </c>
      <c r="L255" s="757">
        <v>10.038209915161101</v>
      </c>
      <c r="M255" s="757">
        <v>10.2545003890991</v>
      </c>
      <c r="N255" s="757">
        <v>10.476261138916</v>
      </c>
      <c r="O255" s="757">
        <v>10.746561050415</v>
      </c>
      <c r="P255" s="757">
        <v>11.0803880691528</v>
      </c>
      <c r="Q255" s="757">
        <v>11.314369201660201</v>
      </c>
      <c r="R255" s="757">
        <v>11.4017143249512</v>
      </c>
      <c r="S255" s="757">
        <v>11.212500572204601</v>
      </c>
      <c r="T255" s="757">
        <v>11.1975994110107</v>
      </c>
      <c r="U255" s="757">
        <v>11.159740447998001</v>
      </c>
      <c r="V255" s="757">
        <v>11.3503875732422</v>
      </c>
      <c r="W255" s="757">
        <v>11.640952110290501</v>
      </c>
      <c r="X255" s="757">
        <v>11.9785671234131</v>
      </c>
      <c r="Y255" s="757">
        <v>12.2332496643066</v>
      </c>
      <c r="Z255" s="757">
        <v>12.5188312530518</v>
      </c>
      <c r="AA255" s="300"/>
      <c r="AB255" s="300"/>
      <c r="AC255" s="300"/>
      <c r="AD255" s="300"/>
    </row>
    <row r="256" spans="1:70" x14ac:dyDescent="0.25">
      <c r="A256" s="755" t="s">
        <v>465</v>
      </c>
      <c r="B256" s="757">
        <v>28.3762531280518</v>
      </c>
      <c r="C256" s="757">
        <v>28.029735565185501</v>
      </c>
      <c r="D256" s="757">
        <v>29.057315826416001</v>
      </c>
      <c r="E256" s="757">
        <v>27.6067714691162</v>
      </c>
      <c r="F256" s="757">
        <v>24.835584640502901</v>
      </c>
      <c r="G256" s="757">
        <v>25.581251144409201</v>
      </c>
      <c r="H256" s="757">
        <v>25.4402256011963</v>
      </c>
      <c r="I256" s="757">
        <v>25.470129013061499</v>
      </c>
      <c r="J256" s="757">
        <v>25.672283172607401</v>
      </c>
      <c r="K256" s="757">
        <v>25.763282775878899</v>
      </c>
      <c r="L256" s="757">
        <v>26.100669860839801</v>
      </c>
      <c r="M256" s="757">
        <v>26.468044281005898</v>
      </c>
      <c r="N256" s="757">
        <v>26.885612487793001</v>
      </c>
      <c r="O256" s="757">
        <v>27.169450759887699</v>
      </c>
      <c r="P256" s="757">
        <v>27.620109558105501</v>
      </c>
      <c r="Q256" s="757">
        <v>28.002447128295898</v>
      </c>
      <c r="R256" s="757">
        <v>28.245407104492202</v>
      </c>
      <c r="S256" s="757">
        <v>28.186374664306602</v>
      </c>
      <c r="T256" s="757">
        <v>28.203248977661101</v>
      </c>
      <c r="U256" s="757">
        <v>28.139711380004901</v>
      </c>
      <c r="V256" s="757">
        <v>28.178466796875</v>
      </c>
      <c r="W256" s="757">
        <v>28.495182037353501</v>
      </c>
      <c r="X256" s="757">
        <v>28.915565490722699</v>
      </c>
      <c r="Y256" s="757">
        <v>29.289411544799801</v>
      </c>
      <c r="Z256" s="757">
        <v>29.651695251464801</v>
      </c>
      <c r="AA256" s="300">
        <v>16.318952560424801</v>
      </c>
      <c r="AB256" s="300">
        <v>16.4172878265381</v>
      </c>
      <c r="AC256" s="300">
        <v>16.5084934234619</v>
      </c>
      <c r="AD256" s="300">
        <v>16.549221038818398</v>
      </c>
    </row>
    <row r="257" spans="1:70" x14ac:dyDescent="0.25">
      <c r="AA257" s="300">
        <v>12.788073539733899</v>
      </c>
      <c r="AB257" s="300">
        <v>13.069622039794901</v>
      </c>
      <c r="AC257" s="300">
        <v>13.0597486495972</v>
      </c>
      <c r="AD257" s="300">
        <v>13.2463188171387</v>
      </c>
    </row>
    <row r="258" spans="1:70" ht="13.8" thickBot="1" x14ac:dyDescent="0.3">
      <c r="A258" s="755" t="s">
        <v>597</v>
      </c>
      <c r="AA258" s="300">
        <v>9.5039434432983398</v>
      </c>
      <c r="AB258" s="300">
        <v>9.4975557327270508</v>
      </c>
      <c r="AC258" s="300">
        <v>9.6068582534790004</v>
      </c>
      <c r="AD258" s="300">
        <v>9.5831336975097692</v>
      </c>
    </row>
    <row r="259" spans="1:70" ht="13.8" thickBot="1" x14ac:dyDescent="0.3">
      <c r="A259" s="755" t="s">
        <v>594</v>
      </c>
      <c r="B259" s="757">
        <v>21.041078567504901</v>
      </c>
      <c r="C259" s="757">
        <v>23.3795166015625</v>
      </c>
      <c r="D259" s="757">
        <v>26.646581649780298</v>
      </c>
      <c r="E259" s="757">
        <v>22.2440700531006</v>
      </c>
      <c r="F259" s="757">
        <v>16.6379299163818</v>
      </c>
      <c r="G259" s="757">
        <v>18.920274734497099</v>
      </c>
      <c r="H259" s="757">
        <v>20.8892612457275</v>
      </c>
      <c r="I259" s="757">
        <v>22.636520385742202</v>
      </c>
      <c r="J259" s="757">
        <v>24.1346244812012</v>
      </c>
      <c r="K259" s="757">
        <v>25.742292404174801</v>
      </c>
      <c r="L259" s="757">
        <v>26.783767700195298</v>
      </c>
      <c r="M259" s="757">
        <v>27.652248382568398</v>
      </c>
      <c r="N259" s="757">
        <v>28.520401000976602</v>
      </c>
      <c r="O259" s="757">
        <v>28.932659149169901</v>
      </c>
      <c r="P259" s="757">
        <v>29.169765472412099</v>
      </c>
      <c r="Q259" s="757">
        <v>29.4143581390381</v>
      </c>
      <c r="R259" s="757">
        <v>29.524629592895501</v>
      </c>
      <c r="S259" s="757">
        <v>29.853767395019499</v>
      </c>
      <c r="T259" s="757">
        <v>29.959171295166001</v>
      </c>
      <c r="U259" s="757">
        <v>29.528638839721701</v>
      </c>
      <c r="V259" s="757">
        <v>29.7813510894775</v>
      </c>
      <c r="W259" s="757">
        <v>30.054143905639599</v>
      </c>
      <c r="X259" s="757">
        <v>30.3852443695068</v>
      </c>
      <c r="Y259" s="757">
        <v>30.4649448394775</v>
      </c>
      <c r="Z259" s="757">
        <v>30.849096298217798</v>
      </c>
      <c r="AA259" s="300">
        <v>6.3330101966857901</v>
      </c>
      <c r="AB259" s="300">
        <v>6.4338274002075204</v>
      </c>
      <c r="AC259" s="300">
        <v>6.5134425163268999</v>
      </c>
      <c r="AD259" s="300">
        <v>6.5598897933959996</v>
      </c>
      <c r="AE259" s="277">
        <f>AD259+($AI$259-$AD$259)/5</f>
        <v>6.5507078532683796</v>
      </c>
      <c r="AF259" s="277">
        <f>AE259+($AI$259-$AD$259)/5</f>
        <v>6.5415259131407595</v>
      </c>
      <c r="AG259" s="277">
        <f>AF259+($AI$259-$AD$259)/5</f>
        <v>6.5323439730131394</v>
      </c>
      <c r="AH259" s="277">
        <f>AG259+($AI$259-$AD$259)/5</f>
        <v>6.5231620328855193</v>
      </c>
      <c r="AI259" s="278">
        <f>T429*$E$742</f>
        <v>6.5139800927579001</v>
      </c>
      <c r="AJ259" s="277">
        <f>AI259+($AX$259-$AI$259)/15</f>
        <v>6.5877135610615332</v>
      </c>
      <c r="AK259" s="277">
        <f t="shared" ref="AK259:AW259" si="7">AJ259+($AX$259-$AI$259)/15</f>
        <v>6.6614470293651662</v>
      </c>
      <c r="AL259" s="277">
        <f t="shared" si="7"/>
        <v>6.7351804976687992</v>
      </c>
      <c r="AM259" s="277">
        <f t="shared" si="7"/>
        <v>6.8089139659724323</v>
      </c>
      <c r="AN259" s="277">
        <f t="shared" si="7"/>
        <v>6.8826474342760653</v>
      </c>
      <c r="AO259" s="277">
        <f t="shared" si="7"/>
        <v>6.9563809025796983</v>
      </c>
      <c r="AP259" s="277">
        <f t="shared" si="7"/>
        <v>7.0301143708833314</v>
      </c>
      <c r="AQ259" s="277">
        <f t="shared" si="7"/>
        <v>7.1038478391869644</v>
      </c>
      <c r="AR259" s="277">
        <f t="shared" si="7"/>
        <v>7.1775813074905974</v>
      </c>
      <c r="AS259" s="277">
        <f t="shared" si="7"/>
        <v>7.2513147757942304</v>
      </c>
      <c r="AT259" s="277">
        <f t="shared" si="7"/>
        <v>7.3250482440978635</v>
      </c>
      <c r="AU259" s="277">
        <f t="shared" si="7"/>
        <v>7.3987817124014965</v>
      </c>
      <c r="AV259" s="277">
        <f t="shared" si="7"/>
        <v>7.4725151807051295</v>
      </c>
      <c r="AW259" s="277">
        <f t="shared" si="7"/>
        <v>7.5462486490087626</v>
      </c>
      <c r="AX259" s="278">
        <f>AI259*$B$742</f>
        <v>7.6199821173123929</v>
      </c>
      <c r="AY259" s="277">
        <f>AX259+($BM$259-$AX$259)/15</f>
        <v>7.6954333002095865</v>
      </c>
      <c r="AZ259" s="277">
        <f t="shared" ref="AZ259:BL259" si="8">AY259+($BM$259-$AX$259)/15</f>
        <v>7.77088448310678</v>
      </c>
      <c r="BA259" s="277">
        <f t="shared" si="8"/>
        <v>7.8463356660039736</v>
      </c>
      <c r="BB259" s="277">
        <f t="shared" si="8"/>
        <v>7.9217868489011671</v>
      </c>
      <c r="BC259" s="277">
        <f t="shared" si="8"/>
        <v>7.9972380317983607</v>
      </c>
      <c r="BD259" s="277">
        <f t="shared" si="8"/>
        <v>8.0726892146955542</v>
      </c>
      <c r="BE259" s="277">
        <f t="shared" si="8"/>
        <v>8.1481403975927478</v>
      </c>
      <c r="BF259" s="277">
        <f t="shared" si="8"/>
        <v>8.2235915804899413</v>
      </c>
      <c r="BG259" s="277">
        <f t="shared" si="8"/>
        <v>8.2990427633871349</v>
      </c>
      <c r="BH259" s="277">
        <f t="shared" si="8"/>
        <v>8.3744939462843284</v>
      </c>
      <c r="BI259" s="277">
        <f t="shared" si="8"/>
        <v>8.449945129181522</v>
      </c>
      <c r="BJ259" s="277">
        <f t="shared" si="8"/>
        <v>8.5253963120787155</v>
      </c>
      <c r="BK259" s="277">
        <f t="shared" si="8"/>
        <v>8.6008474949759091</v>
      </c>
      <c r="BL259" s="277">
        <f t="shared" si="8"/>
        <v>8.6762986778731026</v>
      </c>
      <c r="BM259" s="278">
        <f>AX259*$C$742</f>
        <v>8.7517498607702962</v>
      </c>
      <c r="BN259" s="277">
        <f>BM259+($BR$259-$BM$259)/5</f>
        <v>8.8384075286295438</v>
      </c>
      <c r="BO259" s="277">
        <f>BN259+($BR$259-$BM$259)/5</f>
        <v>8.9250651964887915</v>
      </c>
      <c r="BP259" s="277">
        <f>BO259+($BR$259-$BM$259)/5</f>
        <v>9.0117228643480392</v>
      </c>
      <c r="BQ259" s="277">
        <f>BP259+($BR$259-$BM$259)/5</f>
        <v>9.0983805322072868</v>
      </c>
      <c r="BR259" s="278">
        <f>BM259*$D$742</f>
        <v>9.1850382000665363</v>
      </c>
    </row>
    <row r="260" spans="1:70" x14ac:dyDescent="0.25">
      <c r="A260" s="755" t="s">
        <v>595</v>
      </c>
      <c r="B260" s="757">
        <v>15.7354278564453</v>
      </c>
      <c r="C260" s="757">
        <v>16.8219394683838</v>
      </c>
      <c r="D260" s="757">
        <v>21.937858581543001</v>
      </c>
      <c r="E260" s="757">
        <v>14.291754722595201</v>
      </c>
      <c r="F260" s="757">
        <v>10.6247463226318</v>
      </c>
      <c r="G260" s="757">
        <v>13.4027051925659</v>
      </c>
      <c r="H260" s="757">
        <v>15.2648477554321</v>
      </c>
      <c r="I260" s="757">
        <v>17.266075134277301</v>
      </c>
      <c r="J260" s="757">
        <v>18.658037185668899</v>
      </c>
      <c r="K260" s="757">
        <v>19.740333557128899</v>
      </c>
      <c r="L260" s="757">
        <v>20.622322082519499</v>
      </c>
      <c r="M260" s="757">
        <v>21.514814376831101</v>
      </c>
      <c r="N260" s="757">
        <v>22.261856079101602</v>
      </c>
      <c r="O260" s="757">
        <v>22.720048904418899</v>
      </c>
      <c r="P260" s="757">
        <v>23.0620517730713</v>
      </c>
      <c r="Q260" s="757">
        <v>23.029100418090799</v>
      </c>
      <c r="R260" s="757">
        <v>23.327865600585898</v>
      </c>
      <c r="S260" s="757">
        <v>23.5460414886475</v>
      </c>
      <c r="T260" s="757">
        <v>23.635374069213899</v>
      </c>
      <c r="U260" s="757">
        <v>23.588466644287099</v>
      </c>
      <c r="V260" s="757">
        <v>23.9423828125</v>
      </c>
      <c r="W260" s="757">
        <v>23.870851516723601</v>
      </c>
      <c r="X260" s="757">
        <v>24.336980819702099</v>
      </c>
      <c r="Y260" s="757">
        <v>25.037542343139599</v>
      </c>
      <c r="Z260" s="757">
        <v>25.073137283325199</v>
      </c>
      <c r="AA260" s="300">
        <v>2.7168338298797599</v>
      </c>
      <c r="AB260" s="300">
        <v>2.7307398319244398</v>
      </c>
      <c r="AC260" s="300">
        <v>2.7413196563720699</v>
      </c>
      <c r="AD260" s="300">
        <v>2.7546591758728001</v>
      </c>
    </row>
    <row r="261" spans="1:70" x14ac:dyDescent="0.25">
      <c r="A261" s="755" t="s">
        <v>596</v>
      </c>
      <c r="B261" s="757">
        <v>9.2125787734985405</v>
      </c>
      <c r="C261" s="757">
        <v>10.5954837799072</v>
      </c>
      <c r="D261" s="757">
        <v>13.7473258972168</v>
      </c>
      <c r="E261" s="757">
        <v>6.9127345085143999</v>
      </c>
      <c r="F261" s="757">
        <v>9.8444128036499006</v>
      </c>
      <c r="G261" s="757">
        <v>12.2499532699585</v>
      </c>
      <c r="H261" s="757">
        <v>13.9352369308472</v>
      </c>
      <c r="I261" s="757">
        <v>15.428977966308601</v>
      </c>
      <c r="J261" s="757">
        <v>16.646518707275401</v>
      </c>
      <c r="K261" s="757">
        <v>18.037969589233398</v>
      </c>
      <c r="L261" s="757">
        <v>18.8180332183838</v>
      </c>
      <c r="M261" s="757">
        <v>19.4296264648438</v>
      </c>
      <c r="N261" s="757">
        <v>20.112428665161101</v>
      </c>
      <c r="O261" s="757">
        <v>20.448431015014599</v>
      </c>
      <c r="P261" s="757">
        <v>20.727931976318398</v>
      </c>
      <c r="Q261" s="757">
        <v>20.973798751831101</v>
      </c>
      <c r="R261" s="757">
        <v>21.101537704467798</v>
      </c>
      <c r="S261" s="757">
        <v>21.306892395019499</v>
      </c>
      <c r="T261" s="757">
        <v>21.394767761230501</v>
      </c>
      <c r="U261" s="757">
        <v>21.017236709594702</v>
      </c>
      <c r="V261" s="757">
        <v>21.180326461791999</v>
      </c>
      <c r="W261" s="757">
        <v>21.338615417480501</v>
      </c>
      <c r="X261" s="757">
        <v>21.660650253295898</v>
      </c>
      <c r="Y261" s="757">
        <v>21.793584823608398</v>
      </c>
      <c r="Z261" s="757">
        <v>22.078443527221701</v>
      </c>
      <c r="AA261" s="300">
        <v>2.2517027854919398</v>
      </c>
      <c r="AB261" s="300">
        <v>2.2682161331176802</v>
      </c>
      <c r="AC261" s="300">
        <v>2.2745745182037398</v>
      </c>
      <c r="AD261" s="300">
        <v>2.2862651348114</v>
      </c>
    </row>
    <row r="262" spans="1:70" ht="13.8" thickBot="1" x14ac:dyDescent="0.3">
      <c r="A262" s="755" t="s">
        <v>598</v>
      </c>
      <c r="B262" s="757">
        <v>7.9540700912475604</v>
      </c>
      <c r="C262" s="757">
        <v>7.5152516365051296</v>
      </c>
      <c r="D262" s="757">
        <v>8.8012723922729492</v>
      </c>
      <c r="E262" s="757">
        <v>4.8485679626464799</v>
      </c>
      <c r="F262" s="757">
        <v>5.4989199638366699</v>
      </c>
      <c r="G262" s="757">
        <v>5.8261642456054696</v>
      </c>
      <c r="H262" s="757">
        <v>5.87778615951538</v>
      </c>
      <c r="I262" s="757">
        <v>5.9538393020629901</v>
      </c>
      <c r="J262" s="757">
        <v>6.1098570823669398</v>
      </c>
      <c r="K262" s="757">
        <v>6.3294844627380398</v>
      </c>
      <c r="L262" s="757">
        <v>6.5125813484191903</v>
      </c>
      <c r="M262" s="757">
        <v>6.7027301788330096</v>
      </c>
      <c r="N262" s="757">
        <v>6.8988709449768102</v>
      </c>
      <c r="O262" s="757">
        <v>7.1528282165527299</v>
      </c>
      <c r="P262" s="757">
        <v>7.4686021804809597</v>
      </c>
      <c r="Q262" s="757">
        <v>7.6786775588989302</v>
      </c>
      <c r="R262" s="757">
        <v>7.7538070678710902</v>
      </c>
      <c r="S262" s="757">
        <v>7.5584783554077104</v>
      </c>
      <c r="T262" s="757">
        <v>7.5461778640747097</v>
      </c>
      <c r="U262" s="757">
        <v>7.4592709541320801</v>
      </c>
      <c r="V262" s="757">
        <v>7.6002230644226101</v>
      </c>
      <c r="W262" s="757">
        <v>7.8596048355102504</v>
      </c>
      <c r="X262" s="757">
        <v>8.1941757202148402</v>
      </c>
      <c r="Y262" s="757">
        <v>8.4216127395629901</v>
      </c>
      <c r="Z262" s="757">
        <v>8.6935501098632795</v>
      </c>
      <c r="AA262" s="300">
        <v>1.2833950519561801</v>
      </c>
      <c r="AB262" s="300">
        <v>1.3286876678466799</v>
      </c>
      <c r="AC262" s="300">
        <v>1.33012855052948</v>
      </c>
      <c r="AD262" s="300">
        <v>1.33445107936859</v>
      </c>
    </row>
    <row r="263" spans="1:70" ht="13.8" thickBot="1" x14ac:dyDescent="0.3">
      <c r="A263" s="755" t="s">
        <v>599</v>
      </c>
      <c r="B263" s="757">
        <v>3.6353600025177002</v>
      </c>
      <c r="C263" s="757">
        <v>3.6099998950958301</v>
      </c>
      <c r="D263" s="757">
        <v>4.0558156967163104</v>
      </c>
      <c r="E263" s="757">
        <v>4.0487108230590803</v>
      </c>
      <c r="F263" s="757">
        <v>3.9977276325225799</v>
      </c>
      <c r="G263" s="757">
        <v>4.1121706962585396</v>
      </c>
      <c r="H263" s="757">
        <v>4.1809573173522896</v>
      </c>
      <c r="I263" s="757">
        <v>4.2343683242797896</v>
      </c>
      <c r="J263" s="757">
        <v>4.27162742614746</v>
      </c>
      <c r="K263" s="757">
        <v>4.2985162734985396</v>
      </c>
      <c r="L263" s="757">
        <v>4.3192996978759801</v>
      </c>
      <c r="M263" s="757">
        <v>4.3337044715881303</v>
      </c>
      <c r="N263" s="757">
        <v>4.3530845642089799</v>
      </c>
      <c r="O263" s="757">
        <v>4.3696141242981001</v>
      </c>
      <c r="P263" s="757">
        <v>4.3899216651916504</v>
      </c>
      <c r="Q263" s="757">
        <v>4.4470157623290998</v>
      </c>
      <c r="R263" s="757">
        <v>4.5093812942504901</v>
      </c>
      <c r="S263" s="757">
        <v>4.5352845191955602</v>
      </c>
      <c r="T263" s="757">
        <v>4.5618190765380904</v>
      </c>
      <c r="U263" s="757">
        <v>4.5643453598022496</v>
      </c>
      <c r="V263" s="757">
        <v>4.5493078231811497</v>
      </c>
      <c r="W263" s="757">
        <v>4.5490665435790998</v>
      </c>
      <c r="X263" s="757">
        <v>4.5331215858459499</v>
      </c>
      <c r="Y263" s="757">
        <v>4.4955492019653303</v>
      </c>
      <c r="Z263" s="757">
        <v>4.4319190979003897</v>
      </c>
      <c r="AA263" s="300">
        <v>17.3004150390625</v>
      </c>
      <c r="AB263" s="300">
        <v>17.331628799438501</v>
      </c>
      <c r="AC263" s="300">
        <v>17.425392150878899</v>
      </c>
      <c r="AD263" s="300">
        <v>17.430723190307599</v>
      </c>
      <c r="AE263" s="279">
        <f>AD263+($AI$263-$AD$263)/5</f>
        <v>17.267158349957999</v>
      </c>
      <c r="AF263" s="279">
        <f>AE263+($AI$263-$AD$263)/5</f>
        <v>17.103593509608398</v>
      </c>
      <c r="AG263" s="279">
        <f>AF263+($AI$263-$AD$263)/5</f>
        <v>16.940028669258798</v>
      </c>
      <c r="AH263" s="279">
        <f>AG263+($AI$263-$AD$263)/5</f>
        <v>16.776463828909197</v>
      </c>
      <c r="AI263" s="280">
        <f>T433*$E$745</f>
        <v>16.612898988559596</v>
      </c>
      <c r="AJ263" s="279">
        <f>AI263+($AX$263-$AI$263)/15</f>
        <v>16.606368113587273</v>
      </c>
      <c r="AK263" s="279">
        <f t="shared" ref="AK263:AW263" si="9">AJ263+($AX$263-$AI$263)/15</f>
        <v>16.599837238614949</v>
      </c>
      <c r="AL263" s="279">
        <f t="shared" si="9"/>
        <v>16.593306363642625</v>
      </c>
      <c r="AM263" s="279">
        <f t="shared" si="9"/>
        <v>16.586775488670302</v>
      </c>
      <c r="AN263" s="279">
        <f t="shared" si="9"/>
        <v>16.580244613697978</v>
      </c>
      <c r="AO263" s="279">
        <f t="shared" si="9"/>
        <v>16.573713738725655</v>
      </c>
      <c r="AP263" s="279">
        <f t="shared" si="9"/>
        <v>16.567182863753331</v>
      </c>
      <c r="AQ263" s="279">
        <f t="shared" si="9"/>
        <v>16.560651988781007</v>
      </c>
      <c r="AR263" s="279">
        <f t="shared" si="9"/>
        <v>16.554121113808684</v>
      </c>
      <c r="AS263" s="279">
        <f t="shared" si="9"/>
        <v>16.54759023883636</v>
      </c>
      <c r="AT263" s="279">
        <f t="shared" si="9"/>
        <v>16.541059363864036</v>
      </c>
      <c r="AU263" s="279">
        <f t="shared" si="9"/>
        <v>16.534528488891713</v>
      </c>
      <c r="AV263" s="279">
        <f t="shared" si="9"/>
        <v>16.527997613919389</v>
      </c>
      <c r="AW263" s="279">
        <f t="shared" si="9"/>
        <v>16.521466738947066</v>
      </c>
      <c r="AX263" s="280">
        <f>AI263*$B$745</f>
        <v>16.514935863974742</v>
      </c>
      <c r="AY263" s="279">
        <f>AX263+($BM$263-$AX$263)/15</f>
        <v>16.525426935236357</v>
      </c>
      <c r="AZ263" s="279">
        <f t="shared" ref="AZ263:BL263" si="10">AY263+($BM$263-$AX$263)/15</f>
        <v>16.535918006497972</v>
      </c>
      <c r="BA263" s="279">
        <f t="shared" si="10"/>
        <v>16.546409077759588</v>
      </c>
      <c r="BB263" s="279">
        <f t="shared" si="10"/>
        <v>16.556900149021203</v>
      </c>
      <c r="BC263" s="279">
        <f t="shared" si="10"/>
        <v>16.567391220282818</v>
      </c>
      <c r="BD263" s="279">
        <f t="shared" si="10"/>
        <v>16.577882291544434</v>
      </c>
      <c r="BE263" s="279">
        <f t="shared" si="10"/>
        <v>16.588373362806049</v>
      </c>
      <c r="BF263" s="279">
        <f t="shared" si="10"/>
        <v>16.598864434067664</v>
      </c>
      <c r="BG263" s="279">
        <f t="shared" si="10"/>
        <v>16.60935550532928</v>
      </c>
      <c r="BH263" s="279">
        <f t="shared" si="10"/>
        <v>16.619846576590895</v>
      </c>
      <c r="BI263" s="279">
        <f t="shared" si="10"/>
        <v>16.63033764785251</v>
      </c>
      <c r="BJ263" s="279">
        <f t="shared" si="10"/>
        <v>16.640828719114126</v>
      </c>
      <c r="BK263" s="279">
        <f t="shared" si="10"/>
        <v>16.651319790375741</v>
      </c>
      <c r="BL263" s="279">
        <f t="shared" si="10"/>
        <v>16.661810861637356</v>
      </c>
      <c r="BM263" s="280">
        <f>AX263*$C$745</f>
        <v>16.672301932898996</v>
      </c>
      <c r="BN263" s="279">
        <f>BM263+($BR$263-$BM$263)/5</f>
        <v>16.682892970558111</v>
      </c>
      <c r="BO263" s="279">
        <f>BN263+($BR$263-$BM$263)/5</f>
        <v>16.693484008217226</v>
      </c>
      <c r="BP263" s="279">
        <f>BO263+($BR$263-$BM$263)/5</f>
        <v>16.704075045876341</v>
      </c>
      <c r="BQ263" s="279">
        <f>BP263+($BR$263-$BM$263)/5</f>
        <v>16.714666083535455</v>
      </c>
      <c r="BR263" s="280">
        <f>BM263*$D$745</f>
        <v>16.725257121194577</v>
      </c>
    </row>
    <row r="264" spans="1:70" x14ac:dyDescent="0.25">
      <c r="A264" s="755" t="s">
        <v>600</v>
      </c>
      <c r="B264" s="757">
        <v>2.4029970169067401</v>
      </c>
      <c r="C264" s="757">
        <v>2.4299483299255402</v>
      </c>
      <c r="D264" s="757">
        <v>2.5420303344726598</v>
      </c>
      <c r="E264" s="757">
        <v>2.4490520954132098</v>
      </c>
      <c r="F264" s="757">
        <v>2.3906834125518799</v>
      </c>
      <c r="G264" s="757">
        <v>2.4765830039978001</v>
      </c>
      <c r="H264" s="757">
        <v>2.4936084747314502</v>
      </c>
      <c r="I264" s="757">
        <v>2.5247271060943599</v>
      </c>
      <c r="J264" s="757">
        <v>2.54471778869629</v>
      </c>
      <c r="K264" s="757">
        <v>2.53918480873108</v>
      </c>
      <c r="L264" s="757">
        <v>2.54552221298218</v>
      </c>
      <c r="M264" s="757">
        <v>2.5526983737945601</v>
      </c>
      <c r="N264" s="757">
        <v>2.5639333724975599</v>
      </c>
      <c r="O264" s="757">
        <v>2.5611753463745099</v>
      </c>
      <c r="P264" s="757">
        <v>2.56861472129822</v>
      </c>
      <c r="Q264" s="757">
        <v>2.5710935592651398</v>
      </c>
      <c r="R264" s="757">
        <v>2.57420825958252</v>
      </c>
      <c r="S264" s="757">
        <v>2.5741758346557599</v>
      </c>
      <c r="T264" s="757">
        <v>2.5788726806640598</v>
      </c>
      <c r="U264" s="757">
        <v>2.5789062976837198</v>
      </c>
      <c r="V264" s="757">
        <v>2.59378290176392</v>
      </c>
      <c r="W264" s="757">
        <v>2.6088099479675302</v>
      </c>
      <c r="X264" s="757">
        <v>2.6259028911590598</v>
      </c>
      <c r="Y264" s="757">
        <v>2.64452123641968</v>
      </c>
      <c r="Z264" s="757">
        <v>2.6644773483276398</v>
      </c>
      <c r="AA264" s="300"/>
      <c r="AB264" s="300"/>
      <c r="AC264" s="300"/>
      <c r="AD264" s="300"/>
    </row>
    <row r="265" spans="1:70" ht="13.8" thickBot="1" x14ac:dyDescent="0.3">
      <c r="A265" s="755" t="s">
        <v>601</v>
      </c>
      <c r="B265" s="757">
        <v>0</v>
      </c>
      <c r="C265" s="757">
        <v>0</v>
      </c>
      <c r="D265" s="757">
        <v>0</v>
      </c>
      <c r="E265" s="757">
        <v>0</v>
      </c>
      <c r="F265" s="757">
        <v>0</v>
      </c>
      <c r="G265" s="757">
        <v>1.5133428573608401</v>
      </c>
      <c r="H265" s="757">
        <v>1.3742095232009901</v>
      </c>
      <c r="I265" s="757">
        <v>1.19064140319824</v>
      </c>
      <c r="J265" s="757">
        <v>1.3664953708648699</v>
      </c>
      <c r="K265" s="757">
        <v>1.33487153053284</v>
      </c>
      <c r="L265" s="757">
        <v>1.31654036045074</v>
      </c>
      <c r="M265" s="757">
        <v>1.30223417282104</v>
      </c>
      <c r="N265" s="757">
        <v>1.30838906764984</v>
      </c>
      <c r="O265" s="757">
        <v>1.32146644592285</v>
      </c>
      <c r="P265" s="757">
        <v>1.3489345312118499</v>
      </c>
      <c r="Q265" s="757">
        <v>1.3524934053421001</v>
      </c>
      <c r="R265" s="757">
        <v>1.3570195436477701</v>
      </c>
      <c r="S265" s="757">
        <v>1.3626403808593801</v>
      </c>
      <c r="T265" s="757">
        <v>1.37119424343109</v>
      </c>
      <c r="U265" s="757">
        <v>1.3635557889938399</v>
      </c>
      <c r="V265" s="757">
        <v>1.3662919998168901</v>
      </c>
      <c r="W265" s="757">
        <v>1.37254309654236</v>
      </c>
      <c r="X265" s="757">
        <v>1.37609398365021</v>
      </c>
      <c r="Y265" s="757">
        <v>1.3784751892089799</v>
      </c>
      <c r="Z265" s="757">
        <v>1.3805129528045701</v>
      </c>
      <c r="AA265" s="300">
        <v>24.056577682495099</v>
      </c>
      <c r="AB265" s="300">
        <v>24.1739406585693</v>
      </c>
      <c r="AC265" s="300">
        <v>24.2586994171143</v>
      </c>
      <c r="AD265" s="300">
        <v>24.288969039916999</v>
      </c>
    </row>
    <row r="266" spans="1:70" ht="13.8" thickBot="1" x14ac:dyDescent="0.3">
      <c r="A266" s="755" t="s">
        <v>465</v>
      </c>
      <c r="B266" s="757">
        <v>18.400894165039102</v>
      </c>
      <c r="C266" s="757">
        <v>18.6226921081543</v>
      </c>
      <c r="D266" s="757">
        <v>20.334409713745099</v>
      </c>
      <c r="E266" s="757">
        <v>19.159486770629901</v>
      </c>
      <c r="F266" s="757">
        <v>16.828172683715799</v>
      </c>
      <c r="G266" s="757">
        <v>17.264308929443398</v>
      </c>
      <c r="H266" s="757">
        <v>17.156070709228501</v>
      </c>
      <c r="I266" s="757">
        <v>17.083604812622099</v>
      </c>
      <c r="J266" s="757">
        <v>17.1988334655762</v>
      </c>
      <c r="K266" s="757">
        <v>17.318143844604499</v>
      </c>
      <c r="L266" s="757">
        <v>17.615074157714801</v>
      </c>
      <c r="M266" s="757">
        <v>17.910154342651399</v>
      </c>
      <c r="N266" s="757">
        <v>18.210170745849599</v>
      </c>
      <c r="O266" s="757">
        <v>18.456880569458001</v>
      </c>
      <c r="P266" s="757">
        <v>18.803001403808601</v>
      </c>
      <c r="Q266" s="757">
        <v>19.085206985473601</v>
      </c>
      <c r="R266" s="757">
        <v>19.30615234375</v>
      </c>
      <c r="S266" s="757">
        <v>19.3043308258057</v>
      </c>
      <c r="T266" s="757">
        <v>19.3253479003906</v>
      </c>
      <c r="U266" s="757">
        <v>19.324813842773398</v>
      </c>
      <c r="V266" s="757">
        <v>19.354219436645501</v>
      </c>
      <c r="W266" s="757">
        <v>19.614883422851602</v>
      </c>
      <c r="X266" s="757">
        <v>19.97239112854</v>
      </c>
      <c r="Y266" s="757">
        <v>20.29469871521</v>
      </c>
      <c r="Z266" s="757">
        <v>20.560989379882798</v>
      </c>
      <c r="AA266" s="300">
        <v>21.3195495605469</v>
      </c>
      <c r="AB266" s="300">
        <v>21.43874168396</v>
      </c>
      <c r="AC266" s="300">
        <v>21.398374557495099</v>
      </c>
      <c r="AD266" s="300">
        <v>21.4992275238037</v>
      </c>
      <c r="AE266" s="283">
        <f>AD266+($AI$266-$AD$266)/5</f>
        <v>21.318281718011935</v>
      </c>
      <c r="AF266" s="283">
        <f>AE266+($AI$266-$AD$266)/5</f>
        <v>21.13733591222017</v>
      </c>
      <c r="AG266" s="283">
        <f>AF266+($AI$266-$AD$266)/5</f>
        <v>20.956390106428405</v>
      </c>
      <c r="AH266" s="283">
        <f>AG266+($AI$266-$AD$266)/5</f>
        <v>20.775444300636639</v>
      </c>
      <c r="AI266" s="284">
        <f>T436*$E$747</f>
        <v>20.594498494844878</v>
      </c>
      <c r="AJ266" s="283">
        <f>AI266+($AX$266-$AI$266)/15</f>
        <v>20.60819416894353</v>
      </c>
      <c r="AK266" s="283">
        <f t="shared" ref="AK266:AW266" si="11">AJ266+($AX$266-$AI$266)/15</f>
        <v>20.621889843042183</v>
      </c>
      <c r="AL266" s="283">
        <f t="shared" si="11"/>
        <v>20.635585517140836</v>
      </c>
      <c r="AM266" s="283">
        <f t="shared" si="11"/>
        <v>20.649281191239488</v>
      </c>
      <c r="AN266" s="283">
        <f t="shared" si="11"/>
        <v>20.662976865338141</v>
      </c>
      <c r="AO266" s="283">
        <f t="shared" si="11"/>
        <v>20.676672539436794</v>
      </c>
      <c r="AP266" s="283">
        <f t="shared" si="11"/>
        <v>20.690368213535447</v>
      </c>
      <c r="AQ266" s="283">
        <f t="shared" si="11"/>
        <v>20.704063887634099</v>
      </c>
      <c r="AR266" s="283">
        <f t="shared" si="11"/>
        <v>20.717759561732752</v>
      </c>
      <c r="AS266" s="283">
        <f t="shared" si="11"/>
        <v>20.731455235831405</v>
      </c>
      <c r="AT266" s="283">
        <f t="shared" si="11"/>
        <v>20.745150909930057</v>
      </c>
      <c r="AU266" s="283">
        <f t="shared" si="11"/>
        <v>20.75884658402871</v>
      </c>
      <c r="AV266" s="283">
        <f t="shared" si="11"/>
        <v>20.772542258127363</v>
      </c>
      <c r="AW266" s="283">
        <f t="shared" si="11"/>
        <v>20.786237932226015</v>
      </c>
      <c r="AX266" s="284">
        <f>AI266*$B$747</f>
        <v>20.799933606324664</v>
      </c>
      <c r="AY266" s="283">
        <f>AX266+($BM$266-$AX$266)/15</f>
        <v>20.807002050879195</v>
      </c>
      <c r="AZ266" s="283">
        <f t="shared" ref="AZ266:BL266" si="12">AY266+($BM$266-$AX$266)/15</f>
        <v>20.814070495433725</v>
      </c>
      <c r="BA266" s="283">
        <f t="shared" si="12"/>
        <v>20.821138939988256</v>
      </c>
      <c r="BB266" s="283">
        <f t="shared" si="12"/>
        <v>20.828207384542786</v>
      </c>
      <c r="BC266" s="283">
        <f t="shared" si="12"/>
        <v>20.835275829097316</v>
      </c>
      <c r="BD266" s="283">
        <f t="shared" si="12"/>
        <v>20.842344273651847</v>
      </c>
      <c r="BE266" s="283">
        <f t="shared" si="12"/>
        <v>20.849412718206377</v>
      </c>
      <c r="BF266" s="283">
        <f t="shared" si="12"/>
        <v>20.856481162760907</v>
      </c>
      <c r="BG266" s="283">
        <f t="shared" si="12"/>
        <v>20.863549607315438</v>
      </c>
      <c r="BH266" s="283">
        <f t="shared" si="12"/>
        <v>20.870618051869968</v>
      </c>
      <c r="BI266" s="283">
        <f t="shared" si="12"/>
        <v>20.877686496424499</v>
      </c>
      <c r="BJ266" s="283">
        <f t="shared" si="12"/>
        <v>20.884754940979029</v>
      </c>
      <c r="BK266" s="283">
        <f t="shared" si="12"/>
        <v>20.891823385533559</v>
      </c>
      <c r="BL266" s="283">
        <f t="shared" si="12"/>
        <v>20.89889183008809</v>
      </c>
      <c r="BM266" s="284">
        <f>AX266*$C$747</f>
        <v>20.905960274642634</v>
      </c>
      <c r="BN266" s="283">
        <f>BM266+($BR$266-$BM$266)/5</f>
        <v>20.913064750255749</v>
      </c>
      <c r="BO266" s="283">
        <f>BN266+($BR$266-$BM$266)/5</f>
        <v>20.920169225868865</v>
      </c>
      <c r="BP266" s="283">
        <f>BO266+($BR$266-$BM$266)/5</f>
        <v>20.92727370148198</v>
      </c>
      <c r="BQ266" s="283">
        <f>BP266+($BR$266-$BM$266)/5</f>
        <v>20.934378177095095</v>
      </c>
      <c r="BR266" s="284">
        <f>BM266*$D$747</f>
        <v>20.94148265270821</v>
      </c>
    </row>
    <row r="267" spans="1:70" ht="13.8" thickBot="1" x14ac:dyDescent="0.3">
      <c r="AA267" s="300">
        <v>17.292875289916999</v>
      </c>
      <c r="AB267" s="300">
        <v>17.531343460083001</v>
      </c>
      <c r="AC267" s="300">
        <v>17.526832580566399</v>
      </c>
      <c r="AD267" s="300">
        <v>17.756109237670898</v>
      </c>
      <c r="AE267" s="281">
        <f>AD267+($AI$267-$AD$267)/5</f>
        <v>18.740759573600641</v>
      </c>
      <c r="AF267" s="281">
        <f>AE267+($AI$267-$AD$267)/5</f>
        <v>19.725409909530384</v>
      </c>
      <c r="AG267" s="281">
        <f>AF267+($AI$267-$AD$267)/5</f>
        <v>20.710060245460127</v>
      </c>
      <c r="AH267" s="281">
        <f>AG267+($AI$267-$AD$267)/5</f>
        <v>21.69471058138987</v>
      </c>
      <c r="AI267" s="282">
        <f>T437*$E$744</f>
        <v>22.67936091731961</v>
      </c>
      <c r="AJ267" s="281">
        <f>AI267+($AX$267-$AI$267)/15</f>
        <v>22.91940642537169</v>
      </c>
      <c r="AK267" s="281">
        <f t="shared" ref="AK267:AW267" si="13">AJ267+($AX$267-$AI$267)/15</f>
        <v>23.159451933423771</v>
      </c>
      <c r="AL267" s="281">
        <f t="shared" si="13"/>
        <v>23.399497441475852</v>
      </c>
      <c r="AM267" s="281">
        <f t="shared" si="13"/>
        <v>23.639542949527932</v>
      </c>
      <c r="AN267" s="281">
        <f t="shared" si="13"/>
        <v>23.879588457580013</v>
      </c>
      <c r="AO267" s="281">
        <f t="shared" si="13"/>
        <v>24.119633965632094</v>
      </c>
      <c r="AP267" s="281">
        <f t="shared" si="13"/>
        <v>24.359679473684174</v>
      </c>
      <c r="AQ267" s="281">
        <f t="shared" si="13"/>
        <v>24.599724981736255</v>
      </c>
      <c r="AR267" s="281">
        <f t="shared" si="13"/>
        <v>24.839770489788336</v>
      </c>
      <c r="AS267" s="281">
        <f t="shared" si="13"/>
        <v>25.079815997840416</v>
      </c>
      <c r="AT267" s="281">
        <f t="shared" si="13"/>
        <v>25.319861505892497</v>
      </c>
      <c r="AU267" s="281">
        <f t="shared" si="13"/>
        <v>25.559907013944578</v>
      </c>
      <c r="AV267" s="281">
        <f t="shared" si="13"/>
        <v>25.799952521996659</v>
      </c>
      <c r="AW267" s="281">
        <f t="shared" si="13"/>
        <v>26.039998030048739</v>
      </c>
      <c r="AX267" s="282">
        <f>AI267*$B$744</f>
        <v>26.28004353810082</v>
      </c>
      <c r="AY267" s="281">
        <f>AX267+($BM$267-$AX$267)/15</f>
        <v>26.429681543018035</v>
      </c>
      <c r="AZ267" s="281">
        <f t="shared" ref="AZ267:BL267" si="14">AY267+($BM$267-$AX$267)/15</f>
        <v>26.579319547935249</v>
      </c>
      <c r="BA267" s="281">
        <f t="shared" si="14"/>
        <v>26.728957552852464</v>
      </c>
      <c r="BB267" s="281">
        <f t="shared" si="14"/>
        <v>26.878595557769678</v>
      </c>
      <c r="BC267" s="281">
        <f t="shared" si="14"/>
        <v>27.028233562686893</v>
      </c>
      <c r="BD267" s="281">
        <f t="shared" si="14"/>
        <v>27.177871567604107</v>
      </c>
      <c r="BE267" s="281">
        <f t="shared" si="14"/>
        <v>27.327509572521322</v>
      </c>
      <c r="BF267" s="281">
        <f t="shared" si="14"/>
        <v>27.477147577438537</v>
      </c>
      <c r="BG267" s="281">
        <f t="shared" si="14"/>
        <v>27.626785582355751</v>
      </c>
      <c r="BH267" s="281">
        <f t="shared" si="14"/>
        <v>27.776423587272966</v>
      </c>
      <c r="BI267" s="281">
        <f t="shared" si="14"/>
        <v>27.92606159219018</v>
      </c>
      <c r="BJ267" s="281">
        <f t="shared" si="14"/>
        <v>28.075699597107395</v>
      </c>
      <c r="BK267" s="281">
        <f t="shared" si="14"/>
        <v>28.225337602024609</v>
      </c>
      <c r="BL267" s="281">
        <f t="shared" si="14"/>
        <v>28.374975606941824</v>
      </c>
      <c r="BM267" s="282">
        <f>AX267*$C$744</f>
        <v>28.524613611859053</v>
      </c>
      <c r="BN267" s="281">
        <f>BM267+($BR$267-$BM$267)/5</f>
        <v>28.687032150691561</v>
      </c>
      <c r="BO267" s="281">
        <f>BN267+($BR$267-$BM$267)/5</f>
        <v>28.849450689524069</v>
      </c>
      <c r="BP267" s="281">
        <f>BO267+($BR$267-$BM$267)/5</f>
        <v>29.011869228356577</v>
      </c>
      <c r="BQ267" s="281">
        <f>BP267+($BR$267-$BM$267)/5</f>
        <v>29.174287767189085</v>
      </c>
      <c r="BR267" s="282">
        <f>BM267*$D$744</f>
        <v>29.336706306021593</v>
      </c>
    </row>
    <row r="268" spans="1:70" ht="13.8" thickBot="1" x14ac:dyDescent="0.3">
      <c r="A268" s="755" t="s">
        <v>473</v>
      </c>
      <c r="AA268" s="300">
        <v>11.227470397949199</v>
      </c>
      <c r="AB268" s="300">
        <v>11.517865180969199</v>
      </c>
      <c r="AC268" s="300">
        <v>11.5089683532715</v>
      </c>
      <c r="AD268" s="300">
        <v>11.7493782043457</v>
      </c>
    </row>
    <row r="269" spans="1:70" ht="13.8" thickBot="1" x14ac:dyDescent="0.3">
      <c r="A269" s="755" t="s">
        <v>602</v>
      </c>
      <c r="B269" s="757">
        <v>22.296371459960898</v>
      </c>
      <c r="C269" s="757">
        <v>25.0072345733643</v>
      </c>
      <c r="D269" s="757">
        <v>28.759458541870099</v>
      </c>
      <c r="E269" s="757">
        <v>21.685003280639599</v>
      </c>
      <c r="F269" s="757">
        <v>20.534326553344702</v>
      </c>
      <c r="G269" s="757">
        <v>22.796831130981399</v>
      </c>
      <c r="H269" s="757">
        <v>24.8035278320313</v>
      </c>
      <c r="I269" s="757">
        <v>26.570152282714801</v>
      </c>
      <c r="J269" s="757">
        <v>28.076972961425799</v>
      </c>
      <c r="K269" s="757">
        <v>29.693559646606399</v>
      </c>
      <c r="L269" s="757">
        <v>30.7330017089844</v>
      </c>
      <c r="M269" s="757">
        <v>31.595745086669901</v>
      </c>
      <c r="N269" s="757">
        <v>32.463813781738303</v>
      </c>
      <c r="O269" s="757">
        <v>32.853603363037102</v>
      </c>
      <c r="P269" s="757">
        <v>33.095050811767599</v>
      </c>
      <c r="Q269" s="757">
        <v>33.3141899108887</v>
      </c>
      <c r="R269" s="757">
        <v>33.425758361816399</v>
      </c>
      <c r="S269" s="757">
        <v>33.752655029296903</v>
      </c>
      <c r="T269" s="757">
        <v>33.878787994384801</v>
      </c>
      <c r="U269" s="757">
        <v>33.426109313964801</v>
      </c>
      <c r="V269" s="757">
        <v>33.692680358886697</v>
      </c>
      <c r="W269" s="757">
        <v>33.960933685302699</v>
      </c>
      <c r="X269" s="757">
        <v>34.291332244872997</v>
      </c>
      <c r="Y269" s="757">
        <v>34.467491149902301</v>
      </c>
      <c r="Z269" s="757">
        <v>34.819602966308601</v>
      </c>
      <c r="AA269" s="300">
        <v>16.025825500488299</v>
      </c>
      <c r="AB269" s="300">
        <v>16.333782196044901</v>
      </c>
      <c r="AC269" s="300">
        <v>16.2625331878662</v>
      </c>
      <c r="AD269" s="300">
        <v>16.470952987670898</v>
      </c>
      <c r="AE269" s="281">
        <f>AD269+($AI$269-$AD$269)/5</f>
        <v>17.380928094850553</v>
      </c>
      <c r="AF269" s="281">
        <f>AE269+($AI$269-$AD$269)/5</f>
        <v>18.290903202030208</v>
      </c>
      <c r="AG269" s="281">
        <f>AF269+($AI$269-$AD$269)/5</f>
        <v>19.200878309209862</v>
      </c>
      <c r="AH269" s="281">
        <f>AG269+($AI$269-$AD$269)/5</f>
        <v>20.110853416389517</v>
      </c>
      <c r="AI269" s="282">
        <f>T439*$E$744</f>
        <v>21.020828523569172</v>
      </c>
      <c r="AJ269" s="281">
        <f>AI269+($AX$269-$AI$269)/15</f>
        <v>21.243319601735415</v>
      </c>
      <c r="AK269" s="281">
        <f t="shared" ref="AK269:AW269" si="15">AJ269+($AX$269-$AI$269)/15</f>
        <v>21.465810679901658</v>
      </c>
      <c r="AL269" s="281">
        <f t="shared" si="15"/>
        <v>21.688301758067901</v>
      </c>
      <c r="AM269" s="281">
        <f t="shared" si="15"/>
        <v>21.910792836234144</v>
      </c>
      <c r="AN269" s="281">
        <f t="shared" si="15"/>
        <v>22.133283914400387</v>
      </c>
      <c r="AO269" s="281">
        <f t="shared" si="15"/>
        <v>22.35577499256663</v>
      </c>
      <c r="AP269" s="281">
        <f t="shared" si="15"/>
        <v>22.578266070732873</v>
      </c>
      <c r="AQ269" s="281">
        <f t="shared" si="15"/>
        <v>22.800757148899116</v>
      </c>
      <c r="AR269" s="281">
        <f t="shared" si="15"/>
        <v>23.023248227065359</v>
      </c>
      <c r="AS269" s="281">
        <f t="shared" si="15"/>
        <v>23.245739305231602</v>
      </c>
      <c r="AT269" s="281">
        <f t="shared" si="15"/>
        <v>23.468230383397845</v>
      </c>
      <c r="AU269" s="281">
        <f t="shared" si="15"/>
        <v>23.690721461564088</v>
      </c>
      <c r="AV269" s="281">
        <f t="shared" si="15"/>
        <v>23.913212539730331</v>
      </c>
      <c r="AW269" s="281">
        <f t="shared" si="15"/>
        <v>24.135703617896574</v>
      </c>
      <c r="AX269" s="282">
        <f>AI269*$B$744</f>
        <v>24.358194696062842</v>
      </c>
      <c r="AY269" s="281">
        <f>AX269+($BM$269-$AX$269)/15</f>
        <v>24.496889734844629</v>
      </c>
      <c r="AZ269" s="281">
        <f t="shared" ref="AZ269:BL269" si="16">AY269+($BM$269-$AX$269)/15</f>
        <v>24.635584773626416</v>
      </c>
      <c r="BA269" s="281">
        <f t="shared" si="16"/>
        <v>24.774279812408203</v>
      </c>
      <c r="BB269" s="281">
        <f t="shared" si="16"/>
        <v>24.91297485118999</v>
      </c>
      <c r="BC269" s="281">
        <f t="shared" si="16"/>
        <v>25.051669889971777</v>
      </c>
      <c r="BD269" s="281">
        <f t="shared" si="16"/>
        <v>25.190364928753564</v>
      </c>
      <c r="BE269" s="281">
        <f t="shared" si="16"/>
        <v>25.32905996753535</v>
      </c>
      <c r="BF269" s="281">
        <f t="shared" si="16"/>
        <v>25.467755006317137</v>
      </c>
      <c r="BG269" s="281">
        <f t="shared" si="16"/>
        <v>25.606450045098924</v>
      </c>
      <c r="BH269" s="281">
        <f t="shared" si="16"/>
        <v>25.745145083880711</v>
      </c>
      <c r="BI269" s="281">
        <f t="shared" si="16"/>
        <v>25.883840122662498</v>
      </c>
      <c r="BJ269" s="281">
        <f t="shared" si="16"/>
        <v>26.022535161444285</v>
      </c>
      <c r="BK269" s="281">
        <f t="shared" si="16"/>
        <v>26.161230200226072</v>
      </c>
      <c r="BL269" s="281">
        <f t="shared" si="16"/>
        <v>26.299925239007859</v>
      </c>
      <c r="BM269" s="282">
        <f>AX269*$C$744</f>
        <v>26.438620277789649</v>
      </c>
      <c r="BN269" s="281">
        <f>BM269+($BR$269-$BM$269)/5</f>
        <v>26.589161215265516</v>
      </c>
      <c r="BO269" s="281">
        <f>BN269+($BR$269-$BM$269)/5</f>
        <v>26.739702152741383</v>
      </c>
      <c r="BP269" s="281">
        <f>BO269+($BR$269-$BM$269)/5</f>
        <v>26.89024309021725</v>
      </c>
      <c r="BQ269" s="281">
        <f>BP269+($BR$269-$BM$269)/5</f>
        <v>27.040784027693118</v>
      </c>
      <c r="BR269" s="282">
        <f>BM269*$D$744</f>
        <v>27.191324965168981</v>
      </c>
    </row>
    <row r="270" spans="1:70" x14ac:dyDescent="0.25">
      <c r="A270" s="755" t="s">
        <v>603</v>
      </c>
      <c r="B270" s="757">
        <v>25.5142211914063</v>
      </c>
      <c r="C270" s="757">
        <v>26.818180084228501</v>
      </c>
      <c r="D270" s="757">
        <v>34.073703765869098</v>
      </c>
      <c r="E270" s="757">
        <v>20.3962516784668</v>
      </c>
      <c r="F270" s="757">
        <v>18.869060516357401</v>
      </c>
      <c r="G270" s="757">
        <v>22.499189376831101</v>
      </c>
      <c r="H270" s="757">
        <v>24.345371246337901</v>
      </c>
      <c r="I270" s="757">
        <v>25.8835773468018</v>
      </c>
      <c r="J270" s="757">
        <v>27.376197814941399</v>
      </c>
      <c r="K270" s="757">
        <v>25.5507621765137</v>
      </c>
      <c r="L270" s="757">
        <v>26.3307495117188</v>
      </c>
      <c r="M270" s="757">
        <v>27.042121887206999</v>
      </c>
      <c r="N270" s="757">
        <v>27.074653625488299</v>
      </c>
      <c r="O270" s="757">
        <v>28.861484527587901</v>
      </c>
      <c r="P270" s="757">
        <v>29.593324661254901</v>
      </c>
      <c r="Q270" s="757">
        <v>29.691083908081101</v>
      </c>
      <c r="R270" s="757">
        <v>29.8394565582275</v>
      </c>
      <c r="S270" s="757">
        <v>30.056737899780298</v>
      </c>
      <c r="T270" s="757">
        <v>30.123649597168001</v>
      </c>
      <c r="U270" s="757">
        <v>30.045396804809599</v>
      </c>
      <c r="V270" s="757">
        <v>30.335887908935501</v>
      </c>
      <c r="W270" s="757">
        <v>30.1821899414063</v>
      </c>
      <c r="X270" s="757">
        <v>30.567377090454102</v>
      </c>
      <c r="Y270" s="757">
        <v>31.227724075317401</v>
      </c>
      <c r="Z270" s="757">
        <v>30.935503005981399</v>
      </c>
      <c r="AA270" s="300">
        <v>8.1832656860351598</v>
      </c>
      <c r="AB270" s="300">
        <v>8.1197490692138707</v>
      </c>
      <c r="AC270" s="300">
        <v>8.3803300857543892</v>
      </c>
      <c r="AD270" s="300">
        <v>8.2735004425048793</v>
      </c>
    </row>
    <row r="271" spans="1:70" x14ac:dyDescent="0.25">
      <c r="A271" s="755" t="s">
        <v>604</v>
      </c>
      <c r="B271" s="757">
        <v>21.784559249877901</v>
      </c>
      <c r="C271" s="757">
        <v>22.982162475585898</v>
      </c>
      <c r="D271" s="757">
        <v>26.1744689941406</v>
      </c>
      <c r="E271" s="757">
        <v>15.6736001968384</v>
      </c>
      <c r="F271" s="757">
        <v>17.7131462097168</v>
      </c>
      <c r="G271" s="757">
        <v>20.6617527008057</v>
      </c>
      <c r="H271" s="757">
        <v>22.301433563232401</v>
      </c>
      <c r="I271" s="757">
        <v>23.517950057983398</v>
      </c>
      <c r="J271" s="757">
        <v>24.816135406494102</v>
      </c>
      <c r="K271" s="757">
        <v>26.137458801269499</v>
      </c>
      <c r="L271" s="757">
        <v>27.061580657958999</v>
      </c>
      <c r="M271" s="757">
        <v>27.993299484252901</v>
      </c>
      <c r="N271" s="757">
        <v>28.802474975585898</v>
      </c>
      <c r="O271" s="757">
        <v>29.411088943481399</v>
      </c>
      <c r="P271" s="757">
        <v>29.938217163085898</v>
      </c>
      <c r="Q271" s="757">
        <v>30.057752609252901</v>
      </c>
      <c r="R271" s="757">
        <v>30.3159790039063</v>
      </c>
      <c r="S271" s="757">
        <v>30.494945526123001</v>
      </c>
      <c r="T271" s="757">
        <v>30.528341293335</v>
      </c>
      <c r="U271" s="757">
        <v>30.4458103179932</v>
      </c>
      <c r="V271" s="757">
        <v>30.726751327514599</v>
      </c>
      <c r="W271" s="757">
        <v>30.704950332641602</v>
      </c>
      <c r="X271" s="757">
        <v>31.110511779785199</v>
      </c>
      <c r="Y271" s="757">
        <v>31.9617519378662</v>
      </c>
      <c r="Z271" s="757">
        <v>31.583656311035199</v>
      </c>
      <c r="AA271" s="300">
        <v>13.240598678588899</v>
      </c>
      <c r="AB271" s="300">
        <v>13.359972000122101</v>
      </c>
      <c r="AC271" s="300">
        <v>13.395259857177701</v>
      </c>
      <c r="AD271" s="300">
        <v>13.453570365905801</v>
      </c>
    </row>
    <row r="272" spans="1:70" x14ac:dyDescent="0.25">
      <c r="A272" s="755" t="s">
        <v>605</v>
      </c>
      <c r="B272" s="757">
        <v>15.2446508407593</v>
      </c>
      <c r="C272" s="757">
        <v>16.0964660644531</v>
      </c>
      <c r="D272" s="757">
        <v>22.1856594085693</v>
      </c>
      <c r="E272" s="757">
        <v>10.540905952453601</v>
      </c>
      <c r="F272" s="757">
        <v>10.4131317138672</v>
      </c>
      <c r="G272" s="757">
        <v>12.992267608642599</v>
      </c>
      <c r="H272" s="757">
        <v>14.8510446548462</v>
      </c>
      <c r="I272" s="757">
        <v>16.4927158355713</v>
      </c>
      <c r="J272" s="757">
        <v>17.888269424438501</v>
      </c>
      <c r="K272" s="757">
        <v>19.120731353759801</v>
      </c>
      <c r="L272" s="757">
        <v>20.025011062622099</v>
      </c>
      <c r="M272" s="757">
        <v>20.925888061523398</v>
      </c>
      <c r="N272" s="757">
        <v>21.650459289550799</v>
      </c>
      <c r="O272" s="757">
        <v>22.054113388061499</v>
      </c>
      <c r="P272" s="757">
        <v>22.358533859252901</v>
      </c>
      <c r="Q272" s="757">
        <v>22.535087585449201</v>
      </c>
      <c r="R272" s="757">
        <v>22.624557495117202</v>
      </c>
      <c r="S272" s="757">
        <v>22.875423431396499</v>
      </c>
      <c r="T272" s="757">
        <v>23.088819503784201</v>
      </c>
      <c r="U272" s="757">
        <v>22.878332138061499</v>
      </c>
      <c r="V272" s="757">
        <v>23.229129791259801</v>
      </c>
      <c r="W272" s="757">
        <v>23.440977096557599</v>
      </c>
      <c r="X272" s="757">
        <v>23.911849975585898</v>
      </c>
      <c r="Y272" s="757">
        <v>24.3618278503418</v>
      </c>
      <c r="Z272" s="757">
        <v>24.669164657592798</v>
      </c>
      <c r="AA272" s="300">
        <v>24.345100402831999</v>
      </c>
      <c r="AB272" s="300">
        <v>24.401657104492202</v>
      </c>
      <c r="AC272" s="300">
        <v>24.482112884521499</v>
      </c>
      <c r="AD272" s="300">
        <v>24.4609375</v>
      </c>
    </row>
    <row r="273" spans="1:70" x14ac:dyDescent="0.25">
      <c r="A273" s="755" t="s">
        <v>709</v>
      </c>
      <c r="B273" s="757">
        <v>20.2724208831787</v>
      </c>
      <c r="C273" s="757">
        <v>20.921422958373999</v>
      </c>
      <c r="D273" s="757">
        <v>27.066003799438501</v>
      </c>
      <c r="E273" s="757">
        <v>15.379162788391101</v>
      </c>
      <c r="F273" s="757">
        <v>14.6322994232178</v>
      </c>
      <c r="G273" s="757">
        <v>17.082887649536101</v>
      </c>
      <c r="H273" s="757">
        <v>18.906814575195298</v>
      </c>
      <c r="I273" s="757">
        <v>21.012025833129901</v>
      </c>
      <c r="J273" s="757">
        <v>22.391767501831101</v>
      </c>
      <c r="K273" s="757">
        <v>23.401908874511701</v>
      </c>
      <c r="L273" s="757">
        <v>24.249780654907202</v>
      </c>
      <c r="M273" s="757">
        <v>25.151100158691399</v>
      </c>
      <c r="N273" s="757">
        <v>25.830009460449201</v>
      </c>
      <c r="O273" s="757">
        <v>26.267305374145501</v>
      </c>
      <c r="P273" s="757">
        <v>26.5901203155518</v>
      </c>
      <c r="Q273" s="757">
        <v>26.487575531005898</v>
      </c>
      <c r="R273" s="757">
        <v>26.7318305969238</v>
      </c>
      <c r="S273" s="757">
        <v>26.979133605956999</v>
      </c>
      <c r="T273" s="757">
        <v>27.001283645629901</v>
      </c>
      <c r="U273" s="757">
        <v>26.997362136840799</v>
      </c>
      <c r="V273" s="757">
        <v>27.317785263061499</v>
      </c>
      <c r="W273" s="757">
        <v>27.182266235351602</v>
      </c>
      <c r="X273" s="757">
        <v>27.638069152831999</v>
      </c>
      <c r="Y273" s="757">
        <v>28.388862609863299</v>
      </c>
      <c r="Z273" s="757">
        <v>28.337171554565401</v>
      </c>
      <c r="AA273" s="300"/>
      <c r="AB273" s="300"/>
      <c r="AC273" s="300"/>
      <c r="AD273" s="300"/>
    </row>
    <row r="274" spans="1:70" x14ac:dyDescent="0.25">
      <c r="A274" s="755" t="s">
        <v>596</v>
      </c>
      <c r="B274" s="757">
        <v>8.20648097991943</v>
      </c>
      <c r="C274" s="757">
        <v>9.4357099533081108</v>
      </c>
      <c r="D274" s="757">
        <v>14.2847747802734</v>
      </c>
      <c r="E274" s="757">
        <v>6.3925981521606401</v>
      </c>
      <c r="F274" s="757">
        <v>6.5852246284484899</v>
      </c>
      <c r="G274" s="757">
        <v>8.6673641204834002</v>
      </c>
      <c r="H274" s="757">
        <v>10.3328533172607</v>
      </c>
      <c r="I274" s="757">
        <v>11.815202713012701</v>
      </c>
      <c r="J274" s="757">
        <v>13.023598670959499</v>
      </c>
      <c r="K274" s="757">
        <v>14.4141092300415</v>
      </c>
      <c r="L274" s="757">
        <v>15.219378471374499</v>
      </c>
      <c r="M274" s="757">
        <v>15.915946006774901</v>
      </c>
      <c r="N274" s="757">
        <v>16.592523574829102</v>
      </c>
      <c r="O274" s="757">
        <v>16.9536838531494</v>
      </c>
      <c r="P274" s="757">
        <v>17.162534713745099</v>
      </c>
      <c r="Q274" s="757">
        <v>17.429744720458999</v>
      </c>
      <c r="R274" s="757">
        <v>17.456914901733398</v>
      </c>
      <c r="S274" s="757">
        <v>17.5628662109375</v>
      </c>
      <c r="T274" s="757">
        <v>17.630765914916999</v>
      </c>
      <c r="U274" s="757">
        <v>17.410764694213899</v>
      </c>
      <c r="V274" s="757">
        <v>17.6028347015381</v>
      </c>
      <c r="W274" s="757">
        <v>17.926630020141602</v>
      </c>
      <c r="X274" s="757">
        <v>18.257143020629901</v>
      </c>
      <c r="Y274" s="757">
        <v>18.451654434204102</v>
      </c>
      <c r="Z274" s="757">
        <v>18.835027694702099</v>
      </c>
      <c r="AA274" s="300">
        <v>10.4858131408691</v>
      </c>
      <c r="AB274" s="300">
        <v>10.572740554809601</v>
      </c>
      <c r="AC274" s="300">
        <v>10.740042686462401</v>
      </c>
      <c r="AD274" s="300">
        <v>10.786236763000501</v>
      </c>
    </row>
    <row r="275" spans="1:70" ht="13.8" thickBot="1" x14ac:dyDescent="0.3">
      <c r="A275" s="755" t="s">
        <v>607</v>
      </c>
      <c r="B275" s="757">
        <v>15.5415086746216</v>
      </c>
      <c r="C275" s="757">
        <v>15.4958410263062</v>
      </c>
      <c r="D275" s="757">
        <v>16.8896675109863</v>
      </c>
      <c r="E275" s="757">
        <v>12.7877197265625</v>
      </c>
      <c r="F275" s="757">
        <v>13.502610206604</v>
      </c>
      <c r="G275" s="757">
        <v>13.8291311264038</v>
      </c>
      <c r="H275" s="757">
        <v>13.8390712738037</v>
      </c>
      <c r="I275" s="757">
        <v>13.843875885009799</v>
      </c>
      <c r="J275" s="757">
        <v>13.934069633483899</v>
      </c>
      <c r="K275" s="757">
        <v>14.0993509292603</v>
      </c>
      <c r="L275" s="757">
        <v>14.229956626892101</v>
      </c>
      <c r="M275" s="757">
        <v>14.3684740066528</v>
      </c>
      <c r="N275" s="757">
        <v>14.5119123458862</v>
      </c>
      <c r="O275" s="757">
        <v>14.701403617858899</v>
      </c>
      <c r="P275" s="757">
        <v>14.9462375640869</v>
      </c>
      <c r="Q275" s="757">
        <v>15.0934410095215</v>
      </c>
      <c r="R275" s="757">
        <v>15.092455863952599</v>
      </c>
      <c r="S275" s="757">
        <v>14.8220539093018</v>
      </c>
      <c r="T275" s="757">
        <v>14.7596139907837</v>
      </c>
      <c r="U275" s="757">
        <v>14.661186218261699</v>
      </c>
      <c r="V275" s="757">
        <v>14.786495208740201</v>
      </c>
      <c r="W275" s="757">
        <v>15.012266159057599</v>
      </c>
      <c r="X275" s="757">
        <v>15.2852840423584</v>
      </c>
      <c r="Y275" s="757">
        <v>15.4684591293335</v>
      </c>
      <c r="Z275" s="757">
        <v>15.6974124908447</v>
      </c>
      <c r="AA275" s="300">
        <v>6.7344188690185502</v>
      </c>
      <c r="AB275" s="300">
        <v>6.7479009628295898</v>
      </c>
      <c r="AC275" s="300">
        <v>6.8497943878173801</v>
      </c>
      <c r="AD275" s="300">
        <v>6.84698486328125</v>
      </c>
    </row>
    <row r="276" spans="1:70" ht="13.8" thickBot="1" x14ac:dyDescent="0.3">
      <c r="A276" s="755" t="s">
        <v>465</v>
      </c>
      <c r="B276" s="757">
        <v>30.349004745483398</v>
      </c>
      <c r="C276" s="757">
        <v>30.777971267700199</v>
      </c>
      <c r="D276" s="757">
        <v>33.734138488769503</v>
      </c>
      <c r="E276" s="757">
        <v>31.501590728759801</v>
      </c>
      <c r="F276" s="757">
        <v>27.327030181884801</v>
      </c>
      <c r="G276" s="757">
        <v>28.561843872070298</v>
      </c>
      <c r="H276" s="757">
        <v>28.965305328369102</v>
      </c>
      <c r="I276" s="757">
        <v>28.9159030914307</v>
      </c>
      <c r="J276" s="757">
        <v>28.7644939422607</v>
      </c>
      <c r="K276" s="757">
        <v>28.526710510253899</v>
      </c>
      <c r="L276" s="757">
        <v>28.644361495971701</v>
      </c>
      <c r="M276" s="757">
        <v>28.6527919769287</v>
      </c>
      <c r="N276" s="757">
        <v>28.819505691528299</v>
      </c>
      <c r="O276" s="757">
        <v>28.888120651245099</v>
      </c>
      <c r="P276" s="757">
        <v>29.142557144165</v>
      </c>
      <c r="Q276" s="757">
        <v>29.470201492309599</v>
      </c>
      <c r="R276" s="757">
        <v>29.764074325561499</v>
      </c>
      <c r="S276" s="757">
        <v>29.801677703857401</v>
      </c>
      <c r="T276" s="757">
        <v>29.921939849853501</v>
      </c>
      <c r="U276" s="757">
        <v>30.035243988037099</v>
      </c>
      <c r="V276" s="757">
        <v>30.304817199706999</v>
      </c>
      <c r="W276" s="757">
        <v>30.8045558929443</v>
      </c>
      <c r="X276" s="757">
        <v>31.450147628784201</v>
      </c>
      <c r="Y276" s="757">
        <v>31.910936355590799</v>
      </c>
      <c r="Z276" s="757">
        <v>32.484222412109403</v>
      </c>
      <c r="AA276" s="300">
        <v>6.1479806900024396</v>
      </c>
      <c r="AB276" s="300">
        <v>6.2516684532165501</v>
      </c>
      <c r="AC276" s="300">
        <v>6.3134694099426296</v>
      </c>
      <c r="AD276" s="300">
        <v>6.3304243087768599</v>
      </c>
      <c r="AE276" s="277">
        <f>AD276+($AI$276-$AD$276)/5</f>
        <v>6.3370805697154289</v>
      </c>
      <c r="AF276" s="277">
        <f>AE276+($AI$276-$AD$276)/5</f>
        <v>6.3437368306539978</v>
      </c>
      <c r="AG276" s="277">
        <f>AF276+($AI$276-$AD$276)/5</f>
        <v>6.3503930915925668</v>
      </c>
      <c r="AH276" s="277">
        <f>AG276+($AI$276-$AD$276)/5</f>
        <v>6.3570493525311358</v>
      </c>
      <c r="AI276" s="278">
        <f>T446*$E$742</f>
        <v>6.363705613469703</v>
      </c>
      <c r="AJ276" s="277">
        <f>AI276+($AX$276-$AI$276)/15</f>
        <v>6.4357380850865695</v>
      </c>
      <c r="AK276" s="277">
        <f t="shared" ref="AK276:AW276" si="17">AJ276+($AX$276-$AI$276)/15</f>
        <v>6.5077705567034361</v>
      </c>
      <c r="AL276" s="277">
        <f t="shared" si="17"/>
        <v>6.5798030283203026</v>
      </c>
      <c r="AM276" s="277">
        <f t="shared" si="17"/>
        <v>6.6518354999371692</v>
      </c>
      <c r="AN276" s="277">
        <f t="shared" si="17"/>
        <v>6.7238679715540357</v>
      </c>
      <c r="AO276" s="277">
        <f t="shared" si="17"/>
        <v>6.7959004431709022</v>
      </c>
      <c r="AP276" s="277">
        <f t="shared" si="17"/>
        <v>6.8679329147877688</v>
      </c>
      <c r="AQ276" s="277">
        <f t="shared" si="17"/>
        <v>6.9399653864046353</v>
      </c>
      <c r="AR276" s="277">
        <f t="shared" si="17"/>
        <v>7.0119978580215019</v>
      </c>
      <c r="AS276" s="277">
        <f t="shared" si="17"/>
        <v>7.0840303296383684</v>
      </c>
      <c r="AT276" s="277">
        <f t="shared" si="17"/>
        <v>7.156062801255235</v>
      </c>
      <c r="AU276" s="277">
        <f t="shared" si="17"/>
        <v>7.2280952728721015</v>
      </c>
      <c r="AV276" s="277">
        <f t="shared" si="17"/>
        <v>7.3001277444889681</v>
      </c>
      <c r="AW276" s="277">
        <f t="shared" si="17"/>
        <v>7.3721602161058346</v>
      </c>
      <c r="AX276" s="278">
        <f>AI276*$B$742</f>
        <v>7.4441926877227056</v>
      </c>
      <c r="AY276" s="277">
        <f>AX276+($BM$276-$AX$276)/15</f>
        <v>7.51790324705948</v>
      </c>
      <c r="AZ276" s="277">
        <f t="shared" ref="AZ276:BL276" si="18">AY276+($BM$276-$AX$276)/15</f>
        <v>7.5916138063962544</v>
      </c>
      <c r="BA276" s="277">
        <f t="shared" si="18"/>
        <v>7.6653243657330288</v>
      </c>
      <c r="BB276" s="277">
        <f t="shared" si="18"/>
        <v>7.7390349250698032</v>
      </c>
      <c r="BC276" s="277">
        <f t="shared" si="18"/>
        <v>7.8127454844065776</v>
      </c>
      <c r="BD276" s="277">
        <f t="shared" si="18"/>
        <v>7.886456043743352</v>
      </c>
      <c r="BE276" s="277">
        <f t="shared" si="18"/>
        <v>7.9601666030801264</v>
      </c>
      <c r="BF276" s="277">
        <f t="shared" si="18"/>
        <v>8.0338771624169016</v>
      </c>
      <c r="BG276" s="277">
        <f t="shared" si="18"/>
        <v>8.107587721753676</v>
      </c>
      <c r="BH276" s="277">
        <f t="shared" si="18"/>
        <v>8.1812982810904504</v>
      </c>
      <c r="BI276" s="277">
        <f t="shared" si="18"/>
        <v>8.2550088404272248</v>
      </c>
      <c r="BJ276" s="277">
        <f t="shared" si="18"/>
        <v>8.3287193997639992</v>
      </c>
      <c r="BK276" s="277">
        <f t="shared" si="18"/>
        <v>8.4024299591007736</v>
      </c>
      <c r="BL276" s="277">
        <f t="shared" si="18"/>
        <v>8.476140518437548</v>
      </c>
      <c r="BM276" s="278">
        <f>AX276*$C$742</f>
        <v>8.5498510777743242</v>
      </c>
      <c r="BN276" s="277">
        <f>BM276+($BR$276-$BM$276)/5</f>
        <v>8.6345095936975138</v>
      </c>
      <c r="BO276" s="277">
        <f>BN276+($BR$276-$BM$276)/5</f>
        <v>8.7191681096207034</v>
      </c>
      <c r="BP276" s="277">
        <f>BO276+($BR$276-$BM$276)/5</f>
        <v>8.8038266255438931</v>
      </c>
      <c r="BQ276" s="277">
        <f>BP276+($BR$276-$BM$276)/5</f>
        <v>8.8884851414670827</v>
      </c>
      <c r="BR276" s="278">
        <f>BM276*$D$742</f>
        <v>8.9731436573902759</v>
      </c>
    </row>
    <row r="277" spans="1:70" ht="13.8" thickBot="1" x14ac:dyDescent="0.3">
      <c r="AA277" s="300">
        <v>1.65011918544769</v>
      </c>
      <c r="AB277" s="300">
        <v>1.6656291484832799</v>
      </c>
      <c r="AC277" s="300">
        <v>1.67491066455841</v>
      </c>
      <c r="AD277" s="300">
        <v>1.68971908092499</v>
      </c>
      <c r="AE277" s="285">
        <f>AD277+($AI$277-$AD$277)/5</f>
        <v>1.6902380098146863</v>
      </c>
      <c r="AF277" s="285">
        <f>AE277+($AI$277-$AD$277)/5</f>
        <v>1.6907569387043826</v>
      </c>
      <c r="AG277" s="285">
        <f>AF277+($AI$277-$AD$277)/5</f>
        <v>1.6912758675940789</v>
      </c>
      <c r="AH277" s="285">
        <f>AG277+($AI$277-$AD$277)/5</f>
        <v>1.6917947964837752</v>
      </c>
      <c r="AI277" s="286">
        <f>T447*$E$740</f>
        <v>1.692313725373471</v>
      </c>
      <c r="AJ277" s="285">
        <f>AI277+($AX$277-$AI$277)/15</f>
        <v>1.6972753042285647</v>
      </c>
      <c r="AK277" s="285">
        <f t="shared" ref="AK277:AW277" si="19">AJ277+($AX$277-$AI$277)/15</f>
        <v>1.7022368830836583</v>
      </c>
      <c r="AL277" s="285">
        <f t="shared" si="19"/>
        <v>1.7071984619387519</v>
      </c>
      <c r="AM277" s="285">
        <f t="shared" si="19"/>
        <v>1.7121600407938455</v>
      </c>
      <c r="AN277" s="285">
        <f t="shared" si="19"/>
        <v>1.7171216196489392</v>
      </c>
      <c r="AO277" s="285">
        <f t="shared" si="19"/>
        <v>1.7220831985040328</v>
      </c>
      <c r="AP277" s="285">
        <f t="shared" si="19"/>
        <v>1.7270447773591264</v>
      </c>
      <c r="AQ277" s="285">
        <f t="shared" si="19"/>
        <v>1.7320063562142201</v>
      </c>
      <c r="AR277" s="285">
        <f t="shared" si="19"/>
        <v>1.7369679350693137</v>
      </c>
      <c r="AS277" s="285">
        <f t="shared" si="19"/>
        <v>1.7419295139244073</v>
      </c>
      <c r="AT277" s="285">
        <f t="shared" si="19"/>
        <v>1.7468910927795009</v>
      </c>
      <c r="AU277" s="285">
        <f t="shared" si="19"/>
        <v>1.7518526716345946</v>
      </c>
      <c r="AV277" s="285">
        <f t="shared" si="19"/>
        <v>1.7568142504896882</v>
      </c>
      <c r="AW277" s="285">
        <f t="shared" si="19"/>
        <v>1.7617758293447818</v>
      </c>
      <c r="AX277" s="286">
        <f>AI277*$B$740</f>
        <v>1.7667374081998766</v>
      </c>
      <c r="AY277" s="285">
        <f>AX277+($BM$277-$AX$277)/15</f>
        <v>1.7700881577207939</v>
      </c>
      <c r="AZ277" s="285">
        <f t="shared" ref="AZ277:BL277" si="20">AY277+($BM$277-$AX$277)/15</f>
        <v>1.7734389072417112</v>
      </c>
      <c r="BA277" s="285">
        <f t="shared" si="20"/>
        <v>1.7767896567626285</v>
      </c>
      <c r="BB277" s="285">
        <f t="shared" si="20"/>
        <v>1.7801404062835458</v>
      </c>
      <c r="BC277" s="285">
        <f t="shared" si="20"/>
        <v>1.783491155804463</v>
      </c>
      <c r="BD277" s="285">
        <f t="shared" si="20"/>
        <v>1.7868419053253803</v>
      </c>
      <c r="BE277" s="285">
        <f t="shared" si="20"/>
        <v>1.7901926548462976</v>
      </c>
      <c r="BF277" s="285">
        <f t="shared" si="20"/>
        <v>1.7935434043672149</v>
      </c>
      <c r="BG277" s="285">
        <f t="shared" si="20"/>
        <v>1.7968941538881322</v>
      </c>
      <c r="BH277" s="285">
        <f t="shared" si="20"/>
        <v>1.8002449034090495</v>
      </c>
      <c r="BI277" s="285">
        <f t="shared" si="20"/>
        <v>1.8035956529299668</v>
      </c>
      <c r="BJ277" s="285">
        <f t="shared" si="20"/>
        <v>1.8069464024508841</v>
      </c>
      <c r="BK277" s="285">
        <f t="shared" si="20"/>
        <v>1.8102971519718014</v>
      </c>
      <c r="BL277" s="285">
        <f t="shared" si="20"/>
        <v>1.8136479014927187</v>
      </c>
      <c r="BM277" s="286">
        <f>AX277*$C$740</f>
        <v>1.8169986510136373</v>
      </c>
      <c r="BN277" s="285">
        <f>BM277+($BR$277-$BM$277)/5</f>
        <v>1.8204447247375162</v>
      </c>
      <c r="BO277" s="285">
        <f>BN277+($BR$277-$BM$277)/5</f>
        <v>1.823890798461395</v>
      </c>
      <c r="BP277" s="285">
        <f>BO277+($BR$277-$BM$277)/5</f>
        <v>1.8273368721852739</v>
      </c>
      <c r="BQ277" s="285">
        <f>BP277+($BR$277-$BM$277)/5</f>
        <v>1.8307829459091527</v>
      </c>
      <c r="BR277" s="286">
        <f>BM277*$D$740</f>
        <v>1.8342290196330318</v>
      </c>
    </row>
    <row r="278" spans="1:70" x14ac:dyDescent="0.25">
      <c r="A278" s="755" t="s">
        <v>608</v>
      </c>
      <c r="AA278" s="300"/>
      <c r="AB278" s="300"/>
      <c r="AC278" s="300"/>
      <c r="AD278" s="300"/>
    </row>
    <row r="279" spans="1:70" x14ac:dyDescent="0.25">
      <c r="A279" s="755" t="s">
        <v>595</v>
      </c>
      <c r="B279" s="757">
        <v>13.773189544677701</v>
      </c>
      <c r="C279" s="757">
        <v>14.7725219726563</v>
      </c>
      <c r="D279" s="757">
        <v>19.176651000976602</v>
      </c>
      <c r="E279" s="757">
        <v>12.4995737075806</v>
      </c>
      <c r="F279" s="757">
        <v>9.7914295196533203</v>
      </c>
      <c r="G279" s="757">
        <v>12.0805196762085</v>
      </c>
      <c r="H279" s="757">
        <v>13.8671321868896</v>
      </c>
      <c r="I279" s="757">
        <v>15.216549873352101</v>
      </c>
      <c r="J279" s="757">
        <v>16.469785690307599</v>
      </c>
      <c r="K279" s="757">
        <v>17.9636936187744</v>
      </c>
      <c r="L279" s="757">
        <v>18.832237243652301</v>
      </c>
      <c r="M279" s="757">
        <v>19.641151428222699</v>
      </c>
      <c r="N279" s="757">
        <v>20.348432540893601</v>
      </c>
      <c r="O279" s="757">
        <v>20.710233688354499</v>
      </c>
      <c r="P279" s="757">
        <v>20.980741500854499</v>
      </c>
      <c r="Q279" s="757">
        <v>21.161005020141602</v>
      </c>
      <c r="R279" s="757">
        <v>21.2950553894043</v>
      </c>
      <c r="S279" s="757">
        <v>21.596014022827099</v>
      </c>
      <c r="T279" s="757">
        <v>21.884708404541001</v>
      </c>
      <c r="U279" s="757">
        <v>21.582948684692401</v>
      </c>
      <c r="V279" s="757">
        <v>21.8727416992188</v>
      </c>
      <c r="W279" s="757">
        <v>22.200710296630898</v>
      </c>
      <c r="X279" s="757">
        <v>22.548530578613299</v>
      </c>
      <c r="Y279" s="757">
        <v>22.812198638916001</v>
      </c>
      <c r="Z279" s="757">
        <v>23.2114353179932</v>
      </c>
      <c r="AA279" s="300">
        <v>18.0768718719482</v>
      </c>
      <c r="AB279" s="300">
        <v>18.184886932373001</v>
      </c>
      <c r="AC279" s="300">
        <v>18.263076782226602</v>
      </c>
      <c r="AD279" s="300">
        <v>18.304286956787099</v>
      </c>
    </row>
    <row r="280" spans="1:70" x14ac:dyDescent="0.25">
      <c r="A280" s="755" t="s">
        <v>596</v>
      </c>
      <c r="B280" s="757">
        <v>8.3781757354736293</v>
      </c>
      <c r="C280" s="757">
        <v>8.5664386749267596</v>
      </c>
      <c r="D280" s="757">
        <v>14.309384346008301</v>
      </c>
      <c r="E280" s="757">
        <v>6.51324510574341</v>
      </c>
      <c r="F280" s="757">
        <v>6.6763448715209996</v>
      </c>
      <c r="G280" s="757">
        <v>9.3123388290405291</v>
      </c>
      <c r="H280" s="757">
        <v>10.994701385498001</v>
      </c>
      <c r="I280" s="757">
        <v>12.5300750732422</v>
      </c>
      <c r="J280" s="757">
        <v>13.7526693344116</v>
      </c>
      <c r="K280" s="757">
        <v>15.155575752258301</v>
      </c>
      <c r="L280" s="757">
        <v>15.963142395019499</v>
      </c>
      <c r="M280" s="757">
        <v>16.617677688598601</v>
      </c>
      <c r="N280" s="757">
        <v>17.274333953857401</v>
      </c>
      <c r="O280" s="757">
        <v>17.322587966918899</v>
      </c>
      <c r="P280" s="757">
        <v>17.542411804199201</v>
      </c>
      <c r="Q280" s="757">
        <v>17.799869537353501</v>
      </c>
      <c r="R280" s="757">
        <v>17.916141510009801</v>
      </c>
      <c r="S280" s="757">
        <v>18.075910568237301</v>
      </c>
      <c r="T280" s="757">
        <v>18.1613368988037</v>
      </c>
      <c r="U280" s="757">
        <v>17.935956954956101</v>
      </c>
      <c r="V280" s="757">
        <v>18.128087997436499</v>
      </c>
      <c r="W280" s="757">
        <v>18.400978088378899</v>
      </c>
      <c r="X280" s="757">
        <v>18.7218933105469</v>
      </c>
      <c r="Y280" s="757">
        <v>18.9085083007813</v>
      </c>
      <c r="Z280" s="757">
        <v>19.247135162353501</v>
      </c>
      <c r="AA280" s="300">
        <v>21.3195495605469</v>
      </c>
      <c r="AB280" s="300">
        <v>21.43874168396</v>
      </c>
      <c r="AC280" s="300">
        <v>21.398374557495099</v>
      </c>
      <c r="AD280" s="300">
        <v>21.4992275238037</v>
      </c>
    </row>
    <row r="281" spans="1:70" x14ac:dyDescent="0.25">
      <c r="A281" s="755" t="s">
        <v>496</v>
      </c>
      <c r="B281" s="757">
        <v>7.0546379089355504</v>
      </c>
      <c r="C281" s="757">
        <v>7.0191597938537598</v>
      </c>
      <c r="D281" s="757">
        <v>8.8716125488281303</v>
      </c>
      <c r="E281" s="757">
        <v>4.5556221008300799</v>
      </c>
      <c r="F281" s="757">
        <v>5.1293134689331099</v>
      </c>
      <c r="G281" s="757">
        <v>5.4535460472106898</v>
      </c>
      <c r="H281" s="757">
        <v>5.5187635421752903</v>
      </c>
      <c r="I281" s="757">
        <v>5.53977298736572</v>
      </c>
      <c r="J281" s="757">
        <v>5.6835036277770996</v>
      </c>
      <c r="K281" s="757">
        <v>5.8920464515686</v>
      </c>
      <c r="L281" s="757">
        <v>6.0819325447082502</v>
      </c>
      <c r="M281" s="757">
        <v>6.2693996429443404</v>
      </c>
      <c r="N281" s="757">
        <v>6.4775133132934597</v>
      </c>
      <c r="O281" s="757">
        <v>6.7354197502136204</v>
      </c>
      <c r="P281" s="757">
        <v>7.0278439521789604</v>
      </c>
      <c r="Q281" s="757">
        <v>7.2539091110229501</v>
      </c>
      <c r="R281" s="757">
        <v>7.3283839225768999</v>
      </c>
      <c r="S281" s="757">
        <v>7.1506276130676296</v>
      </c>
      <c r="T281" s="757">
        <v>7.1924118995666504</v>
      </c>
      <c r="U281" s="757">
        <v>7.1398839950561497</v>
      </c>
      <c r="V281" s="757">
        <v>7.2806253433227504</v>
      </c>
      <c r="W281" s="757">
        <v>7.5354790687561</v>
      </c>
      <c r="X281" s="757">
        <v>7.8600792884826696</v>
      </c>
      <c r="Y281" s="757">
        <v>8.0742120742797905</v>
      </c>
      <c r="Z281" s="757">
        <v>8.3395175933837908</v>
      </c>
      <c r="AA281" s="300">
        <v>17.291141510009801</v>
      </c>
      <c r="AB281" s="300">
        <v>17.529483795166001</v>
      </c>
      <c r="AC281" s="300">
        <v>17.525184631347699</v>
      </c>
      <c r="AD281" s="300">
        <v>17.7543029785156</v>
      </c>
    </row>
    <row r="282" spans="1:70" x14ac:dyDescent="0.25">
      <c r="A282" s="755" t="s">
        <v>609</v>
      </c>
      <c r="B282" s="757">
        <v>1.7355252504348799</v>
      </c>
      <c r="C282" s="757">
        <v>1.7800002098083501</v>
      </c>
      <c r="D282" s="757">
        <v>1.9310736656189</v>
      </c>
      <c r="E282" s="757">
        <v>1.98230564594269</v>
      </c>
      <c r="F282" s="757">
        <v>1.86225914955139</v>
      </c>
      <c r="G282" s="757">
        <v>1.87335216999054</v>
      </c>
      <c r="H282" s="757">
        <v>1.85759365558624</v>
      </c>
      <c r="I282" s="757">
        <v>1.8817487955093399</v>
      </c>
      <c r="J282" s="757">
        <v>1.9043176174163801</v>
      </c>
      <c r="K282" s="757">
        <v>1.90719401836395</v>
      </c>
      <c r="L282" s="757">
        <v>1.9170492887496899</v>
      </c>
      <c r="M282" s="757">
        <v>1.9259506464004501</v>
      </c>
      <c r="N282" s="757">
        <v>1.94080138206482</v>
      </c>
      <c r="O282" s="757">
        <v>1.94636797904968</v>
      </c>
      <c r="P282" s="757">
        <v>1.9562891721725499</v>
      </c>
      <c r="Q282" s="757">
        <v>1.9622501134872401</v>
      </c>
      <c r="R282" s="757">
        <v>1.9753552675247199</v>
      </c>
      <c r="S282" s="757">
        <v>1.9811542034149201</v>
      </c>
      <c r="T282" s="757">
        <v>1.98549652099609</v>
      </c>
      <c r="U282" s="757">
        <v>1.9898830652236901</v>
      </c>
      <c r="V282" s="757">
        <v>1.99634909629822</v>
      </c>
      <c r="W282" s="757">
        <v>2.00744533538818</v>
      </c>
      <c r="X282" s="757">
        <v>2.0202190876007098</v>
      </c>
      <c r="Y282" s="757">
        <v>2.0336120128631601</v>
      </c>
      <c r="Z282" s="757">
        <v>2.0445194244384801</v>
      </c>
      <c r="AA282" s="300">
        <v>11.227470397949199</v>
      </c>
      <c r="AB282" s="300">
        <v>11.517865180969199</v>
      </c>
      <c r="AC282" s="300">
        <v>11.5089683532715</v>
      </c>
      <c r="AD282" s="300">
        <v>11.7493782043457</v>
      </c>
    </row>
    <row r="283" spans="1:70" x14ac:dyDescent="0.25">
      <c r="AA283" s="300">
        <v>15.2353620529175</v>
      </c>
      <c r="AB283" s="300">
        <v>15.5302953720093</v>
      </c>
      <c r="AC283" s="300">
        <v>15.500846862793001</v>
      </c>
      <c r="AD283" s="300">
        <v>15.7047281265259</v>
      </c>
    </row>
    <row r="284" spans="1:70" x14ac:dyDescent="0.25">
      <c r="A284" s="755" t="s">
        <v>610</v>
      </c>
      <c r="AA284" s="300">
        <v>7.7013258934020996</v>
      </c>
      <c r="AB284" s="300">
        <v>7.6767330169677699</v>
      </c>
      <c r="AC284" s="300">
        <v>7.8322434425354004</v>
      </c>
      <c r="AD284" s="300">
        <v>7.7872447967529297</v>
      </c>
    </row>
    <row r="285" spans="1:70" x14ac:dyDescent="0.25">
      <c r="A285" s="755" t="s">
        <v>594</v>
      </c>
      <c r="B285" s="757">
        <v>15.657142639160201</v>
      </c>
      <c r="C285" s="757">
        <v>18.5313529968262</v>
      </c>
      <c r="D285" s="757">
        <v>19.701341629028299</v>
      </c>
      <c r="E285" s="757">
        <v>16.4090671539307</v>
      </c>
      <c r="F285" s="757">
        <v>16.297544479370099</v>
      </c>
      <c r="G285" s="757">
        <v>18.4262371063232</v>
      </c>
      <c r="H285" s="757">
        <v>20.2184352874756</v>
      </c>
      <c r="I285" s="757">
        <v>21.813219070434599</v>
      </c>
      <c r="J285" s="757">
        <v>23.252103805541999</v>
      </c>
      <c r="K285" s="757">
        <v>24.811630249023398</v>
      </c>
      <c r="L285" s="757">
        <v>25.812454223632798</v>
      </c>
      <c r="M285" s="757">
        <v>26.627546310424801</v>
      </c>
      <c r="N285" s="757">
        <v>27.460300445556602</v>
      </c>
      <c r="O285" s="757">
        <v>27.8579425811768</v>
      </c>
      <c r="P285" s="757">
        <v>28.113265991210898</v>
      </c>
      <c r="Q285" s="757">
        <v>28.325565338134801</v>
      </c>
      <c r="R285" s="757">
        <v>28.4571437835693</v>
      </c>
      <c r="S285" s="757">
        <v>28.7732944488525</v>
      </c>
      <c r="T285" s="757">
        <v>28.920036315918001</v>
      </c>
      <c r="U285" s="757">
        <v>28.525373458862301</v>
      </c>
      <c r="V285" s="757">
        <v>28.814060211181602</v>
      </c>
      <c r="W285" s="757">
        <v>29.1242790222168</v>
      </c>
      <c r="X285" s="757">
        <v>29.486963272094702</v>
      </c>
      <c r="Y285" s="757">
        <v>29.629682540893601</v>
      </c>
      <c r="Z285" s="757">
        <v>30.0484523773193</v>
      </c>
      <c r="AA285" s="300">
        <v>7.8213167190551802</v>
      </c>
      <c r="AB285" s="300">
        <v>7.9383788108825701</v>
      </c>
      <c r="AC285" s="300">
        <v>8.0273618698120099</v>
      </c>
      <c r="AD285" s="300">
        <v>8.0851049423217791</v>
      </c>
    </row>
    <row r="286" spans="1:70" x14ac:dyDescent="0.25">
      <c r="A286" s="755" t="s">
        <v>603</v>
      </c>
      <c r="B286" s="757">
        <v>25.5142211914063</v>
      </c>
      <c r="C286" s="757">
        <v>26.818180084228501</v>
      </c>
      <c r="D286" s="757">
        <v>34.073703765869098</v>
      </c>
      <c r="E286" s="757">
        <v>20.3962516784668</v>
      </c>
      <c r="F286" s="757">
        <v>18.869060516357401</v>
      </c>
      <c r="G286" s="757">
        <v>22.499189376831101</v>
      </c>
      <c r="H286" s="757">
        <v>24.345371246337901</v>
      </c>
      <c r="I286" s="757">
        <v>25.8835773468018</v>
      </c>
      <c r="J286" s="757">
        <v>27.376197814941399</v>
      </c>
      <c r="K286" s="757">
        <v>25.5507621765137</v>
      </c>
      <c r="L286" s="757">
        <v>26.3307495117188</v>
      </c>
      <c r="M286" s="757">
        <v>27.042121887206999</v>
      </c>
      <c r="N286" s="757">
        <v>27.074653625488299</v>
      </c>
      <c r="O286" s="757">
        <v>28.861484527587901</v>
      </c>
      <c r="P286" s="757">
        <v>29.593324661254901</v>
      </c>
      <c r="Q286" s="757">
        <v>29.691083908081101</v>
      </c>
      <c r="R286" s="757">
        <v>29.8394565582275</v>
      </c>
      <c r="S286" s="757">
        <v>30.056737899780298</v>
      </c>
      <c r="T286" s="757">
        <v>30.123649597168001</v>
      </c>
      <c r="U286" s="757">
        <v>30.045396804809599</v>
      </c>
      <c r="V286" s="757">
        <v>30.335887908935501</v>
      </c>
      <c r="W286" s="757">
        <v>30.1821899414063</v>
      </c>
      <c r="X286" s="757">
        <v>30.567377090454102</v>
      </c>
      <c r="Y286" s="757">
        <v>31.227724075317401</v>
      </c>
      <c r="Z286" s="757">
        <v>30.935503005981399</v>
      </c>
      <c r="AA286" s="300">
        <v>2.7168338298797599</v>
      </c>
      <c r="AB286" s="300">
        <v>2.7307398319244398</v>
      </c>
      <c r="AC286" s="300">
        <v>2.7413196563720699</v>
      </c>
      <c r="AD286" s="300">
        <v>2.7546591758728001</v>
      </c>
    </row>
    <row r="287" spans="1:70" x14ac:dyDescent="0.25">
      <c r="A287" s="755" t="s">
        <v>604</v>
      </c>
      <c r="B287" s="757">
        <v>21.649000167846701</v>
      </c>
      <c r="C287" s="757">
        <v>22.8191947937012</v>
      </c>
      <c r="D287" s="757">
        <v>26.0107421875</v>
      </c>
      <c r="E287" s="757">
        <v>15.8019914627075</v>
      </c>
      <c r="F287" s="757">
        <v>17.711067199706999</v>
      </c>
      <c r="G287" s="757">
        <v>20.6589241027832</v>
      </c>
      <c r="H287" s="757">
        <v>22.298402786254901</v>
      </c>
      <c r="I287" s="757">
        <v>23.5152263641357</v>
      </c>
      <c r="J287" s="757">
        <v>24.813198089599599</v>
      </c>
      <c r="K287" s="757">
        <v>26.134485244751001</v>
      </c>
      <c r="L287" s="757">
        <v>27.0586547851563</v>
      </c>
      <c r="M287" s="757">
        <v>27.9900207519531</v>
      </c>
      <c r="N287" s="757">
        <v>28.799554824829102</v>
      </c>
      <c r="O287" s="757">
        <v>29.408401489257798</v>
      </c>
      <c r="P287" s="757">
        <v>29.935087203979499</v>
      </c>
      <c r="Q287" s="757">
        <v>30.054672241210898</v>
      </c>
      <c r="R287" s="757">
        <v>30.314332962036101</v>
      </c>
      <c r="S287" s="757">
        <v>30.492042541503899</v>
      </c>
      <c r="T287" s="757">
        <v>30.525100708007798</v>
      </c>
      <c r="U287" s="757">
        <v>30.442491531372099</v>
      </c>
      <c r="V287" s="757">
        <v>30.723676681518601</v>
      </c>
      <c r="W287" s="757">
        <v>30.701581954956101</v>
      </c>
      <c r="X287" s="757">
        <v>31.107343673706101</v>
      </c>
      <c r="Y287" s="757">
        <v>31.957983016967798</v>
      </c>
      <c r="Z287" s="757">
        <v>31.580909729003899</v>
      </c>
      <c r="AA287" s="300">
        <v>1.67883205413818</v>
      </c>
      <c r="AB287" s="300">
        <v>1.6938681602478001</v>
      </c>
      <c r="AC287" s="300">
        <v>1.7024568319320701</v>
      </c>
      <c r="AD287" s="300">
        <v>1.71655297279358</v>
      </c>
    </row>
    <row r="288" spans="1:70" x14ac:dyDescent="0.25">
      <c r="A288" s="755" t="s">
        <v>611</v>
      </c>
      <c r="B288" s="757">
        <v>15.2446508407593</v>
      </c>
      <c r="C288" s="757">
        <v>16.0964660644531</v>
      </c>
      <c r="D288" s="757">
        <v>22.1856594085693</v>
      </c>
      <c r="E288" s="757">
        <v>10.540905952453601</v>
      </c>
      <c r="F288" s="757">
        <v>10.4131317138672</v>
      </c>
      <c r="G288" s="757">
        <v>12.992267608642599</v>
      </c>
      <c r="H288" s="757">
        <v>14.8510446548462</v>
      </c>
      <c r="I288" s="757">
        <v>16.4927158355713</v>
      </c>
      <c r="J288" s="757">
        <v>17.888269424438501</v>
      </c>
      <c r="K288" s="757">
        <v>19.120731353759801</v>
      </c>
      <c r="L288" s="757">
        <v>20.025011062622099</v>
      </c>
      <c r="M288" s="757">
        <v>20.925888061523398</v>
      </c>
      <c r="N288" s="757">
        <v>21.650459289550799</v>
      </c>
      <c r="O288" s="757">
        <v>22.054113388061499</v>
      </c>
      <c r="P288" s="757">
        <v>22.358533859252901</v>
      </c>
      <c r="Q288" s="757">
        <v>22.535087585449201</v>
      </c>
      <c r="R288" s="757">
        <v>22.624557495117202</v>
      </c>
      <c r="S288" s="757">
        <v>22.875423431396499</v>
      </c>
      <c r="T288" s="757">
        <v>23.088819503784201</v>
      </c>
      <c r="U288" s="757">
        <v>22.878332138061499</v>
      </c>
      <c r="V288" s="757">
        <v>23.229129791259801</v>
      </c>
      <c r="W288" s="757">
        <v>23.440977096557599</v>
      </c>
      <c r="X288" s="757">
        <v>23.911849975585898</v>
      </c>
      <c r="Y288" s="757">
        <v>24.3618278503418</v>
      </c>
      <c r="Z288" s="757">
        <v>24.669164657592798</v>
      </c>
      <c r="AA288" s="300">
        <v>1.2833950519561801</v>
      </c>
      <c r="AB288" s="300">
        <v>1.3286876678466799</v>
      </c>
      <c r="AC288" s="300">
        <v>1.33012855052948</v>
      </c>
      <c r="AD288" s="300">
        <v>1.33445107936859</v>
      </c>
    </row>
    <row r="289" spans="1:30" x14ac:dyDescent="0.25">
      <c r="A289" s="755" t="s">
        <v>595</v>
      </c>
      <c r="B289" s="757">
        <v>19.171348571777301</v>
      </c>
      <c r="C289" s="757">
        <v>19.9431552886963</v>
      </c>
      <c r="D289" s="757">
        <v>25.721439361572301</v>
      </c>
      <c r="E289" s="757">
        <v>15.1513471603394</v>
      </c>
      <c r="F289" s="757">
        <v>13.5963325500488</v>
      </c>
      <c r="G289" s="757">
        <v>16.098552703857401</v>
      </c>
      <c r="H289" s="757">
        <v>18.014595031738299</v>
      </c>
      <c r="I289" s="757">
        <v>20.0945529937744</v>
      </c>
      <c r="J289" s="757">
        <v>21.487236022949201</v>
      </c>
      <c r="K289" s="757">
        <v>22.551927566528299</v>
      </c>
      <c r="L289" s="757">
        <v>23.4185886383057</v>
      </c>
      <c r="M289" s="757">
        <v>24.295482635498001</v>
      </c>
      <c r="N289" s="757">
        <v>25.028078079223601</v>
      </c>
      <c r="O289" s="757">
        <v>25.4735622406006</v>
      </c>
      <c r="P289" s="757">
        <v>25.7968635559082</v>
      </c>
      <c r="Q289" s="757">
        <v>25.744600296020501</v>
      </c>
      <c r="R289" s="757">
        <v>26.0401725769043</v>
      </c>
      <c r="S289" s="757">
        <v>26.245742797851602</v>
      </c>
      <c r="T289" s="757">
        <v>26.316581726074201</v>
      </c>
      <c r="U289" s="757">
        <v>26.282798767089801</v>
      </c>
      <c r="V289" s="757">
        <v>26.623888015747099</v>
      </c>
      <c r="W289" s="757">
        <v>26.532428741455099</v>
      </c>
      <c r="X289" s="757">
        <v>26.9911499023438</v>
      </c>
      <c r="Y289" s="757">
        <v>27.692060470581101</v>
      </c>
      <c r="Z289" s="757">
        <v>27.7130451202393</v>
      </c>
      <c r="AA289" s="300">
        <v>23.429731369018601</v>
      </c>
      <c r="AB289" s="300">
        <v>23.480413436889599</v>
      </c>
      <c r="AC289" s="300">
        <v>23.589033126831101</v>
      </c>
      <c r="AD289" s="300">
        <v>23.596023559570298</v>
      </c>
    </row>
    <row r="290" spans="1:30" x14ac:dyDescent="0.25">
      <c r="A290" s="755" t="s">
        <v>596</v>
      </c>
      <c r="B290" s="757">
        <v>8.4246683120727504</v>
      </c>
      <c r="C290" s="757">
        <v>9.3672227859497106</v>
      </c>
      <c r="D290" s="757">
        <v>14.1781015396118</v>
      </c>
      <c r="E290" s="757">
        <v>6.5043296813964799</v>
      </c>
      <c r="F290" s="757">
        <v>6.9149212837219203</v>
      </c>
      <c r="G290" s="757">
        <v>9.2013835906982404</v>
      </c>
      <c r="H290" s="757">
        <v>10.8588418960571</v>
      </c>
      <c r="I290" s="757">
        <v>12.3554439544678</v>
      </c>
      <c r="J290" s="757">
        <v>13.5696716308594</v>
      </c>
      <c r="K290" s="757">
        <v>14.9571332931519</v>
      </c>
      <c r="L290" s="757">
        <v>15.7562828063965</v>
      </c>
      <c r="M290" s="757">
        <v>16.419845581054702</v>
      </c>
      <c r="N290" s="757">
        <v>17.090215682983398</v>
      </c>
      <c r="O290" s="757">
        <v>17.3671054840088</v>
      </c>
      <c r="P290" s="757">
        <v>17.589653015136701</v>
      </c>
      <c r="Q290" s="757">
        <v>17.8480415344238</v>
      </c>
      <c r="R290" s="757">
        <v>17.911899566650401</v>
      </c>
      <c r="S290" s="757">
        <v>18.041828155517599</v>
      </c>
      <c r="T290" s="757">
        <v>18.112939834594702</v>
      </c>
      <c r="U290" s="757">
        <v>17.862413406372099</v>
      </c>
      <c r="V290" s="757">
        <v>18.047613143920898</v>
      </c>
      <c r="W290" s="757">
        <v>18.333000183105501</v>
      </c>
      <c r="X290" s="757">
        <v>18.6528930664063</v>
      </c>
      <c r="Y290" s="757">
        <v>18.8375339508057</v>
      </c>
      <c r="Z290" s="757">
        <v>19.187860488891602</v>
      </c>
      <c r="AA290" s="300"/>
      <c r="AB290" s="300"/>
      <c r="AC290" s="300"/>
      <c r="AD290" s="300"/>
    </row>
    <row r="291" spans="1:30" x14ac:dyDescent="0.25">
      <c r="A291" s="755" t="s">
        <v>496</v>
      </c>
      <c r="B291" s="757">
        <v>9.5015735626220703</v>
      </c>
      <c r="C291" s="757">
        <v>9.0060253143310494</v>
      </c>
      <c r="D291" s="757">
        <v>10.1816816329956</v>
      </c>
      <c r="E291" s="757">
        <v>6.76324558258057</v>
      </c>
      <c r="F291" s="757">
        <v>7.4289712905883798</v>
      </c>
      <c r="G291" s="757">
        <v>7.7374553680419904</v>
      </c>
      <c r="H291" s="757">
        <v>7.7907910346984899</v>
      </c>
      <c r="I291" s="757">
        <v>7.79954290390015</v>
      </c>
      <c r="J291" s="757">
        <v>7.91036033630371</v>
      </c>
      <c r="K291" s="757">
        <v>8.0721502304077095</v>
      </c>
      <c r="L291" s="757">
        <v>8.2674913406372106</v>
      </c>
      <c r="M291" s="757">
        <v>8.4630060195922905</v>
      </c>
      <c r="N291" s="757">
        <v>8.6615943908691406</v>
      </c>
      <c r="O291" s="757">
        <v>8.9140930175781303</v>
      </c>
      <c r="P291" s="757">
        <v>9.2212562561035192</v>
      </c>
      <c r="Q291" s="757">
        <v>9.4307956695556605</v>
      </c>
      <c r="R291" s="757">
        <v>9.4883728027343803</v>
      </c>
      <c r="S291" s="757">
        <v>9.2674760818481392</v>
      </c>
      <c r="T291" s="757">
        <v>9.2395153045654297</v>
      </c>
      <c r="U291" s="757">
        <v>9.1623344421386701</v>
      </c>
      <c r="V291" s="757">
        <v>9.3142642974853498</v>
      </c>
      <c r="W291" s="757">
        <v>9.5711297988891602</v>
      </c>
      <c r="X291" s="757">
        <v>9.9057645797729492</v>
      </c>
      <c r="Y291" s="757">
        <v>10.151716232299799</v>
      </c>
      <c r="Z291" s="757">
        <v>10.4206848144531</v>
      </c>
      <c r="AA291" s="300"/>
      <c r="AB291" s="300"/>
      <c r="AC291" s="300"/>
      <c r="AD291" s="300"/>
    </row>
    <row r="292" spans="1:30" x14ac:dyDescent="0.25">
      <c r="A292" s="755" t="s">
        <v>599</v>
      </c>
      <c r="B292" s="757">
        <v>3.6353600025177002</v>
      </c>
      <c r="C292" s="757">
        <v>3.6099998950958301</v>
      </c>
      <c r="D292" s="757">
        <v>4.0558156967163104</v>
      </c>
      <c r="E292" s="757">
        <v>4.0487108230590803</v>
      </c>
      <c r="F292" s="757">
        <v>3.9977276325225799</v>
      </c>
      <c r="G292" s="757">
        <v>4.1121706962585396</v>
      </c>
      <c r="H292" s="757">
        <v>4.1809573173522896</v>
      </c>
      <c r="I292" s="757">
        <v>4.2343683242797896</v>
      </c>
      <c r="J292" s="757">
        <v>4.27162742614746</v>
      </c>
      <c r="K292" s="757">
        <v>4.2985162734985396</v>
      </c>
      <c r="L292" s="757">
        <v>4.3192996978759801</v>
      </c>
      <c r="M292" s="757">
        <v>4.3337044715881303</v>
      </c>
      <c r="N292" s="757">
        <v>4.3530845642089799</v>
      </c>
      <c r="O292" s="757">
        <v>4.3696141242981001</v>
      </c>
      <c r="P292" s="757">
        <v>4.3899216651916504</v>
      </c>
      <c r="Q292" s="757">
        <v>4.4470157623290998</v>
      </c>
      <c r="R292" s="757">
        <v>4.5093812942504901</v>
      </c>
      <c r="S292" s="757">
        <v>4.5352845191955602</v>
      </c>
      <c r="T292" s="757">
        <v>4.5618190765380904</v>
      </c>
      <c r="U292" s="757">
        <v>4.5643453598022496</v>
      </c>
      <c r="V292" s="757">
        <v>4.5493078231811497</v>
      </c>
      <c r="W292" s="757">
        <v>4.5490665435790998</v>
      </c>
      <c r="X292" s="757">
        <v>4.5331215858459499</v>
      </c>
      <c r="Y292" s="757">
        <v>4.4955492019653303</v>
      </c>
      <c r="Z292" s="757">
        <v>4.4319190979003897</v>
      </c>
      <c r="AA292" s="300">
        <v>253.732666015625</v>
      </c>
      <c r="AB292" s="300">
        <v>257.28918457031301</v>
      </c>
      <c r="AC292" s="300">
        <v>259.96432495117199</v>
      </c>
      <c r="AD292" s="300">
        <v>262.21316528320301</v>
      </c>
    </row>
    <row r="293" spans="1:30" x14ac:dyDescent="0.25">
      <c r="A293" s="755" t="s">
        <v>612</v>
      </c>
      <c r="B293" s="757">
        <v>1.7776364088058501</v>
      </c>
      <c r="C293" s="757">
        <v>1.81885313987732</v>
      </c>
      <c r="D293" s="757">
        <v>1.9676311016082799</v>
      </c>
      <c r="E293" s="757">
        <v>2.0067975521087602</v>
      </c>
      <c r="F293" s="757">
        <v>1.88941025733948</v>
      </c>
      <c r="G293" s="757">
        <v>1.9042230844497701</v>
      </c>
      <c r="H293" s="757">
        <v>1.89033174514771</v>
      </c>
      <c r="I293" s="757">
        <v>1.9154095649719201</v>
      </c>
      <c r="J293" s="757">
        <v>1.93832087516785</v>
      </c>
      <c r="K293" s="757">
        <v>1.94072294235229</v>
      </c>
      <c r="L293" s="757">
        <v>1.9500694274902299</v>
      </c>
      <c r="M293" s="757">
        <v>1.9586881399154701</v>
      </c>
      <c r="N293" s="757">
        <v>1.9732190370559699</v>
      </c>
      <c r="O293" s="757">
        <v>1.9783339500427199</v>
      </c>
      <c r="P293" s="757">
        <v>1.98810267448425</v>
      </c>
      <c r="Q293" s="757">
        <v>1.9938982725143399</v>
      </c>
      <c r="R293" s="757">
        <v>2.0064799785614</v>
      </c>
      <c r="S293" s="757">
        <v>2.0119984149932901</v>
      </c>
      <c r="T293" s="757">
        <v>2.0163278579711901</v>
      </c>
      <c r="U293" s="757">
        <v>2.0205180644989</v>
      </c>
      <c r="V293" s="757">
        <v>2.0271856784820601</v>
      </c>
      <c r="W293" s="757">
        <v>2.0382561683654798</v>
      </c>
      <c r="X293" s="757">
        <v>2.0508835315704301</v>
      </c>
      <c r="Y293" s="757">
        <v>2.0641281604766801</v>
      </c>
      <c r="Z293" s="757">
        <v>2.0750961303710902</v>
      </c>
      <c r="AA293" s="300">
        <v>208.50216674804699</v>
      </c>
      <c r="AB293" s="300">
        <v>213.246017456055</v>
      </c>
      <c r="AC293" s="300">
        <v>217.97378540039099</v>
      </c>
      <c r="AD293" s="300">
        <v>222.08200073242199</v>
      </c>
    </row>
    <row r="294" spans="1:30" x14ac:dyDescent="0.25">
      <c r="A294" s="755" t="s">
        <v>601</v>
      </c>
      <c r="B294" s="757">
        <v>0</v>
      </c>
      <c r="C294" s="757">
        <v>0</v>
      </c>
      <c r="D294" s="757">
        <v>0</v>
      </c>
      <c r="E294" s="757">
        <v>0</v>
      </c>
      <c r="F294" s="757">
        <v>0</v>
      </c>
      <c r="G294" s="757">
        <v>1.5133428573608401</v>
      </c>
      <c r="H294" s="757">
        <v>1.3742095232009901</v>
      </c>
      <c r="I294" s="757">
        <v>1.19064140319824</v>
      </c>
      <c r="J294" s="757">
        <v>1.3664953708648699</v>
      </c>
      <c r="K294" s="757">
        <v>1.33487153053284</v>
      </c>
      <c r="L294" s="757">
        <v>1.31654036045074</v>
      </c>
      <c r="M294" s="757">
        <v>1.30223417282104</v>
      </c>
      <c r="N294" s="757">
        <v>1.30838906764984</v>
      </c>
      <c r="O294" s="757">
        <v>1.32146644592285</v>
      </c>
      <c r="P294" s="757">
        <v>1.3489345312118499</v>
      </c>
      <c r="Q294" s="757">
        <v>1.3524934053421001</v>
      </c>
      <c r="R294" s="757">
        <v>1.3570195436477701</v>
      </c>
      <c r="S294" s="757">
        <v>1.3626403808593801</v>
      </c>
      <c r="T294" s="757">
        <v>1.37119424343109</v>
      </c>
      <c r="U294" s="757">
        <v>1.3635557889938399</v>
      </c>
      <c r="V294" s="757">
        <v>1.3662919998168901</v>
      </c>
      <c r="W294" s="757">
        <v>1.37254309654236</v>
      </c>
      <c r="X294" s="757">
        <v>1.37609398365021</v>
      </c>
      <c r="Y294" s="757">
        <v>1.3784751892089799</v>
      </c>
      <c r="Z294" s="757">
        <v>1.3805129528045701</v>
      </c>
      <c r="AA294" s="300">
        <v>212.89649963378901</v>
      </c>
      <c r="AB294" s="300">
        <v>216.30204772949199</v>
      </c>
      <c r="AC294" s="300">
        <v>219.267822265625</v>
      </c>
      <c r="AD294" s="300">
        <v>222.079177856445</v>
      </c>
    </row>
    <row r="295" spans="1:30" x14ac:dyDescent="0.25">
      <c r="A295" s="755" t="s">
        <v>465</v>
      </c>
      <c r="B295" s="757">
        <v>26.672916412353501</v>
      </c>
      <c r="C295" s="757">
        <v>26.680915832519499</v>
      </c>
      <c r="D295" s="757">
        <v>27.799331665039102</v>
      </c>
      <c r="E295" s="757">
        <v>26.6892414093018</v>
      </c>
      <c r="F295" s="757">
        <v>24.2756156921387</v>
      </c>
      <c r="G295" s="757">
        <v>25.0947151184082</v>
      </c>
      <c r="H295" s="757">
        <v>25.0493679046631</v>
      </c>
      <c r="I295" s="757">
        <v>25.093559265136701</v>
      </c>
      <c r="J295" s="757">
        <v>25.339256286621101</v>
      </c>
      <c r="K295" s="757">
        <v>25.454051971435501</v>
      </c>
      <c r="L295" s="757">
        <v>25.7708930969238</v>
      </c>
      <c r="M295" s="757">
        <v>26.1124782562256</v>
      </c>
      <c r="N295" s="757">
        <v>26.474697113037099</v>
      </c>
      <c r="O295" s="757">
        <v>26.7419338226318</v>
      </c>
      <c r="P295" s="757">
        <v>27.1641750335693</v>
      </c>
      <c r="Q295" s="757">
        <v>27.529588699340799</v>
      </c>
      <c r="R295" s="757">
        <v>27.7828693389893</v>
      </c>
      <c r="S295" s="757">
        <v>27.754991531372099</v>
      </c>
      <c r="T295" s="757">
        <v>27.792310714721701</v>
      </c>
      <c r="U295" s="757">
        <v>27.7856330871582</v>
      </c>
      <c r="V295" s="757">
        <v>27.867961883544901</v>
      </c>
      <c r="W295" s="757">
        <v>28.2280673980713</v>
      </c>
      <c r="X295" s="757">
        <v>28.6754856109619</v>
      </c>
      <c r="Y295" s="757">
        <v>29.0858860015869</v>
      </c>
      <c r="Z295" s="757">
        <v>29.4564533233643</v>
      </c>
      <c r="AA295" s="300">
        <v>588.97521972656295</v>
      </c>
      <c r="AB295" s="300">
        <v>607.12139892578102</v>
      </c>
      <c r="AC295" s="300">
        <v>615.45501708984398</v>
      </c>
      <c r="AD295" s="300">
        <v>632.78991699218795</v>
      </c>
    </row>
    <row r="296" spans="1:30" x14ac:dyDescent="0.25">
      <c r="AA296" s="300">
        <v>1264.10656738281</v>
      </c>
      <c r="AB296" s="300">
        <v>1293.95861816406</v>
      </c>
      <c r="AC296" s="300">
        <v>1312.66088867188</v>
      </c>
      <c r="AD296" s="300">
        <v>1339.16430664063</v>
      </c>
    </row>
    <row r="297" spans="1:30" x14ac:dyDescent="0.25">
      <c r="A297" s="755" t="s">
        <v>499</v>
      </c>
      <c r="AA297" s="300">
        <v>0.38684526085853599</v>
      </c>
      <c r="AB297" s="300">
        <v>0.443235874176025</v>
      </c>
      <c r="AC297" s="300">
        <v>0.46923574805259699</v>
      </c>
      <c r="AD297" s="300">
        <v>0.51463860273361195</v>
      </c>
    </row>
    <row r="298" spans="1:30" x14ac:dyDescent="0.25">
      <c r="A298" s="755" t="s">
        <v>710</v>
      </c>
      <c r="AA298" s="300">
        <v>1264.49340820313</v>
      </c>
      <c r="AB298" s="300">
        <v>1294.40185546875</v>
      </c>
      <c r="AC298" s="300">
        <v>1313.13012695313</v>
      </c>
      <c r="AD298" s="300">
        <v>1339.67895507813</v>
      </c>
    </row>
    <row r="299" spans="1:30" x14ac:dyDescent="0.25">
      <c r="A299" s="755" t="s">
        <v>459</v>
      </c>
      <c r="B299" s="757">
        <v>231.10064697265599</v>
      </c>
      <c r="C299" s="757">
        <v>238.40081787109401</v>
      </c>
      <c r="D299" s="757">
        <v>250.00378417968801</v>
      </c>
      <c r="E299" s="757">
        <v>223.81915283203099</v>
      </c>
      <c r="F299" s="757">
        <v>215.29118347168</v>
      </c>
      <c r="G299" s="757">
        <v>224.09677124023401</v>
      </c>
      <c r="H299" s="757">
        <v>227.34310913085901</v>
      </c>
      <c r="I299" s="757">
        <v>227.85260009765599</v>
      </c>
      <c r="J299" s="757">
        <v>231.24415588378901</v>
      </c>
      <c r="K299" s="757">
        <v>234.18721008300801</v>
      </c>
      <c r="L299" s="757">
        <v>238.75100708007801</v>
      </c>
      <c r="M299" s="757">
        <v>243.18489074707</v>
      </c>
      <c r="N299" s="757">
        <v>248.169021606445</v>
      </c>
      <c r="O299" s="757">
        <v>252.72660827636699</v>
      </c>
      <c r="P299" s="757">
        <v>258.44952392578102</v>
      </c>
      <c r="Q299" s="757">
        <v>262.50808715820301</v>
      </c>
      <c r="R299" s="757">
        <v>265.94851684570301</v>
      </c>
      <c r="S299" s="757">
        <v>267.30322265625</v>
      </c>
      <c r="T299" s="757">
        <v>270.58847045898398</v>
      </c>
      <c r="U299" s="757">
        <v>272.04168701171898</v>
      </c>
      <c r="V299" s="757">
        <v>276.25186157226602</v>
      </c>
      <c r="W299" s="757">
        <v>282.20260620117199</v>
      </c>
      <c r="X299" s="757">
        <v>288.93267822265602</v>
      </c>
      <c r="Y299" s="757">
        <v>293.60751342773398</v>
      </c>
      <c r="Z299" s="757">
        <v>298.90402221679699</v>
      </c>
      <c r="AA299" s="300"/>
      <c r="AB299" s="300"/>
      <c r="AC299" s="300"/>
      <c r="AD299" s="300"/>
    </row>
    <row r="300" spans="1:30" x14ac:dyDescent="0.25">
      <c r="A300" s="755" t="s">
        <v>466</v>
      </c>
      <c r="B300" s="757">
        <v>170.28274536132801</v>
      </c>
      <c r="C300" s="757">
        <v>172.89260864257801</v>
      </c>
      <c r="D300" s="757">
        <v>183.352294921875</v>
      </c>
      <c r="E300" s="757">
        <v>163.89425659179699</v>
      </c>
      <c r="F300" s="757">
        <v>157.14476013183599</v>
      </c>
      <c r="G300" s="757">
        <v>164.69047546386699</v>
      </c>
      <c r="H300" s="757">
        <v>166.42567443847699</v>
      </c>
      <c r="I300" s="757">
        <v>169.00093078613301</v>
      </c>
      <c r="J300" s="757">
        <v>173.04789733886699</v>
      </c>
      <c r="K300" s="757">
        <v>176.93461608886699</v>
      </c>
      <c r="L300" s="757">
        <v>182.04042053222699</v>
      </c>
      <c r="M300" s="757">
        <v>187.24485778808599</v>
      </c>
      <c r="N300" s="757">
        <v>192.69107055664099</v>
      </c>
      <c r="O300" s="757">
        <v>197.508544921875</v>
      </c>
      <c r="P300" s="757">
        <v>203.26272583007801</v>
      </c>
      <c r="Q300" s="757">
        <v>208.31881713867199</v>
      </c>
      <c r="R300" s="757">
        <v>212.33370971679699</v>
      </c>
      <c r="S300" s="757">
        <v>214.22947692871099</v>
      </c>
      <c r="T300" s="757">
        <v>217.23475646972699</v>
      </c>
      <c r="U300" s="757">
        <v>219.65505981445301</v>
      </c>
      <c r="V300" s="757">
        <v>223.61666870117199</v>
      </c>
      <c r="W300" s="757">
        <v>229.31947326660199</v>
      </c>
      <c r="X300" s="757">
        <v>235.82908630371099</v>
      </c>
      <c r="Y300" s="757">
        <v>241.79779052734401</v>
      </c>
      <c r="Z300" s="757">
        <v>247.76422119140599</v>
      </c>
      <c r="AA300" s="300"/>
      <c r="AB300" s="300"/>
      <c r="AC300" s="300"/>
      <c r="AD300" s="300"/>
    </row>
    <row r="301" spans="1:30" x14ac:dyDescent="0.25">
      <c r="A301" s="755" t="s">
        <v>501</v>
      </c>
      <c r="B301" s="757">
        <v>216.08058166503901</v>
      </c>
      <c r="C301" s="757">
        <v>226.88609313964801</v>
      </c>
      <c r="D301" s="757">
        <v>248.66896057128901</v>
      </c>
      <c r="E301" s="757">
        <v>181.39601135253901</v>
      </c>
      <c r="F301" s="757">
        <v>151.70443725585901</v>
      </c>
      <c r="G301" s="757">
        <v>172.23597717285199</v>
      </c>
      <c r="H301" s="757">
        <v>186.63681030273401</v>
      </c>
      <c r="I301" s="757">
        <v>200.19924926757801</v>
      </c>
      <c r="J301" s="757">
        <v>207.03741455078099</v>
      </c>
      <c r="K301" s="757">
        <v>213.45352172851599</v>
      </c>
      <c r="L301" s="757">
        <v>218.62767028808599</v>
      </c>
      <c r="M301" s="757">
        <v>224.29528808593801</v>
      </c>
      <c r="N301" s="757">
        <v>229.96401977539099</v>
      </c>
      <c r="O301" s="757">
        <v>233.76069641113301</v>
      </c>
      <c r="P301" s="757">
        <v>239.065841674805</v>
      </c>
      <c r="Q301" s="757">
        <v>241.45851135253901</v>
      </c>
      <c r="R301" s="757">
        <v>242.383544921875</v>
      </c>
      <c r="S301" s="757">
        <v>242.41815185546901</v>
      </c>
      <c r="T301" s="757">
        <v>242.89247131347699</v>
      </c>
      <c r="U301" s="757">
        <v>240.916915893555</v>
      </c>
      <c r="V301" s="757">
        <v>241.41357421875</v>
      </c>
      <c r="W301" s="757">
        <v>242.50785827636699</v>
      </c>
      <c r="X301" s="757">
        <v>244.85752868652301</v>
      </c>
      <c r="Y301" s="757">
        <v>245.86729431152301</v>
      </c>
      <c r="Z301" s="757">
        <v>245.87216186523401</v>
      </c>
      <c r="AA301" s="300"/>
      <c r="AB301" s="300"/>
      <c r="AC301" s="300"/>
      <c r="AD301" s="300"/>
    </row>
    <row r="302" spans="1:30" x14ac:dyDescent="0.25">
      <c r="A302" s="755" t="s">
        <v>473</v>
      </c>
      <c r="B302" s="757">
        <v>564.62982177734398</v>
      </c>
      <c r="C302" s="757">
        <v>596.84759521484398</v>
      </c>
      <c r="D302" s="757">
        <v>693.65460205078102</v>
      </c>
      <c r="E302" s="757">
        <v>393.76574707031301</v>
      </c>
      <c r="F302" s="757">
        <v>430.90808105468801</v>
      </c>
      <c r="G302" s="757">
        <v>516.84307861328102</v>
      </c>
      <c r="H302" s="757">
        <v>568.141357421875</v>
      </c>
      <c r="I302" s="757">
        <v>610.89111328125</v>
      </c>
      <c r="J302" s="757">
        <v>646.41064453125</v>
      </c>
      <c r="K302" s="757">
        <v>676.39013671875</v>
      </c>
      <c r="L302" s="757">
        <v>696.72686767578102</v>
      </c>
      <c r="M302" s="757">
        <v>719.33160400390602</v>
      </c>
      <c r="N302" s="757">
        <v>737.13671875</v>
      </c>
      <c r="O302" s="757">
        <v>750.27301025390602</v>
      </c>
      <c r="P302" s="757">
        <v>759.33123779296898</v>
      </c>
      <c r="Q302" s="757">
        <v>760.33734130859398</v>
      </c>
      <c r="R302" s="757">
        <v>761.04602050781295</v>
      </c>
      <c r="S302" s="757">
        <v>771.55059814453102</v>
      </c>
      <c r="T302" s="757">
        <v>780.57421875</v>
      </c>
      <c r="U302" s="757">
        <v>783.147216796875</v>
      </c>
      <c r="V302" s="757">
        <v>796.70227050781295</v>
      </c>
      <c r="W302" s="757">
        <v>794.56842041015602</v>
      </c>
      <c r="X302" s="757">
        <v>811.39251708984398</v>
      </c>
      <c r="Y302" s="757">
        <v>832.07995605468795</v>
      </c>
      <c r="Z302" s="757">
        <v>835.36431884765602</v>
      </c>
      <c r="AA302" s="300"/>
      <c r="AB302" s="300"/>
      <c r="AC302" s="300"/>
      <c r="AD302" s="300"/>
    </row>
    <row r="303" spans="1:30" x14ac:dyDescent="0.25">
      <c r="A303" s="755" t="s">
        <v>502</v>
      </c>
      <c r="B303" s="757">
        <v>1182.09375</v>
      </c>
      <c r="C303" s="757">
        <v>1235.02709960938</v>
      </c>
      <c r="D303" s="757">
        <v>1375.6796875</v>
      </c>
      <c r="E303" s="757">
        <v>962.87518310546898</v>
      </c>
      <c r="F303" s="757">
        <v>955.04846191406295</v>
      </c>
      <c r="G303" s="757">
        <v>1077.86633300781</v>
      </c>
      <c r="H303" s="757">
        <v>1148.54699707031</v>
      </c>
      <c r="I303" s="757">
        <v>1207.94384765625</v>
      </c>
      <c r="J303" s="757">
        <v>1257.74011230469</v>
      </c>
      <c r="K303" s="757">
        <v>1300.96545410156</v>
      </c>
      <c r="L303" s="757">
        <v>1336.14599609375</v>
      </c>
      <c r="M303" s="757">
        <v>1374.056640625</v>
      </c>
      <c r="N303" s="757">
        <v>1407.96081542969</v>
      </c>
      <c r="O303" s="757">
        <v>1434.26879882813</v>
      </c>
      <c r="P303" s="757">
        <v>1460.109375</v>
      </c>
      <c r="Q303" s="757">
        <v>1472.62280273438</v>
      </c>
      <c r="R303" s="757">
        <v>1481.71179199219</v>
      </c>
      <c r="S303" s="757">
        <v>1495.50146484375</v>
      </c>
      <c r="T303" s="757">
        <v>1511.28991699219</v>
      </c>
      <c r="U303" s="757">
        <v>1515.76086425781</v>
      </c>
      <c r="V303" s="757">
        <v>1537.984375</v>
      </c>
      <c r="W303" s="757">
        <v>1548.59838867188</v>
      </c>
      <c r="X303" s="757">
        <v>1581.01184082031</v>
      </c>
      <c r="Y303" s="757">
        <v>1613.3525390625</v>
      </c>
      <c r="Z303" s="757">
        <v>1627.90478515625</v>
      </c>
      <c r="AA303" s="300"/>
      <c r="AB303" s="300"/>
      <c r="AC303" s="300"/>
      <c r="AD303" s="300"/>
    </row>
    <row r="304" spans="1:30" x14ac:dyDescent="0.25">
      <c r="A304" s="755" t="s">
        <v>614</v>
      </c>
      <c r="B304" s="757">
        <v>3.2131362706422799E-2</v>
      </c>
      <c r="C304" s="757">
        <v>4.0145620703697198E-2</v>
      </c>
      <c r="D304" s="757">
        <v>3.7687420845031697E-2</v>
      </c>
      <c r="E304" s="757">
        <v>2.54867300391197E-2</v>
      </c>
      <c r="F304" s="757">
        <v>5.4010055959224701E-2</v>
      </c>
      <c r="G304" s="757">
        <v>6.77362531423569E-2</v>
      </c>
      <c r="H304" s="757">
        <v>8.3178348839283003E-2</v>
      </c>
      <c r="I304" s="757">
        <v>9.4869345426559407E-2</v>
      </c>
      <c r="J304" s="757">
        <v>0.113030456006527</v>
      </c>
      <c r="K304" s="757">
        <v>1.97330021858215</v>
      </c>
      <c r="L304" s="757">
        <v>4.8567194938659703</v>
      </c>
      <c r="M304" s="757">
        <v>6.7303171157836896</v>
      </c>
      <c r="N304" s="757">
        <v>10.514961242675801</v>
      </c>
      <c r="O304" s="757">
        <v>15.7356252670288</v>
      </c>
      <c r="P304" s="757">
        <v>22.100711822509801</v>
      </c>
      <c r="Q304" s="757">
        <v>25.9892463684082</v>
      </c>
      <c r="R304" s="757">
        <v>35.539012908935497</v>
      </c>
      <c r="S304" s="757">
        <v>35.597633361816399</v>
      </c>
      <c r="T304" s="757">
        <v>34.1677055358887</v>
      </c>
      <c r="U304" s="757">
        <v>35.613494873046903</v>
      </c>
      <c r="V304" s="757">
        <v>37.140151977539098</v>
      </c>
      <c r="W304" s="757">
        <v>45.276290893554702</v>
      </c>
      <c r="X304" s="757">
        <v>47.974498748779297</v>
      </c>
      <c r="Y304" s="757">
        <v>53.190200805664098</v>
      </c>
      <c r="Z304" s="757">
        <v>54.179977416992202</v>
      </c>
      <c r="AA304" s="300"/>
      <c r="AB304" s="300"/>
      <c r="AC304" s="300"/>
      <c r="AD304" s="300"/>
    </row>
    <row r="305" spans="1:30" x14ac:dyDescent="0.25">
      <c r="A305" s="755" t="s">
        <v>504</v>
      </c>
      <c r="B305" s="757">
        <v>1182.12585449219</v>
      </c>
      <c r="C305" s="757">
        <v>1235.06726074219</v>
      </c>
      <c r="D305" s="757">
        <v>1375.71740722656</v>
      </c>
      <c r="E305" s="757">
        <v>962.90069580078102</v>
      </c>
      <c r="F305" s="757">
        <v>955.10247802734398</v>
      </c>
      <c r="G305" s="757">
        <v>1077.93408203125</v>
      </c>
      <c r="H305" s="757">
        <v>1148.63012695313</v>
      </c>
      <c r="I305" s="757">
        <v>1208.03869628906</v>
      </c>
      <c r="J305" s="757">
        <v>1257.85314941406</v>
      </c>
      <c r="K305" s="757">
        <v>1302.93872070313</v>
      </c>
      <c r="L305" s="757">
        <v>1341.00268554688</v>
      </c>
      <c r="M305" s="757">
        <v>1380.78698730469</v>
      </c>
      <c r="N305" s="757">
        <v>1418.47583007813</v>
      </c>
      <c r="O305" s="757">
        <v>1450.00439453125</v>
      </c>
      <c r="P305" s="757">
        <v>1482.21008300781</v>
      </c>
      <c r="Q305" s="757">
        <v>1498.61206054688</v>
      </c>
      <c r="R305" s="757">
        <v>1517.25085449219</v>
      </c>
      <c r="S305" s="757">
        <v>1531.09912109375</v>
      </c>
      <c r="T305" s="757">
        <v>1545.45764160156</v>
      </c>
      <c r="U305" s="757">
        <v>1551.37438964844</v>
      </c>
      <c r="V305" s="757">
        <v>1575.12451171875</v>
      </c>
      <c r="W305" s="757">
        <v>1593.87463378906</v>
      </c>
      <c r="X305" s="757">
        <v>1628.986328125</v>
      </c>
      <c r="Y305" s="757">
        <v>1666.54272460938</v>
      </c>
      <c r="Z305" s="757">
        <v>1682.08471679688</v>
      </c>
      <c r="AA305" s="300"/>
      <c r="AB305" s="300"/>
      <c r="AC305" s="300"/>
      <c r="AD305" s="300"/>
    </row>
    <row r="306" spans="1:30" x14ac:dyDescent="0.25">
      <c r="AA306" s="300"/>
      <c r="AB306" s="300"/>
      <c r="AC306" s="300"/>
      <c r="AD306" s="300"/>
    </row>
    <row r="307" spans="1:30" x14ac:dyDescent="0.25">
      <c r="AA307" s="300"/>
      <c r="AB307" s="300"/>
      <c r="AC307" s="300"/>
      <c r="AD307" s="300"/>
    </row>
    <row r="308" spans="1:30" x14ac:dyDescent="0.25">
      <c r="A308" s="755" t="s">
        <v>711</v>
      </c>
      <c r="AA308" s="300"/>
      <c r="AB308" s="300"/>
      <c r="AC308" s="300"/>
      <c r="AD308" s="300"/>
    </row>
    <row r="309" spans="1:30" x14ac:dyDescent="0.25">
      <c r="A309" s="755" t="s">
        <v>459</v>
      </c>
      <c r="AA309" s="300"/>
      <c r="AB309" s="300"/>
      <c r="AC309" s="300"/>
      <c r="AD309" s="300"/>
    </row>
    <row r="310" spans="1:30" x14ac:dyDescent="0.25">
      <c r="A310" s="755" t="s">
        <v>594</v>
      </c>
      <c r="B310" s="757">
        <v>23.2563285827637</v>
      </c>
      <c r="C310" s="757">
        <v>24.973464965820298</v>
      </c>
      <c r="D310" s="757">
        <v>29.096658706665</v>
      </c>
      <c r="E310" s="757">
        <v>22.194786071777301</v>
      </c>
      <c r="F310" s="757">
        <v>21.477947235107401</v>
      </c>
      <c r="G310" s="757">
        <v>24.1509113311768</v>
      </c>
      <c r="H310" s="757">
        <v>26.557428359985401</v>
      </c>
      <c r="I310" s="757">
        <v>28.936630249023398</v>
      </c>
      <c r="J310" s="757">
        <v>31.2247924804688</v>
      </c>
      <c r="K310" s="757">
        <v>33.758499145507798</v>
      </c>
      <c r="L310" s="757">
        <v>35.743316650390597</v>
      </c>
      <c r="M310" s="757">
        <v>37.599853515625</v>
      </c>
      <c r="N310" s="757">
        <v>39.552177429199197</v>
      </c>
      <c r="O310" s="757">
        <v>40.9905815124512</v>
      </c>
      <c r="P310" s="757">
        <v>42.334590911865199</v>
      </c>
      <c r="Q310" s="757">
        <v>43.7123832702637</v>
      </c>
      <c r="R310" s="757">
        <v>44.985881805419901</v>
      </c>
      <c r="S310" s="757">
        <v>46.523696899414098</v>
      </c>
      <c r="T310" s="757">
        <v>47.765018463134801</v>
      </c>
      <c r="U310" s="757">
        <v>48.143123626708999</v>
      </c>
      <c r="V310" s="757">
        <v>49.548942565917997</v>
      </c>
      <c r="W310" s="757">
        <v>50.986961364746101</v>
      </c>
      <c r="X310" s="757">
        <v>52.580905914306598</v>
      </c>
      <c r="Y310" s="757">
        <v>53.965934753417997</v>
      </c>
      <c r="Z310" s="757">
        <v>55.648300170898402</v>
      </c>
      <c r="AA310" s="300"/>
      <c r="AB310" s="300"/>
      <c r="AC310" s="300"/>
      <c r="AD310" s="300"/>
    </row>
    <row r="311" spans="1:30" x14ac:dyDescent="0.25">
      <c r="A311" s="755" t="s">
        <v>595</v>
      </c>
      <c r="B311" s="757">
        <v>17.979913711547901</v>
      </c>
      <c r="C311" s="757">
        <v>19.664405822753899</v>
      </c>
      <c r="D311" s="757">
        <v>24.466548919677699</v>
      </c>
      <c r="E311" s="757">
        <v>16.188474655151399</v>
      </c>
      <c r="F311" s="757">
        <v>13.8549404144287</v>
      </c>
      <c r="G311" s="757">
        <v>16.4927158355713</v>
      </c>
      <c r="H311" s="757">
        <v>18.5955104827881</v>
      </c>
      <c r="I311" s="757">
        <v>20.348911285400401</v>
      </c>
      <c r="J311" s="757">
        <v>22.1809597015381</v>
      </c>
      <c r="K311" s="757">
        <v>24.3712253570557</v>
      </c>
      <c r="L311" s="757">
        <v>25.9372863769531</v>
      </c>
      <c r="M311" s="757">
        <v>27.5034885406494</v>
      </c>
      <c r="N311" s="757">
        <v>29.0146675109863</v>
      </c>
      <c r="O311" s="757">
        <v>30.168525695800799</v>
      </c>
      <c r="P311" s="757">
        <v>31.2883205413818</v>
      </c>
      <c r="Q311" s="757">
        <v>32.275276184082003</v>
      </c>
      <c r="R311" s="757">
        <v>33.246475219726598</v>
      </c>
      <c r="S311" s="757">
        <v>34.4459838867188</v>
      </c>
      <c r="T311" s="757">
        <v>35.640113830566399</v>
      </c>
      <c r="U311" s="757">
        <v>35.882171630859403</v>
      </c>
      <c r="V311" s="757">
        <v>37.065284729003899</v>
      </c>
      <c r="W311" s="757">
        <v>38.310382843017599</v>
      </c>
      <c r="X311" s="757">
        <v>39.641868591308601</v>
      </c>
      <c r="Y311" s="757">
        <v>40.905982971191399</v>
      </c>
      <c r="Z311" s="757">
        <v>42.365245819091797</v>
      </c>
      <c r="AA311" s="300"/>
      <c r="AB311" s="300"/>
      <c r="AC311" s="300"/>
      <c r="AD311" s="300"/>
    </row>
    <row r="312" spans="1:30" x14ac:dyDescent="0.25">
      <c r="A312" s="755" t="s">
        <v>496</v>
      </c>
      <c r="B312" s="757">
        <v>13.3406887054443</v>
      </c>
      <c r="C312" s="757">
        <v>12.691158294677701</v>
      </c>
      <c r="D312" s="757">
        <v>13.2631158828735</v>
      </c>
      <c r="E312" s="757">
        <v>11.061133384704601</v>
      </c>
      <c r="F312" s="757">
        <v>11.614992141723601</v>
      </c>
      <c r="G312" s="757">
        <v>12.061012268066399</v>
      </c>
      <c r="H312" s="757">
        <v>12.1186227798462</v>
      </c>
      <c r="I312" s="757">
        <v>12.236530303955099</v>
      </c>
      <c r="J312" s="757">
        <v>12.476335525512701</v>
      </c>
      <c r="K312" s="757">
        <v>12.8177757263184</v>
      </c>
      <c r="L312" s="757">
        <v>13.333586692810099</v>
      </c>
      <c r="M312" s="757">
        <v>13.900782585144</v>
      </c>
      <c r="N312" s="757">
        <v>14.492022514343301</v>
      </c>
      <c r="O312" s="757">
        <v>15.1641521453857</v>
      </c>
      <c r="P312" s="757">
        <v>15.945101737976101</v>
      </c>
      <c r="Q312" s="757">
        <v>16.661958694458001</v>
      </c>
      <c r="R312" s="757">
        <v>17.186347961425799</v>
      </c>
      <c r="S312" s="757">
        <v>17.308622360229499</v>
      </c>
      <c r="T312" s="757">
        <v>17.6488857269287</v>
      </c>
      <c r="U312" s="757">
        <v>17.9868679046631</v>
      </c>
      <c r="V312" s="757">
        <v>18.635103225708001</v>
      </c>
      <c r="W312" s="757">
        <v>19.4500408172607</v>
      </c>
      <c r="X312" s="757">
        <v>20.3657627105713</v>
      </c>
      <c r="Y312" s="757">
        <v>21.1996364593506</v>
      </c>
      <c r="Z312" s="757">
        <v>22.095756530761701</v>
      </c>
      <c r="AA312" s="300"/>
      <c r="AB312" s="300"/>
      <c r="AC312" s="300"/>
      <c r="AD312" s="300"/>
    </row>
    <row r="313" spans="1:30" x14ac:dyDescent="0.25">
      <c r="A313" s="755" t="s">
        <v>465</v>
      </c>
      <c r="B313" s="757">
        <v>30.388185501098601</v>
      </c>
      <c r="C313" s="757">
        <v>31.181957244873001</v>
      </c>
      <c r="D313" s="757">
        <v>32.471218109130902</v>
      </c>
      <c r="E313" s="757">
        <v>31.722009658813501</v>
      </c>
      <c r="F313" s="757">
        <v>29.6958332061768</v>
      </c>
      <c r="G313" s="757">
        <v>31.365653991699201</v>
      </c>
      <c r="H313" s="757">
        <v>32.001548767089801</v>
      </c>
      <c r="I313" s="757">
        <v>32.924289703369098</v>
      </c>
      <c r="J313" s="757">
        <v>34.030689239502003</v>
      </c>
      <c r="K313" s="757">
        <v>34.890899658203097</v>
      </c>
      <c r="L313" s="757">
        <v>35.995761871337898</v>
      </c>
      <c r="M313" s="757">
        <v>37.227577209472699</v>
      </c>
      <c r="N313" s="757">
        <v>38.5026245117188</v>
      </c>
      <c r="O313" s="757">
        <v>39.672031402587898</v>
      </c>
      <c r="P313" s="757">
        <v>41.180412292480497</v>
      </c>
      <c r="Q313" s="757">
        <v>42.698352813720703</v>
      </c>
      <c r="R313" s="757">
        <v>44.053905487060497</v>
      </c>
      <c r="S313" s="757">
        <v>45.011627197265597</v>
      </c>
      <c r="T313" s="757">
        <v>46.023651123046903</v>
      </c>
      <c r="U313" s="757">
        <v>46.971866607666001</v>
      </c>
      <c r="V313" s="757">
        <v>48.032154083252003</v>
      </c>
      <c r="W313" s="757">
        <v>49.565544128417997</v>
      </c>
      <c r="X313" s="757">
        <v>51.240451812744098</v>
      </c>
      <c r="Y313" s="757">
        <v>52.949665069580099</v>
      </c>
      <c r="Z313" s="757">
        <v>54.583251953125</v>
      </c>
      <c r="AA313" s="300"/>
      <c r="AB313" s="300"/>
      <c r="AC313" s="300"/>
      <c r="AD313" s="300"/>
    </row>
    <row r="314" spans="1:30" x14ac:dyDescent="0.25">
      <c r="AA314" s="300"/>
      <c r="AB314" s="300"/>
      <c r="AC314" s="300"/>
      <c r="AD314" s="300"/>
    </row>
    <row r="315" spans="1:30" x14ac:dyDescent="0.25">
      <c r="A315" s="755" t="s">
        <v>466</v>
      </c>
      <c r="AA315" s="300"/>
      <c r="AB315" s="300"/>
      <c r="AC315" s="300"/>
      <c r="AD315" s="300"/>
    </row>
    <row r="316" spans="1:30" x14ac:dyDescent="0.25">
      <c r="A316" s="755" t="s">
        <v>594</v>
      </c>
      <c r="B316" s="757">
        <v>20.6414604187012</v>
      </c>
      <c r="C316" s="757">
        <v>23.041419982910199</v>
      </c>
      <c r="D316" s="757">
        <v>24.0578727722168</v>
      </c>
      <c r="E316" s="757">
        <v>21.6475944519043</v>
      </c>
      <c r="F316" s="757">
        <v>18.202018737793001</v>
      </c>
      <c r="G316" s="757">
        <v>20.8180141448975</v>
      </c>
      <c r="H316" s="757">
        <v>23.171899795532202</v>
      </c>
      <c r="I316" s="757">
        <v>25.4778232574463</v>
      </c>
      <c r="J316" s="757">
        <v>27.6801948547363</v>
      </c>
      <c r="K316" s="757">
        <v>30.122516632080099</v>
      </c>
      <c r="L316" s="757">
        <v>32.012001037597699</v>
      </c>
      <c r="M316" s="757">
        <v>33.770454406738303</v>
      </c>
      <c r="N316" s="757">
        <v>35.6212158203125</v>
      </c>
      <c r="O316" s="757">
        <v>36.9546508789063</v>
      </c>
      <c r="P316" s="757">
        <v>38.187240600585902</v>
      </c>
      <c r="Q316" s="757">
        <v>39.449775695800803</v>
      </c>
      <c r="R316" s="757">
        <v>40.605808258056598</v>
      </c>
      <c r="S316" s="757">
        <v>42.0293998718262</v>
      </c>
      <c r="T316" s="757">
        <v>43.160079956054702</v>
      </c>
      <c r="U316" s="757">
        <v>43.432140350341797</v>
      </c>
      <c r="V316" s="757">
        <v>44.7312202453613</v>
      </c>
      <c r="W316" s="757">
        <v>46.061283111572301</v>
      </c>
      <c r="X316" s="757">
        <v>47.542713165283203</v>
      </c>
      <c r="Y316" s="757">
        <v>48.814918518066399</v>
      </c>
      <c r="Z316" s="757">
        <v>50.382663726806598</v>
      </c>
      <c r="AA316" s="300"/>
      <c r="AB316" s="300"/>
      <c r="AC316" s="300"/>
      <c r="AD316" s="300"/>
    </row>
    <row r="317" spans="1:30" x14ac:dyDescent="0.25">
      <c r="A317" s="755" t="s">
        <v>595</v>
      </c>
      <c r="B317" s="757">
        <v>14.625953674316399</v>
      </c>
      <c r="C317" s="757">
        <v>16.054100036621101</v>
      </c>
      <c r="D317" s="757">
        <v>21.4175109863281</v>
      </c>
      <c r="E317" s="757">
        <v>14.1806936264038</v>
      </c>
      <c r="F317" s="757">
        <v>11.1656141281128</v>
      </c>
      <c r="G317" s="757">
        <v>13.940697669982899</v>
      </c>
      <c r="H317" s="757">
        <v>16.055301666259801</v>
      </c>
      <c r="I317" s="757">
        <v>18.2004089355469</v>
      </c>
      <c r="J317" s="757">
        <v>20.072311401367202</v>
      </c>
      <c r="K317" s="757">
        <v>21.922914505004901</v>
      </c>
      <c r="L317" s="757">
        <v>23.436100006103501</v>
      </c>
      <c r="M317" s="757">
        <v>24.993484497070298</v>
      </c>
      <c r="N317" s="757">
        <v>26.4673175811768</v>
      </c>
      <c r="O317" s="757">
        <v>27.614213943481399</v>
      </c>
      <c r="P317" s="757">
        <v>28.7058811187744</v>
      </c>
      <c r="Q317" s="757">
        <v>29.4854850769043</v>
      </c>
      <c r="R317" s="757">
        <v>30.5256862640381</v>
      </c>
      <c r="S317" s="757">
        <v>31.597146987915</v>
      </c>
      <c r="T317" s="757">
        <v>32.548923492431598</v>
      </c>
      <c r="U317" s="757">
        <v>32.997859954833999</v>
      </c>
      <c r="V317" s="757">
        <v>34.165657043457003</v>
      </c>
      <c r="W317" s="757">
        <v>35.000114440917997</v>
      </c>
      <c r="X317" s="757">
        <v>36.3691596984863</v>
      </c>
      <c r="Y317" s="757">
        <v>37.943679809570298</v>
      </c>
      <c r="Z317" s="757">
        <v>39.006439208984403</v>
      </c>
      <c r="AA317" s="300"/>
      <c r="AB317" s="300"/>
      <c r="AC317" s="300"/>
      <c r="AD317" s="300"/>
    </row>
    <row r="318" spans="1:30" x14ac:dyDescent="0.25">
      <c r="A318" s="755" t="s">
        <v>708</v>
      </c>
      <c r="B318" s="757">
        <v>8.64862155914307</v>
      </c>
      <c r="C318" s="757">
        <v>10.3074436187744</v>
      </c>
      <c r="D318" s="757">
        <v>13.7067270278931</v>
      </c>
      <c r="E318" s="757">
        <v>6.9139137268066397</v>
      </c>
      <c r="F318" s="757">
        <v>6.0204734802246103</v>
      </c>
      <c r="G318" s="757">
        <v>9.0269355773925799</v>
      </c>
      <c r="H318" s="757">
        <v>10.767860412597701</v>
      </c>
      <c r="I318" s="757">
        <v>12.611166954040501</v>
      </c>
      <c r="J318" s="757">
        <v>14.3083610534668</v>
      </c>
      <c r="K318" s="757">
        <v>16.269037246704102</v>
      </c>
      <c r="L318" s="757">
        <v>17.569841384887699</v>
      </c>
      <c r="M318" s="757">
        <v>18.511304855346701</v>
      </c>
      <c r="N318" s="757">
        <v>19.7891235351563</v>
      </c>
      <c r="O318" s="757">
        <v>20.573390960693398</v>
      </c>
      <c r="P318" s="757">
        <v>21.404872894287099</v>
      </c>
      <c r="Q318" s="757">
        <v>22.193275451660199</v>
      </c>
      <c r="R318" s="757">
        <v>22.9593410491943</v>
      </c>
      <c r="S318" s="757">
        <v>23.7928276062012</v>
      </c>
      <c r="T318" s="757">
        <v>24.398706436157202</v>
      </c>
      <c r="U318" s="757">
        <v>24.292516708373999</v>
      </c>
      <c r="V318" s="757">
        <v>25.0136394500732</v>
      </c>
      <c r="W318" s="757">
        <v>25.751762390136701</v>
      </c>
      <c r="X318" s="757">
        <v>26.606601715087901</v>
      </c>
      <c r="Y318" s="757">
        <v>27.4516487121582</v>
      </c>
      <c r="Z318" s="757">
        <v>28.286119461059599</v>
      </c>
      <c r="AA318" s="300"/>
      <c r="AB318" s="300"/>
      <c r="AC318" s="300"/>
      <c r="AD318" s="300"/>
    </row>
    <row r="319" spans="1:30" x14ac:dyDescent="0.25">
      <c r="A319" s="755" t="s">
        <v>496</v>
      </c>
      <c r="B319" s="757">
        <v>11.5840444564819</v>
      </c>
      <c r="C319" s="757">
        <v>10.9898433685303</v>
      </c>
      <c r="D319" s="757">
        <v>11.588038444519</v>
      </c>
      <c r="E319" s="757">
        <v>9.1930990219116193</v>
      </c>
      <c r="F319" s="757">
        <v>9.8226709365844709</v>
      </c>
      <c r="G319" s="757">
        <v>10.233100891113301</v>
      </c>
      <c r="H319" s="757">
        <v>10.334647178649901</v>
      </c>
      <c r="I319" s="757">
        <v>10.4663095474243</v>
      </c>
      <c r="J319" s="757">
        <v>10.734943389892599</v>
      </c>
      <c r="K319" s="757">
        <v>11.106437683105501</v>
      </c>
      <c r="L319" s="757">
        <v>11.600093841552701</v>
      </c>
      <c r="M319" s="757">
        <v>12.1229543685913</v>
      </c>
      <c r="N319" s="757">
        <v>12.6781578063965</v>
      </c>
      <c r="O319" s="757">
        <v>13.3144483566284</v>
      </c>
      <c r="P319" s="757">
        <v>14.069993019104</v>
      </c>
      <c r="Q319" s="757">
        <v>14.7329454421997</v>
      </c>
      <c r="R319" s="757">
        <v>15.223674774169901</v>
      </c>
      <c r="S319" s="757">
        <v>15.329276084899901</v>
      </c>
      <c r="T319" s="757">
        <v>15.6546773910522</v>
      </c>
      <c r="U319" s="757">
        <v>15.9318437576294</v>
      </c>
      <c r="V319" s="757">
        <v>16.5416469573975</v>
      </c>
      <c r="W319" s="757">
        <v>17.316057205200199</v>
      </c>
      <c r="X319" s="757">
        <v>18.194717407226602</v>
      </c>
      <c r="Y319" s="757">
        <v>18.967941284179702</v>
      </c>
      <c r="Z319" s="757">
        <v>19.811794281005898</v>
      </c>
      <c r="AA319" s="300"/>
      <c r="AB319" s="300"/>
      <c r="AC319" s="300"/>
      <c r="AD319" s="300"/>
    </row>
    <row r="320" spans="1:30" x14ac:dyDescent="0.25">
      <c r="A320" s="755" t="s">
        <v>465</v>
      </c>
      <c r="B320" s="757">
        <v>27.631908416748001</v>
      </c>
      <c r="C320" s="757">
        <v>28.029735565185501</v>
      </c>
      <c r="D320" s="757">
        <v>29.6960258483887</v>
      </c>
      <c r="E320" s="757">
        <v>28.491619110107401</v>
      </c>
      <c r="F320" s="757">
        <v>25.7724418640137</v>
      </c>
      <c r="G320" s="757">
        <v>26.858903884887699</v>
      </c>
      <c r="H320" s="757">
        <v>27.045906066894499</v>
      </c>
      <c r="I320" s="757">
        <v>27.5620422363281</v>
      </c>
      <c r="J320" s="757">
        <v>28.370775222778299</v>
      </c>
      <c r="K320" s="757">
        <v>29.106733322143601</v>
      </c>
      <c r="L320" s="757">
        <v>30.1617736816406</v>
      </c>
      <c r="M320" s="757">
        <v>31.290737152099599</v>
      </c>
      <c r="N320" s="757">
        <v>32.536418914794901</v>
      </c>
      <c r="O320" s="757">
        <v>33.661582946777301</v>
      </c>
      <c r="P320" s="757">
        <v>35.072307586669901</v>
      </c>
      <c r="Q320" s="757">
        <v>36.4632377624512</v>
      </c>
      <c r="R320" s="757">
        <v>37.713531494140597</v>
      </c>
      <c r="S320" s="757">
        <v>38.535266876220703</v>
      </c>
      <c r="T320" s="757">
        <v>39.429233551025398</v>
      </c>
      <c r="U320" s="757">
        <v>40.172752380371101</v>
      </c>
      <c r="V320" s="757">
        <v>41.0662841796875</v>
      </c>
      <c r="W320" s="757">
        <v>42.386928558349602</v>
      </c>
      <c r="X320" s="757">
        <v>43.920989990234403</v>
      </c>
      <c r="Y320" s="757">
        <v>45.4139213562012</v>
      </c>
      <c r="Z320" s="757">
        <v>46.925571441650398</v>
      </c>
      <c r="AA320" s="300"/>
      <c r="AB320" s="300"/>
      <c r="AC320" s="300"/>
      <c r="AD320" s="300"/>
    </row>
    <row r="321" spans="1:30" x14ac:dyDescent="0.25">
      <c r="AA321" s="300"/>
      <c r="AB321" s="300"/>
      <c r="AC321" s="300"/>
      <c r="AD321" s="300"/>
    </row>
    <row r="322" spans="1:30" x14ac:dyDescent="0.25">
      <c r="A322" s="755" t="s">
        <v>597</v>
      </c>
      <c r="AA322" s="300"/>
      <c r="AB322" s="300"/>
      <c r="AC322" s="300"/>
      <c r="AD322" s="300"/>
    </row>
    <row r="323" spans="1:30" x14ac:dyDescent="0.25">
      <c r="A323" s="755" t="s">
        <v>594</v>
      </c>
      <c r="B323" s="757">
        <v>20.489143371581999</v>
      </c>
      <c r="C323" s="757">
        <v>23.3795166015625</v>
      </c>
      <c r="D323" s="757">
        <v>27.232301712036101</v>
      </c>
      <c r="E323" s="757">
        <v>22.957033157348601</v>
      </c>
      <c r="F323" s="757">
        <v>17.265552520751999</v>
      </c>
      <c r="G323" s="757">
        <v>19.8652458190918</v>
      </c>
      <c r="H323" s="757">
        <v>22.207704544067401</v>
      </c>
      <c r="I323" s="757">
        <v>24.495702743530298</v>
      </c>
      <c r="J323" s="757">
        <v>26.6714878082275</v>
      </c>
      <c r="K323" s="757">
        <v>29.0830192565918</v>
      </c>
      <c r="L323" s="757">
        <v>30.951156616210898</v>
      </c>
      <c r="M323" s="757">
        <v>32.690711975097699</v>
      </c>
      <c r="N323" s="757">
        <v>34.514808654785199</v>
      </c>
      <c r="O323" s="757">
        <v>35.846107482910199</v>
      </c>
      <c r="P323" s="757">
        <v>37.040077209472699</v>
      </c>
      <c r="Q323" s="757">
        <v>38.301750183105497</v>
      </c>
      <c r="R323" s="757">
        <v>39.421558380127003</v>
      </c>
      <c r="S323" s="757">
        <v>40.814861297607401</v>
      </c>
      <c r="T323" s="757">
        <v>41.884078979492202</v>
      </c>
      <c r="U323" s="757">
        <v>42.155609130859403</v>
      </c>
      <c r="V323" s="757">
        <v>43.402267456054702</v>
      </c>
      <c r="W323" s="757">
        <v>44.705905914306598</v>
      </c>
      <c r="X323" s="757">
        <v>46.153343200683601</v>
      </c>
      <c r="Y323" s="757">
        <v>47.236614227294901</v>
      </c>
      <c r="Z323" s="757">
        <v>48.820529937744098</v>
      </c>
      <c r="AA323" s="300"/>
      <c r="AB323" s="300"/>
      <c r="AC323" s="300"/>
      <c r="AD323" s="300"/>
    </row>
    <row r="324" spans="1:30" x14ac:dyDescent="0.25">
      <c r="A324" s="755" t="s">
        <v>595</v>
      </c>
      <c r="B324" s="757">
        <v>15.3226671218872</v>
      </c>
      <c r="C324" s="757">
        <v>16.8219394683838</v>
      </c>
      <c r="D324" s="757">
        <v>22.4200763702393</v>
      </c>
      <c r="E324" s="757">
        <v>14.749831199646</v>
      </c>
      <c r="F324" s="757">
        <v>11.025536537170399</v>
      </c>
      <c r="G324" s="757">
        <v>14.0721025466919</v>
      </c>
      <c r="H324" s="757">
        <v>16.2283020019531</v>
      </c>
      <c r="I324" s="757">
        <v>18.6841716766357</v>
      </c>
      <c r="J324" s="757">
        <v>20.619239807128899</v>
      </c>
      <c r="K324" s="757">
        <v>22.302150726318398</v>
      </c>
      <c r="L324" s="757">
        <v>23.831027984619102</v>
      </c>
      <c r="M324" s="757">
        <v>25.434989929199201</v>
      </c>
      <c r="N324" s="757">
        <v>26.940843582153299</v>
      </c>
      <c r="O324" s="757">
        <v>28.1489963531494</v>
      </c>
      <c r="P324" s="757">
        <v>29.2844352722168</v>
      </c>
      <c r="Q324" s="757">
        <v>29.987220764160199</v>
      </c>
      <c r="R324" s="757">
        <v>31.1475830078125</v>
      </c>
      <c r="S324" s="757">
        <v>32.191192626953097</v>
      </c>
      <c r="T324" s="757">
        <v>33.043167114257798</v>
      </c>
      <c r="U324" s="757">
        <v>33.6753120422363</v>
      </c>
      <c r="V324" s="757">
        <v>34.892765045166001</v>
      </c>
      <c r="W324" s="757">
        <v>35.508182525634801</v>
      </c>
      <c r="X324" s="757">
        <v>36.966400146484403</v>
      </c>
      <c r="Y324" s="757">
        <v>38.821296691894503</v>
      </c>
      <c r="Z324" s="757">
        <v>39.679729461669901</v>
      </c>
      <c r="AA324" s="300"/>
      <c r="AB324" s="300"/>
      <c r="AC324" s="300"/>
      <c r="AD324" s="300"/>
    </row>
    <row r="325" spans="1:30" x14ac:dyDescent="0.25">
      <c r="A325" s="755" t="s">
        <v>596</v>
      </c>
      <c r="B325" s="757">
        <v>8.9709205627441406</v>
      </c>
      <c r="C325" s="757">
        <v>10.5954837799072</v>
      </c>
      <c r="D325" s="757">
        <v>14.049506187439</v>
      </c>
      <c r="E325" s="757">
        <v>7.1343002319335902</v>
      </c>
      <c r="F325" s="757">
        <v>10.215766906738301</v>
      </c>
      <c r="G325" s="757">
        <v>12.8617763519287</v>
      </c>
      <c r="H325" s="757">
        <v>14.814771652221699</v>
      </c>
      <c r="I325" s="757">
        <v>16.696189880371101</v>
      </c>
      <c r="J325" s="757">
        <v>18.396284103393601</v>
      </c>
      <c r="K325" s="757">
        <v>20.378862380981399</v>
      </c>
      <c r="L325" s="757">
        <v>21.7460041046143</v>
      </c>
      <c r="M325" s="757">
        <v>22.969861984252901</v>
      </c>
      <c r="N325" s="757">
        <v>24.3396511077881</v>
      </c>
      <c r="O325" s="757">
        <v>25.3345756530762</v>
      </c>
      <c r="P325" s="757">
        <v>26.3205471038818</v>
      </c>
      <c r="Q325" s="757">
        <v>27.310920715331999</v>
      </c>
      <c r="R325" s="757">
        <v>28.174968719482401</v>
      </c>
      <c r="S325" s="757">
        <v>29.129919052123999</v>
      </c>
      <c r="T325" s="757">
        <v>29.910713195800799</v>
      </c>
      <c r="U325" s="757">
        <v>30.004579544067401</v>
      </c>
      <c r="V325" s="757">
        <v>30.867444992065401</v>
      </c>
      <c r="W325" s="757">
        <v>31.741449356079102</v>
      </c>
      <c r="X325" s="757">
        <v>32.901214599609403</v>
      </c>
      <c r="Y325" s="757">
        <v>33.791465759277301</v>
      </c>
      <c r="Z325" s="757">
        <v>34.9404487609863</v>
      </c>
      <c r="AA325" s="300"/>
      <c r="AB325" s="300"/>
      <c r="AC325" s="300"/>
      <c r="AD325" s="300"/>
    </row>
    <row r="326" spans="1:30" x14ac:dyDescent="0.25">
      <c r="A326" s="755" t="s">
        <v>598</v>
      </c>
      <c r="B326" s="757">
        <v>7.7454247474670401</v>
      </c>
      <c r="C326" s="757">
        <v>7.5152516365051296</v>
      </c>
      <c r="D326" s="757">
        <v>8.9947338104247994</v>
      </c>
      <c r="E326" s="757">
        <v>5.0039734840393102</v>
      </c>
      <c r="F326" s="757">
        <v>5.7063522338867196</v>
      </c>
      <c r="G326" s="757">
        <v>6.1171517372131303</v>
      </c>
      <c r="H326" s="757">
        <v>6.2487673759460396</v>
      </c>
      <c r="I326" s="757">
        <v>6.4428400993347203</v>
      </c>
      <c r="J326" s="757">
        <v>6.7520828247070304</v>
      </c>
      <c r="K326" s="757">
        <v>7.1508984565734899</v>
      </c>
      <c r="L326" s="757">
        <v>7.5258989334106401</v>
      </c>
      <c r="M326" s="757">
        <v>7.9240221977233896</v>
      </c>
      <c r="N326" s="757">
        <v>8.3488731384277308</v>
      </c>
      <c r="O326" s="757">
        <v>8.8619937896728498</v>
      </c>
      <c r="P326" s="757">
        <v>9.4837093353271502</v>
      </c>
      <c r="Q326" s="757">
        <v>9.9987487792968803</v>
      </c>
      <c r="R326" s="757">
        <v>10.352954864501999</v>
      </c>
      <c r="S326" s="757">
        <v>10.3336448669434</v>
      </c>
      <c r="T326" s="757">
        <v>10.549848556518601</v>
      </c>
      <c r="U326" s="757">
        <v>10.6489877700806</v>
      </c>
      <c r="V326" s="757">
        <v>11.076291084289601</v>
      </c>
      <c r="W326" s="757">
        <v>11.6912574768066</v>
      </c>
      <c r="X326" s="757">
        <v>12.4464559555054</v>
      </c>
      <c r="Y326" s="757">
        <v>13.0579080581665</v>
      </c>
      <c r="Z326" s="757">
        <v>13.758059501647899</v>
      </c>
      <c r="AA326" s="300"/>
      <c r="AB326" s="300"/>
      <c r="AC326" s="300"/>
      <c r="AD326" s="300"/>
    </row>
    <row r="327" spans="1:30" x14ac:dyDescent="0.25">
      <c r="A327" s="755" t="s">
        <v>599</v>
      </c>
      <c r="B327" s="757">
        <v>3.53999996185303</v>
      </c>
      <c r="C327" s="757">
        <v>3.6099998950958301</v>
      </c>
      <c r="D327" s="757">
        <v>4.1449666023254403</v>
      </c>
      <c r="E327" s="757">
        <v>4.1784791946411097</v>
      </c>
      <c r="F327" s="757">
        <v>4.1485314369201696</v>
      </c>
      <c r="G327" s="757">
        <v>4.3175525665283203</v>
      </c>
      <c r="H327" s="757">
        <v>4.44484186172485</v>
      </c>
      <c r="I327" s="757">
        <v>4.5821456909179696</v>
      </c>
      <c r="J327" s="757">
        <v>4.7206311225891104</v>
      </c>
      <c r="K327" s="757">
        <v>4.8563599586486799</v>
      </c>
      <c r="L327" s="757">
        <v>4.9913563728332502</v>
      </c>
      <c r="M327" s="757">
        <v>5.1233406066894496</v>
      </c>
      <c r="N327" s="757">
        <v>5.2680139541626003</v>
      </c>
      <c r="O327" s="757">
        <v>5.4137320518493697</v>
      </c>
      <c r="P327" s="757">
        <v>5.5743689537048304</v>
      </c>
      <c r="Q327" s="757">
        <v>5.7906579971313503</v>
      </c>
      <c r="R327" s="757">
        <v>6.0209679603576696</v>
      </c>
      <c r="S327" s="757">
        <v>6.20045709609985</v>
      </c>
      <c r="T327" s="757">
        <v>6.3775997161865199</v>
      </c>
      <c r="U327" s="757">
        <v>6.5161404609680202</v>
      </c>
      <c r="V327" s="757">
        <v>6.6299972534179696</v>
      </c>
      <c r="W327" s="757">
        <v>6.7667918205261204</v>
      </c>
      <c r="X327" s="757">
        <v>6.88553714752197</v>
      </c>
      <c r="Y327" s="757">
        <v>6.9704546928405797</v>
      </c>
      <c r="Z327" s="757">
        <v>7.0137753486633301</v>
      </c>
    </row>
    <row r="328" spans="1:30" x14ac:dyDescent="0.25">
      <c r="A328" s="755" t="s">
        <v>600</v>
      </c>
      <c r="B328" s="757">
        <v>2.3399634361267099</v>
      </c>
      <c r="C328" s="757">
        <v>2.4299483299255402</v>
      </c>
      <c r="D328" s="757">
        <v>2.5979068279266402</v>
      </c>
      <c r="E328" s="757">
        <v>2.52754878997803</v>
      </c>
      <c r="F328" s="757">
        <v>2.4808654785156299</v>
      </c>
      <c r="G328" s="757">
        <v>2.6002757549285902</v>
      </c>
      <c r="H328" s="757">
        <v>2.6509947776794398</v>
      </c>
      <c r="I328" s="757">
        <v>2.73208808898926</v>
      </c>
      <c r="J328" s="757">
        <v>2.8122007846832302</v>
      </c>
      <c r="K328" s="757">
        <v>2.8687095642089799</v>
      </c>
      <c r="L328" s="757">
        <v>2.94158983230591</v>
      </c>
      <c r="M328" s="757">
        <v>3.0178208351135298</v>
      </c>
      <c r="N328" s="757">
        <v>3.1028199195861799</v>
      </c>
      <c r="O328" s="757">
        <v>3.17316722869873</v>
      </c>
      <c r="P328" s="757">
        <v>3.2616541385650599</v>
      </c>
      <c r="Q328" s="757">
        <v>3.3479356765747101</v>
      </c>
      <c r="R328" s="757">
        <v>3.4371068477630602</v>
      </c>
      <c r="S328" s="757">
        <v>3.5193088054657</v>
      </c>
      <c r="T328" s="757">
        <v>3.6053638458252002</v>
      </c>
      <c r="U328" s="757">
        <v>3.6816923618316699</v>
      </c>
      <c r="V328" s="757">
        <v>3.7800858020782502</v>
      </c>
      <c r="W328" s="757">
        <v>3.88063645362854</v>
      </c>
      <c r="X328" s="757">
        <v>3.98858737945557</v>
      </c>
      <c r="Y328" s="757">
        <v>4.1003923416137704</v>
      </c>
      <c r="Z328" s="757">
        <v>4.2166938781738299</v>
      </c>
    </row>
    <row r="329" spans="1:30" x14ac:dyDescent="0.25">
      <c r="A329" s="755" t="s">
        <v>601</v>
      </c>
      <c r="B329" s="757">
        <v>0</v>
      </c>
      <c r="C329" s="757">
        <v>0</v>
      </c>
      <c r="D329" s="757">
        <v>0</v>
      </c>
      <c r="E329" s="757">
        <v>0</v>
      </c>
      <c r="F329" s="757">
        <v>0</v>
      </c>
      <c r="G329" s="757">
        <v>1.5889266729354901</v>
      </c>
      <c r="H329" s="757">
        <v>1.46094393730164</v>
      </c>
      <c r="I329" s="757">
        <v>1.28843116760254</v>
      </c>
      <c r="J329" s="757">
        <v>1.5101318359375</v>
      </c>
      <c r="K329" s="757">
        <v>1.50810551643372</v>
      </c>
      <c r="L329" s="757">
        <v>1.5213859081268299</v>
      </c>
      <c r="M329" s="757">
        <v>1.53951179981232</v>
      </c>
      <c r="N329" s="757">
        <v>1.58338570594788</v>
      </c>
      <c r="O329" s="757">
        <v>1.63723039627075</v>
      </c>
      <c r="P329" s="757">
        <v>1.71289122104645</v>
      </c>
      <c r="Q329" s="757">
        <v>1.76114201545715</v>
      </c>
      <c r="R329" s="757">
        <v>1.8119050264358501</v>
      </c>
      <c r="S329" s="757">
        <v>1.8629466295242301</v>
      </c>
      <c r="T329" s="757">
        <v>1.9169825315475499</v>
      </c>
      <c r="U329" s="757">
        <v>1.9466364383697501</v>
      </c>
      <c r="V329" s="757">
        <v>1.9911848306655899</v>
      </c>
      <c r="W329" s="757">
        <v>2.0416746139526398</v>
      </c>
      <c r="X329" s="757">
        <v>2.09020328521729</v>
      </c>
      <c r="Y329" s="757">
        <v>2.1373581886291499</v>
      </c>
      <c r="Z329" s="757">
        <v>2.1847438812255899</v>
      </c>
    </row>
    <row r="330" spans="1:30" x14ac:dyDescent="0.25">
      <c r="A330" s="755" t="s">
        <v>465</v>
      </c>
      <c r="B330" s="757">
        <v>17.918214797973601</v>
      </c>
      <c r="C330" s="757">
        <v>18.6226921081543</v>
      </c>
      <c r="D330" s="757">
        <v>20.7813816070557</v>
      </c>
      <c r="E330" s="757">
        <v>19.773582458496101</v>
      </c>
      <c r="F330" s="757">
        <v>17.462970733642599</v>
      </c>
      <c r="G330" s="757">
        <v>18.126573562622099</v>
      </c>
      <c r="H330" s="757">
        <v>18.238889694213899</v>
      </c>
      <c r="I330" s="757">
        <v>18.4867153167725</v>
      </c>
      <c r="J330" s="757">
        <v>19.006654739379901</v>
      </c>
      <c r="K330" s="757">
        <v>19.565620422363299</v>
      </c>
      <c r="L330" s="757">
        <v>20.355871200561499</v>
      </c>
      <c r="M330" s="757">
        <v>21.173530578613299</v>
      </c>
      <c r="N330" s="757">
        <v>22.037576675415</v>
      </c>
      <c r="O330" s="757">
        <v>22.867145538330099</v>
      </c>
      <c r="P330" s="757">
        <v>23.876249313354499</v>
      </c>
      <c r="Q330" s="757">
        <v>24.851699829101602</v>
      </c>
      <c r="R330" s="757">
        <v>25.777753829956101</v>
      </c>
      <c r="S330" s="757">
        <v>26.392097473144499</v>
      </c>
      <c r="T330" s="757">
        <v>27.017583847045898</v>
      </c>
      <c r="U330" s="757">
        <v>27.588447570800799</v>
      </c>
      <c r="V330" s="757">
        <v>28.206142425537099</v>
      </c>
      <c r="W330" s="757">
        <v>29.1773777008057</v>
      </c>
      <c r="X330" s="757">
        <v>30.336851119995099</v>
      </c>
      <c r="Y330" s="757">
        <v>31.4674072265625</v>
      </c>
      <c r="Z330" s="757">
        <v>32.538986206054702</v>
      </c>
    </row>
    <row r="332" spans="1:30" x14ac:dyDescent="0.25">
      <c r="A332" s="755" t="s">
        <v>473</v>
      </c>
    </row>
    <row r="333" spans="1:30" x14ac:dyDescent="0.25">
      <c r="A333" s="755" t="s">
        <v>602</v>
      </c>
      <c r="B333" s="757">
        <v>21.711509704589801</v>
      </c>
      <c r="C333" s="757">
        <v>25.0072345733643</v>
      </c>
      <c r="D333" s="757">
        <v>29.391622543335</v>
      </c>
      <c r="E333" s="757">
        <v>22.380046844482401</v>
      </c>
      <c r="F333" s="757">
        <v>21.3089294433594</v>
      </c>
      <c r="G333" s="757">
        <v>23.935417175293001</v>
      </c>
      <c r="H333" s="757">
        <v>26.369024276733398</v>
      </c>
      <c r="I333" s="757">
        <v>28.752412796020501</v>
      </c>
      <c r="J333" s="757">
        <v>31.0282287597656</v>
      </c>
      <c r="K333" s="757">
        <v>33.547065734863303</v>
      </c>
      <c r="L333" s="757">
        <v>35.514869689941399</v>
      </c>
      <c r="M333" s="757">
        <v>37.352748870849602</v>
      </c>
      <c r="N333" s="757">
        <v>39.287044525146499</v>
      </c>
      <c r="O333" s="757">
        <v>40.7039604187012</v>
      </c>
      <c r="P333" s="757">
        <v>42.024444580078097</v>
      </c>
      <c r="Q333" s="757">
        <v>43.379894256591797</v>
      </c>
      <c r="R333" s="757">
        <v>44.630382537841797</v>
      </c>
      <c r="S333" s="757">
        <v>46.145259857177699</v>
      </c>
      <c r="T333" s="757">
        <v>47.363857269287102</v>
      </c>
      <c r="U333" s="757">
        <v>47.7197074890137</v>
      </c>
      <c r="V333" s="757">
        <v>49.102500915527301</v>
      </c>
      <c r="W333" s="757">
        <v>50.517303466796903</v>
      </c>
      <c r="X333" s="757">
        <v>52.086456298828097</v>
      </c>
      <c r="Y333" s="757">
        <v>53.442653656005902</v>
      </c>
      <c r="Z333" s="757">
        <v>55.104091644287102</v>
      </c>
    </row>
    <row r="334" spans="1:30" x14ac:dyDescent="0.25">
      <c r="A334" s="755" t="s">
        <v>603</v>
      </c>
      <c r="B334" s="757">
        <v>24.84494972229</v>
      </c>
      <c r="C334" s="757">
        <v>26.818180084228501</v>
      </c>
      <c r="D334" s="757">
        <v>34.822681427002003</v>
      </c>
      <c r="E334" s="757">
        <v>21.049989700317401</v>
      </c>
      <c r="F334" s="757">
        <v>19.580844879150401</v>
      </c>
      <c r="G334" s="757">
        <v>23.622909545898398</v>
      </c>
      <c r="H334" s="757">
        <v>25.881950378418001</v>
      </c>
      <c r="I334" s="757">
        <v>28.009447097778299</v>
      </c>
      <c r="J334" s="757">
        <v>30.2537937164307</v>
      </c>
      <c r="K334" s="757">
        <v>28.866632461547901</v>
      </c>
      <c r="L334" s="757">
        <v>30.4276523590088</v>
      </c>
      <c r="M334" s="757">
        <v>31.969417572021499</v>
      </c>
      <c r="N334" s="757">
        <v>32.765193939208999</v>
      </c>
      <c r="O334" s="757">
        <v>35.757926940917997</v>
      </c>
      <c r="P334" s="757">
        <v>37.577915191650398</v>
      </c>
      <c r="Q334" s="757">
        <v>38.662086486816399</v>
      </c>
      <c r="R334" s="757">
        <v>39.8419189453125</v>
      </c>
      <c r="S334" s="757">
        <v>41.092353820800803</v>
      </c>
      <c r="T334" s="757">
        <v>42.114028930664098</v>
      </c>
      <c r="U334" s="757">
        <v>42.893341064453097</v>
      </c>
      <c r="V334" s="757">
        <v>44.2104301452637</v>
      </c>
      <c r="W334" s="757">
        <v>44.896373748779297</v>
      </c>
      <c r="X334" s="757">
        <v>46.4299926757813</v>
      </c>
      <c r="Y334" s="757">
        <v>48.419319152832003</v>
      </c>
      <c r="Z334" s="757">
        <v>48.957271575927699</v>
      </c>
    </row>
    <row r="335" spans="1:30" x14ac:dyDescent="0.25">
      <c r="A335" s="755" t="s">
        <v>604</v>
      </c>
      <c r="B335" s="757">
        <v>21.213121414184599</v>
      </c>
      <c r="C335" s="757">
        <v>22.982162475585898</v>
      </c>
      <c r="D335" s="757">
        <v>26.749811172485401</v>
      </c>
      <c r="E335" s="757">
        <v>16.175968170166001</v>
      </c>
      <c r="F335" s="757">
        <v>18.381326675415</v>
      </c>
      <c r="G335" s="757">
        <v>21.693702697753899</v>
      </c>
      <c r="H335" s="757">
        <v>23.709007263183601</v>
      </c>
      <c r="I335" s="757">
        <v>25.449525833129901</v>
      </c>
      <c r="J335" s="757">
        <v>27.424634933471701</v>
      </c>
      <c r="K335" s="757">
        <v>29.529468536376999</v>
      </c>
      <c r="L335" s="757">
        <v>31.27219581604</v>
      </c>
      <c r="M335" s="757">
        <v>33.093906402587898</v>
      </c>
      <c r="N335" s="757">
        <v>34.856166839599602</v>
      </c>
      <c r="O335" s="757">
        <v>36.438858032226598</v>
      </c>
      <c r="P335" s="757">
        <v>38.015861511230497</v>
      </c>
      <c r="Q335" s="757">
        <v>39.139541625976598</v>
      </c>
      <c r="R335" s="757">
        <v>40.478176116943402</v>
      </c>
      <c r="S335" s="757">
        <v>41.691452026367202</v>
      </c>
      <c r="T335" s="757">
        <v>42.679801940917997</v>
      </c>
      <c r="U335" s="757">
        <v>43.464977264404297</v>
      </c>
      <c r="V335" s="757">
        <v>44.780059814453097</v>
      </c>
      <c r="W335" s="757">
        <v>45.673988342285199</v>
      </c>
      <c r="X335" s="757">
        <v>47.254981994628899</v>
      </c>
      <c r="Y335" s="757">
        <v>49.557445526122997</v>
      </c>
      <c r="Z335" s="757">
        <v>49.9830131530762</v>
      </c>
    </row>
    <row r="336" spans="1:30" x14ac:dyDescent="0.25">
      <c r="A336" s="755" t="s">
        <v>605</v>
      </c>
      <c r="B336" s="757">
        <v>14.844763755798301</v>
      </c>
      <c r="C336" s="757">
        <v>16.0964660644531</v>
      </c>
      <c r="D336" s="757">
        <v>22.673322677612301</v>
      </c>
      <c r="E336" s="757">
        <v>10.878761291503899</v>
      </c>
      <c r="F336" s="757">
        <v>10.805939674377401</v>
      </c>
      <c r="G336" s="757">
        <v>13.641165733337401</v>
      </c>
      <c r="H336" s="757">
        <v>15.7883806228638</v>
      </c>
      <c r="I336" s="757">
        <v>17.847295761108398</v>
      </c>
      <c r="J336" s="757">
        <v>19.768560409545898</v>
      </c>
      <c r="K336" s="757">
        <v>21.6021404266357</v>
      </c>
      <c r="L336" s="757">
        <v>23.1407794952393</v>
      </c>
      <c r="M336" s="757">
        <v>24.738756179809599</v>
      </c>
      <c r="N336" s="757">
        <v>26.200944900512699</v>
      </c>
      <c r="O336" s="757">
        <v>27.323936462402301</v>
      </c>
      <c r="P336" s="757">
        <v>28.3911018371582</v>
      </c>
      <c r="Q336" s="757">
        <v>29.343944549560501</v>
      </c>
      <c r="R336" s="757">
        <v>30.208518981933601</v>
      </c>
      <c r="S336" s="757">
        <v>31.274351119995099</v>
      </c>
      <c r="T336" s="757">
        <v>32.279064178466797</v>
      </c>
      <c r="U336" s="757">
        <v>32.661514282226598</v>
      </c>
      <c r="V336" s="757">
        <v>33.853298187255902</v>
      </c>
      <c r="W336" s="757">
        <v>34.868740081787102</v>
      </c>
      <c r="X336" s="757">
        <v>36.320652008056598</v>
      </c>
      <c r="Y336" s="757">
        <v>37.773586273193402</v>
      </c>
      <c r="Z336" s="757">
        <v>39.040420532226598</v>
      </c>
    </row>
    <row r="337" spans="1:70" x14ac:dyDescent="0.25">
      <c r="A337" s="755" t="s">
        <v>709</v>
      </c>
      <c r="B337" s="757">
        <v>19.740650177001999</v>
      </c>
      <c r="C337" s="757">
        <v>20.921422958373999</v>
      </c>
      <c r="D337" s="757">
        <v>27.660943984985401</v>
      </c>
      <c r="E337" s="757">
        <v>15.872093200683601</v>
      </c>
      <c r="F337" s="757">
        <v>15.1842641830444</v>
      </c>
      <c r="G337" s="757">
        <v>17.936090469360401</v>
      </c>
      <c r="H337" s="757">
        <v>20.100133895873999</v>
      </c>
      <c r="I337" s="757">
        <v>22.737785339355501</v>
      </c>
      <c r="J337" s="757">
        <v>24.745433807373001</v>
      </c>
      <c r="K337" s="757">
        <v>26.438911437988299</v>
      </c>
      <c r="L337" s="757">
        <v>28.0228977203369</v>
      </c>
      <c r="M337" s="757">
        <v>29.7338352203369</v>
      </c>
      <c r="N337" s="757">
        <v>31.2589511871338</v>
      </c>
      <c r="O337" s="757">
        <v>32.543869018554702</v>
      </c>
      <c r="P337" s="757">
        <v>33.764415740966797</v>
      </c>
      <c r="Q337" s="757">
        <v>34.490653991699197</v>
      </c>
      <c r="R337" s="757">
        <v>35.692588806152301</v>
      </c>
      <c r="S337" s="757">
        <v>36.884777069091797</v>
      </c>
      <c r="T337" s="757">
        <v>37.7488403320313</v>
      </c>
      <c r="U337" s="757">
        <v>38.541912078857401</v>
      </c>
      <c r="V337" s="757">
        <v>39.811958312988303</v>
      </c>
      <c r="W337" s="757">
        <v>40.433952331542997</v>
      </c>
      <c r="X337" s="757">
        <v>41.980552673339801</v>
      </c>
      <c r="Y337" s="757">
        <v>44.0175971984863</v>
      </c>
      <c r="Z337" s="757">
        <v>44.845256805419901</v>
      </c>
    </row>
    <row r="338" spans="1:70" x14ac:dyDescent="0.25">
      <c r="A338" s="755" t="s">
        <v>596</v>
      </c>
      <c r="B338" s="757">
        <v>7.9912142753601101</v>
      </c>
      <c r="C338" s="757">
        <v>9.4357099533081108</v>
      </c>
      <c r="D338" s="757">
        <v>14.5987691879272</v>
      </c>
      <c r="E338" s="757">
        <v>6.5974926948547399</v>
      </c>
      <c r="F338" s="757">
        <v>6.8336348533630398</v>
      </c>
      <c r="G338" s="757">
        <v>9.1002550125122106</v>
      </c>
      <c r="H338" s="757">
        <v>10.9850196838379</v>
      </c>
      <c r="I338" s="757">
        <v>12.7856092453003</v>
      </c>
      <c r="J338" s="757">
        <v>14.3925485610962</v>
      </c>
      <c r="K338" s="757">
        <v>16.284711837768601</v>
      </c>
      <c r="L338" s="757">
        <v>17.587419509887699</v>
      </c>
      <c r="M338" s="757">
        <v>18.815961837768601</v>
      </c>
      <c r="N338" s="757">
        <v>20.079933166503899</v>
      </c>
      <c r="O338" s="757">
        <v>21.0047607421875</v>
      </c>
      <c r="P338" s="757">
        <v>21.793167114257798</v>
      </c>
      <c r="Q338" s="757">
        <v>22.696048736572301</v>
      </c>
      <c r="R338" s="757">
        <v>23.3086338043213</v>
      </c>
      <c r="S338" s="757">
        <v>24.011238098144499</v>
      </c>
      <c r="T338" s="757">
        <v>24.648492813110401</v>
      </c>
      <c r="U338" s="757">
        <v>24.8559169769287</v>
      </c>
      <c r="V338" s="757">
        <v>25.6537380218506</v>
      </c>
      <c r="W338" s="757">
        <v>26.666080474853501</v>
      </c>
      <c r="X338" s="757">
        <v>27.731492996215799</v>
      </c>
      <c r="Y338" s="757">
        <v>28.609724044799801</v>
      </c>
      <c r="Z338" s="757">
        <v>29.807550430297901</v>
      </c>
    </row>
    <row r="339" spans="1:70" x14ac:dyDescent="0.25">
      <c r="A339" s="755" t="s">
        <v>607</v>
      </c>
      <c r="B339" s="757">
        <v>15.1338348388672</v>
      </c>
      <c r="C339" s="757">
        <v>15.4958410263062</v>
      </c>
      <c r="D339" s="757">
        <v>17.260919570922901</v>
      </c>
      <c r="E339" s="757">
        <v>13.197589874267599</v>
      </c>
      <c r="F339" s="757">
        <v>14.011960029602101</v>
      </c>
      <c r="G339" s="757">
        <v>14.5198259353638</v>
      </c>
      <c r="H339" s="757">
        <v>14.7125358581543</v>
      </c>
      <c r="I339" s="757">
        <v>14.9809007644653</v>
      </c>
      <c r="J339" s="757">
        <v>15.3987216949463</v>
      </c>
      <c r="K339" s="757">
        <v>15.929105758666999</v>
      </c>
      <c r="L339" s="757">
        <v>16.444049835205099</v>
      </c>
      <c r="M339" s="757">
        <v>16.986526489257798</v>
      </c>
      <c r="N339" s="757">
        <v>17.562019348144499</v>
      </c>
      <c r="O339" s="757">
        <v>18.214298248291001</v>
      </c>
      <c r="P339" s="757">
        <v>18.978889465331999</v>
      </c>
      <c r="Q339" s="757">
        <v>19.653842926025401</v>
      </c>
      <c r="R339" s="757">
        <v>20.151586532592798</v>
      </c>
      <c r="S339" s="757">
        <v>20.264110565185501</v>
      </c>
      <c r="T339" s="757">
        <v>20.6345119476318</v>
      </c>
      <c r="U339" s="757">
        <v>20.930568695068398</v>
      </c>
      <c r="V339" s="757">
        <v>21.5493049621582</v>
      </c>
      <c r="W339" s="757">
        <v>22.330928802490199</v>
      </c>
      <c r="X339" s="757">
        <v>23.217420578002901</v>
      </c>
      <c r="Y339" s="757">
        <v>23.984209060668899</v>
      </c>
      <c r="Z339" s="757">
        <v>24.842088699340799</v>
      </c>
    </row>
    <row r="340" spans="1:70" x14ac:dyDescent="0.25">
      <c r="A340" s="755" t="s">
        <v>465</v>
      </c>
      <c r="B340" s="757">
        <v>29.552911758422901</v>
      </c>
      <c r="C340" s="757">
        <v>30.777971267700199</v>
      </c>
      <c r="D340" s="757">
        <v>34.475650787353501</v>
      </c>
      <c r="E340" s="757">
        <v>32.511272430419901</v>
      </c>
      <c r="F340" s="757">
        <v>28.3578701019287</v>
      </c>
      <c r="G340" s="757">
        <v>29.9883632659912</v>
      </c>
      <c r="H340" s="757">
        <v>30.793474197387699</v>
      </c>
      <c r="I340" s="757">
        <v>31.290824890136701</v>
      </c>
      <c r="J340" s="757">
        <v>31.788017272949201</v>
      </c>
      <c r="K340" s="757">
        <v>32.228786468505902</v>
      </c>
      <c r="L340" s="757">
        <v>33.101249694824197</v>
      </c>
      <c r="M340" s="757">
        <v>33.873565673828097</v>
      </c>
      <c r="N340" s="757">
        <v>34.876777648925803</v>
      </c>
      <c r="O340" s="757">
        <v>35.790927886962898</v>
      </c>
      <c r="P340" s="757">
        <v>37.005527496337898</v>
      </c>
      <c r="Q340" s="757">
        <v>38.374465942382798</v>
      </c>
      <c r="R340" s="757">
        <v>39.741268157958999</v>
      </c>
      <c r="S340" s="757">
        <v>40.743644714355497</v>
      </c>
      <c r="T340" s="757">
        <v>41.832027435302699</v>
      </c>
      <c r="U340" s="757">
        <v>42.8788452148438</v>
      </c>
      <c r="V340" s="757">
        <v>44.165149688720703</v>
      </c>
      <c r="W340" s="757">
        <v>45.822151184082003</v>
      </c>
      <c r="X340" s="757">
        <v>47.770866394042997</v>
      </c>
      <c r="Y340" s="757">
        <v>49.4786567687988</v>
      </c>
      <c r="Z340" s="757">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755" t="s">
        <v>608</v>
      </c>
    </row>
    <row r="343" spans="1:70" x14ac:dyDescent="0.25">
      <c r="A343" s="755" t="s">
        <v>595</v>
      </c>
      <c r="B343" s="757">
        <v>13.411901473999</v>
      </c>
      <c r="C343" s="757">
        <v>14.7725219726563</v>
      </c>
      <c r="D343" s="757">
        <v>19.598173141479499</v>
      </c>
      <c r="E343" s="757">
        <v>12.9002075195313</v>
      </c>
      <c r="F343" s="757">
        <v>10.160784721374499</v>
      </c>
      <c r="G343" s="757">
        <v>12.683879852294901</v>
      </c>
      <c r="H343" s="757">
        <v>14.742367744445801</v>
      </c>
      <c r="I343" s="757">
        <v>16.466316223144499</v>
      </c>
      <c r="J343" s="757">
        <v>18.200975418090799</v>
      </c>
      <c r="K343" s="757">
        <v>20.294946670532202</v>
      </c>
      <c r="L343" s="757">
        <v>21.762416839599599</v>
      </c>
      <c r="M343" s="757">
        <v>23.219928741455099</v>
      </c>
      <c r="N343" s="757">
        <v>24.625257492065401</v>
      </c>
      <c r="O343" s="757">
        <v>25.658937454223601</v>
      </c>
      <c r="P343" s="757">
        <v>26.641567230224599</v>
      </c>
      <c r="Q343" s="757">
        <v>27.554689407348601</v>
      </c>
      <c r="R343" s="757">
        <v>28.433355331420898</v>
      </c>
      <c r="S343" s="757">
        <v>29.525194168090799</v>
      </c>
      <c r="T343" s="757">
        <v>30.595668792724599</v>
      </c>
      <c r="U343" s="757">
        <v>30.812200546264599</v>
      </c>
      <c r="V343" s="757">
        <v>31.8765468597412</v>
      </c>
      <c r="W343" s="757">
        <v>33.023826599121101</v>
      </c>
      <c r="X343" s="757">
        <v>34.249851226806598</v>
      </c>
      <c r="Y343" s="757">
        <v>35.370849609375</v>
      </c>
      <c r="Z343" s="757">
        <v>36.733474731445298</v>
      </c>
    </row>
    <row r="344" spans="1:70" x14ac:dyDescent="0.25">
      <c r="A344" s="755" t="s">
        <v>596</v>
      </c>
      <c r="B344" s="757">
        <v>8.1584053039550799</v>
      </c>
      <c r="C344" s="757">
        <v>8.5664386749267596</v>
      </c>
      <c r="D344" s="757">
        <v>14.623919486999499</v>
      </c>
      <c r="E344" s="757">
        <v>6.72200632095337</v>
      </c>
      <c r="F344" s="757">
        <v>6.9281921386718803</v>
      </c>
      <c r="G344" s="757">
        <v>9.7774429321289098</v>
      </c>
      <c r="H344" s="757">
        <v>11.688641548156699</v>
      </c>
      <c r="I344" s="757">
        <v>13.5591955184937</v>
      </c>
      <c r="J344" s="757">
        <v>15.198254585266101</v>
      </c>
      <c r="K344" s="757">
        <v>17.122402191162099</v>
      </c>
      <c r="L344" s="757">
        <v>18.4469089508057</v>
      </c>
      <c r="M344" s="757">
        <v>19.645553588867202</v>
      </c>
      <c r="N344" s="757">
        <v>20.905046463012699</v>
      </c>
      <c r="O344" s="757">
        <v>21.461814880371101</v>
      </c>
      <c r="P344" s="757">
        <v>22.275539398193398</v>
      </c>
      <c r="Q344" s="757">
        <v>23.178005218505898</v>
      </c>
      <c r="R344" s="757">
        <v>23.921798706054702</v>
      </c>
      <c r="S344" s="757">
        <v>24.712652206420898</v>
      </c>
      <c r="T344" s="757">
        <v>25.390251159668001</v>
      </c>
      <c r="U344" s="757">
        <v>25.605690002441399</v>
      </c>
      <c r="V344" s="757">
        <v>26.419223785400401</v>
      </c>
      <c r="W344" s="757">
        <v>27.371679306030298</v>
      </c>
      <c r="X344" s="757">
        <v>28.437421798706101</v>
      </c>
      <c r="Y344" s="757">
        <v>29.318086624145501</v>
      </c>
      <c r="Z344" s="757">
        <v>30.4597358703613</v>
      </c>
    </row>
    <row r="345" spans="1:70" x14ac:dyDescent="0.25">
      <c r="A345" s="755" t="s">
        <v>496</v>
      </c>
      <c r="B345" s="757">
        <v>6.8695855140686</v>
      </c>
      <c r="C345" s="757">
        <v>7.0191597938537598</v>
      </c>
      <c r="D345" s="757">
        <v>9.0666198730468803</v>
      </c>
      <c r="E345" s="757">
        <v>4.70163822174072</v>
      </c>
      <c r="F345" s="757">
        <v>5.3228030204772896</v>
      </c>
      <c r="G345" s="757">
        <v>5.7259230613708496</v>
      </c>
      <c r="H345" s="757">
        <v>5.8670849800109899</v>
      </c>
      <c r="I345" s="757">
        <v>5.9947657585143999</v>
      </c>
      <c r="J345" s="757">
        <v>6.2809138298034703</v>
      </c>
      <c r="K345" s="757">
        <v>6.6566915512084996</v>
      </c>
      <c r="L345" s="757">
        <v>7.0282440185546902</v>
      </c>
      <c r="M345" s="757">
        <v>7.4117355346679696</v>
      </c>
      <c r="N345" s="757">
        <v>7.8389544486999503</v>
      </c>
      <c r="O345" s="757">
        <v>8.3448457717895508</v>
      </c>
      <c r="P345" s="757">
        <v>8.9240303039550799</v>
      </c>
      <c r="Q345" s="757">
        <v>9.4456386566162092</v>
      </c>
      <c r="R345" s="757">
        <v>9.7849264144897496</v>
      </c>
      <c r="S345" s="757">
        <v>9.7760477066040004</v>
      </c>
      <c r="T345" s="757">
        <v>10.055270195007299</v>
      </c>
      <c r="U345" s="757">
        <v>10.193024635314901</v>
      </c>
      <c r="V345" s="757">
        <v>10.610521316528301</v>
      </c>
      <c r="W345" s="757">
        <v>11.20911693573</v>
      </c>
      <c r="X345" s="757">
        <v>11.9389839172363</v>
      </c>
      <c r="Y345" s="757">
        <v>12.519255638122599</v>
      </c>
      <c r="Z345" s="757">
        <v>13.197782516479499</v>
      </c>
    </row>
    <row r="346" spans="1:70" x14ac:dyDescent="0.25">
      <c r="A346" s="755" t="s">
        <v>609</v>
      </c>
      <c r="B346" s="757">
        <v>1.6900001764297501</v>
      </c>
      <c r="C346" s="757">
        <v>1.7800002098083501</v>
      </c>
      <c r="D346" s="757">
        <v>1.97352075576782</v>
      </c>
      <c r="E346" s="757">
        <v>2.0458421707153298</v>
      </c>
      <c r="F346" s="757">
        <v>1.9325078725814799</v>
      </c>
      <c r="G346" s="757">
        <v>1.9669165611267101</v>
      </c>
      <c r="H346" s="757">
        <v>1.97483730316162</v>
      </c>
      <c r="I346" s="757">
        <v>2.0363006591796902</v>
      </c>
      <c r="J346" s="757">
        <v>2.1044862270355198</v>
      </c>
      <c r="K346" s="757">
        <v>2.15470170974731</v>
      </c>
      <c r="L346" s="757">
        <v>2.2153303623199498</v>
      </c>
      <c r="M346" s="757">
        <v>2.2768745422363299</v>
      </c>
      <c r="N346" s="757">
        <v>2.3487181663513201</v>
      </c>
      <c r="O346" s="757">
        <v>2.4114518165588401</v>
      </c>
      <c r="P346" s="757">
        <v>2.4841165542602499</v>
      </c>
      <c r="Q346" s="757">
        <v>2.5551335811614999</v>
      </c>
      <c r="R346" s="757">
        <v>2.63751268386841</v>
      </c>
      <c r="S346" s="757">
        <v>2.7085535526275599</v>
      </c>
      <c r="T346" s="757">
        <v>2.7758009433746298</v>
      </c>
      <c r="U346" s="757">
        <v>2.84079241752625</v>
      </c>
      <c r="V346" s="757">
        <v>2.9094073772430402</v>
      </c>
      <c r="W346" s="757">
        <v>2.9860992431640598</v>
      </c>
      <c r="X346" s="757">
        <v>3.0685904026031499</v>
      </c>
      <c r="Y346" s="757">
        <v>3.1531631946563698</v>
      </c>
      <c r="Z346" s="757">
        <v>3.23557353019714</v>
      </c>
    </row>
    <row r="348" spans="1:70" x14ac:dyDescent="0.25">
      <c r="A348" s="755" t="s">
        <v>610</v>
      </c>
    </row>
    <row r="349" spans="1:70" x14ac:dyDescent="0.25">
      <c r="A349" s="755" t="s">
        <v>594</v>
      </c>
      <c r="B349" s="757">
        <v>15.246436119079601</v>
      </c>
      <c r="C349" s="757">
        <v>18.5313529968262</v>
      </c>
      <c r="D349" s="757">
        <v>20.134397506713899</v>
      </c>
      <c r="E349" s="757">
        <v>16.9350070953369</v>
      </c>
      <c r="F349" s="757">
        <v>16.912326812744102</v>
      </c>
      <c r="G349" s="757">
        <v>19.346534729003899</v>
      </c>
      <c r="H349" s="757">
        <v>21.4945392608643</v>
      </c>
      <c r="I349" s="757">
        <v>23.604782104492202</v>
      </c>
      <c r="J349" s="757">
        <v>25.696203231811499</v>
      </c>
      <c r="K349" s="757">
        <v>28.031579971313501</v>
      </c>
      <c r="L349" s="757">
        <v>29.828712463378899</v>
      </c>
      <c r="M349" s="757">
        <v>31.479301452636701</v>
      </c>
      <c r="N349" s="757">
        <v>33.231895446777301</v>
      </c>
      <c r="O349" s="757">
        <v>34.5145874023438</v>
      </c>
      <c r="P349" s="757">
        <v>35.698520660400398</v>
      </c>
      <c r="Q349" s="757">
        <v>36.883983612060497</v>
      </c>
      <c r="R349" s="757">
        <v>37.996242523193402</v>
      </c>
      <c r="S349" s="757">
        <v>39.337680816650398</v>
      </c>
      <c r="T349" s="757">
        <v>40.431327819824197</v>
      </c>
      <c r="U349" s="757">
        <v>40.7233276367188</v>
      </c>
      <c r="V349" s="757">
        <v>41.9925727844238</v>
      </c>
      <c r="W349" s="757">
        <v>43.322719573974602</v>
      </c>
      <c r="X349" s="757">
        <v>44.788909912109403</v>
      </c>
      <c r="Y349" s="757">
        <v>45.941520690917997</v>
      </c>
      <c r="Z349" s="757">
        <v>47.553462982177699</v>
      </c>
    </row>
    <row r="350" spans="1:70" x14ac:dyDescent="0.25">
      <c r="A350" s="755" t="s">
        <v>603</v>
      </c>
      <c r="B350" s="757">
        <v>24.84494972229</v>
      </c>
      <c r="C350" s="757">
        <v>26.818180084228501</v>
      </c>
      <c r="D350" s="757">
        <v>34.822681427002003</v>
      </c>
      <c r="E350" s="757">
        <v>21.049989700317401</v>
      </c>
      <c r="F350" s="757">
        <v>19.580844879150401</v>
      </c>
      <c r="G350" s="757">
        <v>23.622909545898398</v>
      </c>
      <c r="H350" s="757">
        <v>25.881950378418001</v>
      </c>
      <c r="I350" s="757">
        <v>28.009447097778299</v>
      </c>
      <c r="J350" s="757">
        <v>30.2537937164307</v>
      </c>
      <c r="K350" s="757">
        <v>28.866632461547901</v>
      </c>
      <c r="L350" s="757">
        <v>30.4276523590088</v>
      </c>
      <c r="M350" s="757">
        <v>31.969417572021499</v>
      </c>
      <c r="N350" s="757">
        <v>32.765193939208999</v>
      </c>
      <c r="O350" s="757">
        <v>35.757926940917997</v>
      </c>
      <c r="P350" s="757">
        <v>37.577915191650398</v>
      </c>
      <c r="Q350" s="757">
        <v>38.662086486816399</v>
      </c>
      <c r="R350" s="757">
        <v>39.8419189453125</v>
      </c>
      <c r="S350" s="757">
        <v>41.092353820800803</v>
      </c>
      <c r="T350" s="757">
        <v>42.114028930664098</v>
      </c>
      <c r="U350" s="757">
        <v>42.893341064453097</v>
      </c>
      <c r="V350" s="757">
        <v>44.2104301452637</v>
      </c>
      <c r="W350" s="757">
        <v>44.896373748779297</v>
      </c>
      <c r="X350" s="757">
        <v>46.4299926757813</v>
      </c>
      <c r="Y350" s="757">
        <v>48.419319152832003</v>
      </c>
      <c r="Z350" s="757">
        <v>48.957271575927699</v>
      </c>
    </row>
    <row r="351" spans="1:70" x14ac:dyDescent="0.25">
      <c r="A351" s="755" t="s">
        <v>604</v>
      </c>
      <c r="B351" s="757">
        <v>21.081119537353501</v>
      </c>
      <c r="C351" s="757">
        <v>22.8191947937012</v>
      </c>
      <c r="D351" s="757">
        <v>26.582485198974599</v>
      </c>
      <c r="E351" s="757">
        <v>16.308473587036101</v>
      </c>
      <c r="F351" s="757">
        <v>18.3791694641113</v>
      </c>
      <c r="G351" s="757">
        <v>21.690732955932599</v>
      </c>
      <c r="H351" s="757">
        <v>23.705785751342798</v>
      </c>
      <c r="I351" s="757">
        <v>25.446578979492202</v>
      </c>
      <c r="J351" s="757">
        <v>27.421388626098601</v>
      </c>
      <c r="K351" s="757">
        <v>29.526109695434599</v>
      </c>
      <c r="L351" s="757">
        <v>31.268815994262699</v>
      </c>
      <c r="M351" s="757">
        <v>33.090030670166001</v>
      </c>
      <c r="N351" s="757">
        <v>34.852634429931598</v>
      </c>
      <c r="O351" s="757">
        <v>36.4355278015137</v>
      </c>
      <c r="P351" s="757">
        <v>38.011890411377003</v>
      </c>
      <c r="Q351" s="757">
        <v>39.135532379150398</v>
      </c>
      <c r="R351" s="757">
        <v>40.475978851318402</v>
      </c>
      <c r="S351" s="757">
        <v>41.687484741210902</v>
      </c>
      <c r="T351" s="757">
        <v>42.675270080566399</v>
      </c>
      <c r="U351" s="757">
        <v>43.460239410400398</v>
      </c>
      <c r="V351" s="757">
        <v>44.775581359863303</v>
      </c>
      <c r="W351" s="757">
        <v>45.668975830078097</v>
      </c>
      <c r="X351" s="757">
        <v>47.250167846679702</v>
      </c>
      <c r="Y351" s="757">
        <v>49.551605224609403</v>
      </c>
      <c r="Z351" s="757">
        <v>49.978668212890597</v>
      </c>
    </row>
    <row r="352" spans="1:70" x14ac:dyDescent="0.25">
      <c r="A352" s="755" t="s">
        <v>611</v>
      </c>
      <c r="B352" s="757">
        <v>14.844763755798301</v>
      </c>
      <c r="C352" s="757">
        <v>16.0964660644531</v>
      </c>
      <c r="D352" s="757">
        <v>22.673322677612301</v>
      </c>
      <c r="E352" s="757">
        <v>10.878761291503899</v>
      </c>
      <c r="F352" s="757">
        <v>10.805939674377401</v>
      </c>
      <c r="G352" s="757">
        <v>13.641165733337401</v>
      </c>
      <c r="H352" s="757">
        <v>15.7883806228638</v>
      </c>
      <c r="I352" s="757">
        <v>17.847295761108398</v>
      </c>
      <c r="J352" s="757">
        <v>19.768560409545898</v>
      </c>
      <c r="K352" s="757">
        <v>21.6021404266357</v>
      </c>
      <c r="L352" s="757">
        <v>23.1407794952393</v>
      </c>
      <c r="M352" s="757">
        <v>24.738756179809599</v>
      </c>
      <c r="N352" s="757">
        <v>26.200944900512699</v>
      </c>
      <c r="O352" s="757">
        <v>27.323936462402301</v>
      </c>
      <c r="P352" s="757">
        <v>28.3911018371582</v>
      </c>
      <c r="Q352" s="757">
        <v>29.343944549560501</v>
      </c>
      <c r="R352" s="757">
        <v>30.208518981933601</v>
      </c>
      <c r="S352" s="757">
        <v>31.274351119995099</v>
      </c>
      <c r="T352" s="757">
        <v>32.279064178466797</v>
      </c>
      <c r="U352" s="757">
        <v>32.661514282226598</v>
      </c>
      <c r="V352" s="757">
        <v>33.853298187255902</v>
      </c>
      <c r="W352" s="757">
        <v>34.868740081787102</v>
      </c>
      <c r="X352" s="757">
        <v>36.320652008056598</v>
      </c>
      <c r="Y352" s="757">
        <v>37.773586273193402</v>
      </c>
      <c r="Z352" s="757">
        <v>39.040420532226598</v>
      </c>
    </row>
    <row r="353" spans="1:70" x14ac:dyDescent="0.25">
      <c r="A353" s="755" t="s">
        <v>595</v>
      </c>
      <c r="B353" s="757">
        <v>18.668458938598601</v>
      </c>
      <c r="C353" s="757">
        <v>19.9431552886963</v>
      </c>
      <c r="D353" s="757">
        <v>26.286823272705099</v>
      </c>
      <c r="E353" s="757">
        <v>15.636975288391101</v>
      </c>
      <c r="F353" s="757">
        <v>14.1092176437378</v>
      </c>
      <c r="G353" s="757">
        <v>16.902593612670898</v>
      </c>
      <c r="H353" s="757">
        <v>19.1516017913818</v>
      </c>
      <c r="I353" s="757">
        <v>21.744958877563501</v>
      </c>
      <c r="J353" s="757">
        <v>23.745824813842798</v>
      </c>
      <c r="K353" s="757">
        <v>25.478622436523398</v>
      </c>
      <c r="L353" s="757">
        <v>27.0623779296875</v>
      </c>
      <c r="M353" s="757">
        <v>28.722316741943398</v>
      </c>
      <c r="N353" s="757">
        <v>30.288469314575199</v>
      </c>
      <c r="O353" s="757">
        <v>31.560461044311499</v>
      </c>
      <c r="P353" s="757">
        <v>32.757129669189503</v>
      </c>
      <c r="Q353" s="757">
        <v>33.523193359375</v>
      </c>
      <c r="R353" s="757">
        <v>34.769081115722699</v>
      </c>
      <c r="S353" s="757">
        <v>35.882114410400398</v>
      </c>
      <c r="T353" s="757">
        <v>36.791599273681598</v>
      </c>
      <c r="U353" s="757">
        <v>37.5217895507813</v>
      </c>
      <c r="V353" s="757">
        <v>38.800697326660199</v>
      </c>
      <c r="W353" s="757">
        <v>39.467311859130902</v>
      </c>
      <c r="X353" s="757">
        <v>40.997920989990199</v>
      </c>
      <c r="Y353" s="757">
        <v>42.937191009521499</v>
      </c>
      <c r="Z353" s="757">
        <v>43.857540130615199</v>
      </c>
    </row>
    <row r="354" spans="1:70" x14ac:dyDescent="0.25">
      <c r="A354" s="755" t="s">
        <v>596</v>
      </c>
      <c r="B354" s="757">
        <v>8.2036781311035192</v>
      </c>
      <c r="C354" s="757">
        <v>9.3672227859497106</v>
      </c>
      <c r="D354" s="757">
        <v>14.4897508621216</v>
      </c>
      <c r="E354" s="757">
        <v>6.7128052711486799</v>
      </c>
      <c r="F354" s="757">
        <v>7.1757683753967303</v>
      </c>
      <c r="G354" s="757">
        <v>9.6609458923339808</v>
      </c>
      <c r="H354" s="757">
        <v>11.544206619262701</v>
      </c>
      <c r="I354" s="757">
        <v>13.370221138000501</v>
      </c>
      <c r="J354" s="757">
        <v>14.996021270751999</v>
      </c>
      <c r="K354" s="757">
        <v>16.898206710815401</v>
      </c>
      <c r="L354" s="757">
        <v>18.207862854003899</v>
      </c>
      <c r="M354" s="757">
        <v>19.411674499511701</v>
      </c>
      <c r="N354" s="757">
        <v>20.6822299957275</v>
      </c>
      <c r="O354" s="757">
        <v>21.516969680786101</v>
      </c>
      <c r="P354" s="757">
        <v>22.335527420043899</v>
      </c>
      <c r="Q354" s="757">
        <v>23.2407321929932</v>
      </c>
      <c r="R354" s="757">
        <v>23.916133880615199</v>
      </c>
      <c r="S354" s="757">
        <v>24.6660556793213</v>
      </c>
      <c r="T354" s="757">
        <v>25.322589874267599</v>
      </c>
      <c r="U354" s="757">
        <v>25.500698089599599</v>
      </c>
      <c r="V354" s="757">
        <v>26.3019409179688</v>
      </c>
      <c r="W354" s="757">
        <v>27.270561218261701</v>
      </c>
      <c r="X354" s="757">
        <v>28.332614898681602</v>
      </c>
      <c r="Y354" s="757">
        <v>29.2080383300781</v>
      </c>
      <c r="Z354" s="757">
        <v>30.365930557251001</v>
      </c>
    </row>
    <row r="355" spans="1:70" x14ac:dyDescent="0.25">
      <c r="A355" s="755" t="s">
        <v>496</v>
      </c>
      <c r="B355" s="757">
        <v>9.2523355484008807</v>
      </c>
      <c r="C355" s="757">
        <v>9.0060253143310494</v>
      </c>
      <c r="D355" s="757">
        <v>10.405486106872599</v>
      </c>
      <c r="E355" s="757">
        <v>6.98002004623413</v>
      </c>
      <c r="F355" s="757">
        <v>7.7092094421386701</v>
      </c>
      <c r="G355" s="757">
        <v>8.12390232086182</v>
      </c>
      <c r="H355" s="757">
        <v>8.2825136184692401</v>
      </c>
      <c r="I355" s="757">
        <v>8.4401350021362305</v>
      </c>
      <c r="J355" s="757">
        <v>8.7418422698974592</v>
      </c>
      <c r="K355" s="757">
        <v>9.1197204589843803</v>
      </c>
      <c r="L355" s="757">
        <v>9.5538625717163104</v>
      </c>
      <c r="M355" s="757">
        <v>10.0050344467163</v>
      </c>
      <c r="N355" s="757">
        <v>10.4820852279663</v>
      </c>
      <c r="O355" s="757">
        <v>11.0441122055054</v>
      </c>
      <c r="P355" s="757">
        <v>11.7092485427856</v>
      </c>
      <c r="Q355" s="757">
        <v>12.280260086059601</v>
      </c>
      <c r="R355" s="757">
        <v>12.668963432311999</v>
      </c>
      <c r="S355" s="757">
        <v>12.670117378234901</v>
      </c>
      <c r="T355" s="757">
        <v>12.917200088501</v>
      </c>
      <c r="U355" s="757">
        <v>13.0803108215332</v>
      </c>
      <c r="V355" s="757">
        <v>13.574273109436</v>
      </c>
      <c r="W355" s="757">
        <v>14.23717212677</v>
      </c>
      <c r="X355" s="757">
        <v>15.0462560653687</v>
      </c>
      <c r="Y355" s="757">
        <v>15.740474700927701</v>
      </c>
      <c r="Z355" s="757">
        <v>16.4913539886475</v>
      </c>
    </row>
    <row r="356" spans="1:70" ht="13.8" thickBot="1" x14ac:dyDescent="0.3">
      <c r="A356" s="755" t="s">
        <v>599</v>
      </c>
      <c r="B356" s="757">
        <v>3.53999996185303</v>
      </c>
      <c r="C356" s="757">
        <v>3.6099998950958301</v>
      </c>
      <c r="D356" s="757">
        <v>4.1449666023254403</v>
      </c>
      <c r="E356" s="757">
        <v>4.1784791946411097</v>
      </c>
      <c r="F356" s="757">
        <v>4.1485314369201696</v>
      </c>
      <c r="G356" s="757">
        <v>4.3175525665283203</v>
      </c>
      <c r="H356" s="757">
        <v>4.44484186172485</v>
      </c>
      <c r="I356" s="757">
        <v>4.5821456909179696</v>
      </c>
      <c r="J356" s="757">
        <v>4.7206311225891104</v>
      </c>
      <c r="K356" s="757">
        <v>4.8563599586486799</v>
      </c>
      <c r="L356" s="757">
        <v>4.9913563728332502</v>
      </c>
      <c r="M356" s="757">
        <v>5.1233406066894496</v>
      </c>
      <c r="N356" s="757">
        <v>5.2680139541626003</v>
      </c>
      <c r="O356" s="757">
        <v>5.4137320518493697</v>
      </c>
      <c r="P356" s="757">
        <v>5.5743689537048304</v>
      </c>
      <c r="Q356" s="757">
        <v>5.7906579971313503</v>
      </c>
      <c r="R356" s="757">
        <v>6.0209679603576696</v>
      </c>
      <c r="S356" s="757">
        <v>6.20045709609985</v>
      </c>
      <c r="T356" s="757">
        <v>6.3775997161865199</v>
      </c>
      <c r="U356" s="757">
        <v>6.5161404609680202</v>
      </c>
      <c r="V356" s="757">
        <v>6.6299972534179696</v>
      </c>
      <c r="W356" s="757">
        <v>6.7667918205261204</v>
      </c>
      <c r="X356" s="757">
        <v>6.88553714752197</v>
      </c>
      <c r="Y356" s="757">
        <v>6.9704546928405797</v>
      </c>
      <c r="Z356" s="757">
        <v>7.0137753486633301</v>
      </c>
    </row>
    <row r="357" spans="1:70" ht="13.8" thickBot="1" x14ac:dyDescent="0.3">
      <c r="A357" s="755" t="s">
        <v>612</v>
      </c>
      <c r="B357" s="757">
        <v>1.73100674152374</v>
      </c>
      <c r="C357" s="757">
        <v>1.81885313987732</v>
      </c>
      <c r="D357" s="757">
        <v>2.01088166236877</v>
      </c>
      <c r="E357" s="757">
        <v>2.0711190700531001</v>
      </c>
      <c r="F357" s="757">
        <v>1.96068322658539</v>
      </c>
      <c r="G357" s="757">
        <v>1.99932932853699</v>
      </c>
      <c r="H357" s="757">
        <v>2.0096416473388699</v>
      </c>
      <c r="I357" s="757">
        <v>2.07272601127625</v>
      </c>
      <c r="J357" s="757">
        <v>2.1420636177063002</v>
      </c>
      <c r="K357" s="757">
        <v>2.1925818920135498</v>
      </c>
      <c r="L357" s="757">
        <v>2.2534883022308301</v>
      </c>
      <c r="M357" s="757">
        <v>2.3155770301818799</v>
      </c>
      <c r="N357" s="757">
        <v>2.38794946670532</v>
      </c>
      <c r="O357" s="757">
        <v>2.4510562419891402</v>
      </c>
      <c r="P357" s="757">
        <v>2.52451372146606</v>
      </c>
      <c r="Q357" s="757">
        <v>2.5963439941406299</v>
      </c>
      <c r="R357" s="757">
        <v>2.6790707111358598</v>
      </c>
      <c r="S357" s="757">
        <v>2.7507226467132599</v>
      </c>
      <c r="T357" s="757">
        <v>2.8189043998718302</v>
      </c>
      <c r="U357" s="757">
        <v>2.8845274448394802</v>
      </c>
      <c r="V357" s="757">
        <v>2.9543473720550502</v>
      </c>
      <c r="W357" s="757">
        <v>3.0319309234619101</v>
      </c>
      <c r="X357" s="757">
        <v>3.1151678562164302</v>
      </c>
      <c r="Y357" s="757">
        <v>3.20047926902771</v>
      </c>
      <c r="Z357" s="757">
        <v>3.2839629650115998</v>
      </c>
      <c r="AA357" s="277">
        <f>Z527+($AI$357-$Y$527)/10</f>
        <v>8.0623037763536161</v>
      </c>
      <c r="AB357" s="277">
        <f t="shared" ref="AB357:AH357" si="21">AA357+($AI$357-$Y$527)/10</f>
        <v>8.1146083992868938</v>
      </c>
      <c r="AC357" s="277">
        <f t="shared" si="21"/>
        <v>8.1669130222201716</v>
      </c>
      <c r="AD357" s="277">
        <f t="shared" si="21"/>
        <v>8.2192176451534493</v>
      </c>
      <c r="AE357" s="277">
        <f t="shared" si="21"/>
        <v>8.2715222680867271</v>
      </c>
      <c r="AF357" s="277">
        <f t="shared" si="21"/>
        <v>8.3238268910200048</v>
      </c>
      <c r="AG357" s="277">
        <f t="shared" si="21"/>
        <v>8.3761315139532826</v>
      </c>
      <c r="AH357" s="277">
        <f t="shared" si="21"/>
        <v>8.4284361368865603</v>
      </c>
      <c r="AI357" s="278">
        <f>T527*$E$742</f>
        <v>8.4807407598198452</v>
      </c>
      <c r="AJ357" s="277">
        <f>AI357+($AX$357-$AI$357)/15</f>
        <v>8.5767365137369804</v>
      </c>
      <c r="AK357" s="277">
        <f t="shared" ref="AK357:AW357" si="22">AJ357+($AX$357-$AI$357)/15</f>
        <v>8.6727322676541156</v>
      </c>
      <c r="AL357" s="277">
        <f t="shared" si="22"/>
        <v>8.7687280215712509</v>
      </c>
      <c r="AM357" s="277">
        <f t="shared" si="22"/>
        <v>8.8647237754883861</v>
      </c>
      <c r="AN357" s="277">
        <f t="shared" si="22"/>
        <v>8.9607195294055213</v>
      </c>
      <c r="AO357" s="277">
        <f t="shared" si="22"/>
        <v>9.0567152833226565</v>
      </c>
      <c r="AP357" s="277">
        <f t="shared" si="22"/>
        <v>9.1527110372397917</v>
      </c>
      <c r="AQ357" s="277">
        <f t="shared" si="22"/>
        <v>9.248706791156927</v>
      </c>
      <c r="AR357" s="277">
        <f t="shared" si="22"/>
        <v>9.3447025450740622</v>
      </c>
      <c r="AS357" s="277">
        <f t="shared" si="22"/>
        <v>9.4406982989911974</v>
      </c>
      <c r="AT357" s="277">
        <f t="shared" si="22"/>
        <v>9.5366940529083326</v>
      </c>
      <c r="AU357" s="277">
        <f t="shared" si="22"/>
        <v>9.6326898068254678</v>
      </c>
      <c r="AV357" s="277">
        <f t="shared" si="22"/>
        <v>9.728685560742603</v>
      </c>
      <c r="AW357" s="277">
        <f t="shared" si="22"/>
        <v>9.8246813146597383</v>
      </c>
      <c r="AX357" s="278">
        <f>AI357*$B$742</f>
        <v>9.9206770685768717</v>
      </c>
      <c r="AY357" s="277">
        <f>AX357+($BM$357-$AX$357)/15</f>
        <v>10.018909165246043</v>
      </c>
      <c r="AZ357" s="277">
        <f t="shared" ref="AZ357:BL357" si="23">AY357+($BM$357-$AX$357)/15</f>
        <v>10.117141261915215</v>
      </c>
      <c r="BA357" s="277">
        <f t="shared" si="23"/>
        <v>10.215373358584387</v>
      </c>
      <c r="BB357" s="277">
        <f t="shared" si="23"/>
        <v>10.313605455253558</v>
      </c>
      <c r="BC357" s="277">
        <f t="shared" si="23"/>
        <v>10.41183755192273</v>
      </c>
      <c r="BD357" s="277">
        <f t="shared" si="23"/>
        <v>10.510069648591902</v>
      </c>
      <c r="BE357" s="277">
        <f t="shared" si="23"/>
        <v>10.608301745261073</v>
      </c>
      <c r="BF357" s="277">
        <f t="shared" si="23"/>
        <v>10.706533841930245</v>
      </c>
      <c r="BG357" s="277">
        <f t="shared" si="23"/>
        <v>10.804765938599417</v>
      </c>
      <c r="BH357" s="277">
        <f t="shared" si="23"/>
        <v>10.902998035268588</v>
      </c>
      <c r="BI357" s="277">
        <f t="shared" si="23"/>
        <v>11.00123013193776</v>
      </c>
      <c r="BJ357" s="277">
        <f t="shared" si="23"/>
        <v>11.099462228606932</v>
      </c>
      <c r="BK357" s="277">
        <f t="shared" si="23"/>
        <v>11.197694325276103</v>
      </c>
      <c r="BL357" s="277">
        <f t="shared" si="23"/>
        <v>11.295926421945275</v>
      </c>
      <c r="BM357" s="278">
        <f>AX357*$C$742</f>
        <v>11.394158518614441</v>
      </c>
      <c r="BN357" s="277">
        <f>BM357+($BR$357-$BM$357)/5</f>
        <v>11.506980665059427</v>
      </c>
      <c r="BO357" s="277">
        <f>BN357+($BR$357-$BM$357)/5</f>
        <v>11.619802811504412</v>
      </c>
      <c r="BP357" s="277">
        <f>BO357+($BR$357-$BM$357)/5</f>
        <v>11.732624957949398</v>
      </c>
      <c r="BQ357" s="277">
        <f>BP357+($BR$357-$BM$357)/5</f>
        <v>11.845447104394383</v>
      </c>
      <c r="BR357" s="278">
        <f>BM357*$D$742</f>
        <v>11.95826925083937</v>
      </c>
    </row>
    <row r="358" spans="1:70" ht="13.8" thickBot="1" x14ac:dyDescent="0.3">
      <c r="A358" s="755" t="s">
        <v>601</v>
      </c>
      <c r="B358" s="757">
        <v>0</v>
      </c>
      <c r="C358" s="757">
        <v>0</v>
      </c>
      <c r="D358" s="757">
        <v>0</v>
      </c>
      <c r="E358" s="757">
        <v>0</v>
      </c>
      <c r="F358" s="757">
        <v>0</v>
      </c>
      <c r="G358" s="757">
        <v>1.5889266729354901</v>
      </c>
      <c r="H358" s="757">
        <v>1.46094393730164</v>
      </c>
      <c r="I358" s="757">
        <v>1.28843116760254</v>
      </c>
      <c r="J358" s="757">
        <v>1.5101318359375</v>
      </c>
      <c r="K358" s="757">
        <v>1.50810551643372</v>
      </c>
      <c r="L358" s="757">
        <v>1.5213859081268299</v>
      </c>
      <c r="M358" s="757">
        <v>1.53951179981232</v>
      </c>
      <c r="N358" s="757">
        <v>1.58338570594788</v>
      </c>
      <c r="O358" s="757">
        <v>1.63723039627075</v>
      </c>
      <c r="P358" s="757">
        <v>1.71289122104645</v>
      </c>
      <c r="Q358" s="757">
        <v>1.76114201545715</v>
      </c>
      <c r="R358" s="757">
        <v>1.8119050264358501</v>
      </c>
      <c r="S358" s="757">
        <v>1.8629466295242301</v>
      </c>
      <c r="T358" s="757">
        <v>1.9169825315475499</v>
      </c>
      <c r="U358" s="757">
        <v>1.9466364383697501</v>
      </c>
      <c r="V358" s="757">
        <v>1.9911848306655899</v>
      </c>
      <c r="W358" s="757">
        <v>2.0416746139526398</v>
      </c>
      <c r="X358" s="757">
        <v>2.09020328521729</v>
      </c>
      <c r="Y358" s="757">
        <v>2.1373581886291499</v>
      </c>
      <c r="Z358" s="757">
        <v>2.1847438812255899</v>
      </c>
      <c r="AA358" s="279">
        <f>Z528+($AI$358-$Y$528)/10</f>
        <v>22.224617194901626</v>
      </c>
      <c r="AB358" s="279">
        <f t="shared" ref="AB358:AH358" si="24">AA358+($AI$358-$Y$528)/10</f>
        <v>22.135413455621489</v>
      </c>
      <c r="AC358" s="279">
        <f t="shared" si="24"/>
        <v>22.046209716341352</v>
      </c>
      <c r="AD358" s="279">
        <f t="shared" si="24"/>
        <v>21.957005977061215</v>
      </c>
      <c r="AE358" s="279">
        <f t="shared" si="24"/>
        <v>21.867802237781078</v>
      </c>
      <c r="AF358" s="279">
        <f t="shared" si="24"/>
        <v>21.778598498500941</v>
      </c>
      <c r="AG358" s="279">
        <f t="shared" si="24"/>
        <v>21.689394759220804</v>
      </c>
      <c r="AH358" s="279">
        <f t="shared" si="24"/>
        <v>21.600191019940667</v>
      </c>
      <c r="AI358" s="280">
        <f>T528*$E$745</f>
        <v>21.510987280660522</v>
      </c>
      <c r="AJ358" s="279">
        <f>AI358+($AX$358-$AI$358)/15</f>
        <v>21.502530865644818</v>
      </c>
      <c r="AK358" s="279">
        <f t="shared" ref="AK358:AW358" si="25">AJ358+($AX$358-$AI$358)/15</f>
        <v>21.494074450629114</v>
      </c>
      <c r="AL358" s="279">
        <f t="shared" si="25"/>
        <v>21.48561803561341</v>
      </c>
      <c r="AM358" s="279">
        <f t="shared" si="25"/>
        <v>21.477161620597705</v>
      </c>
      <c r="AN358" s="279">
        <f t="shared" si="25"/>
        <v>21.468705205582001</v>
      </c>
      <c r="AO358" s="279">
        <f t="shared" si="25"/>
        <v>21.460248790566297</v>
      </c>
      <c r="AP358" s="279">
        <f t="shared" si="25"/>
        <v>21.451792375550593</v>
      </c>
      <c r="AQ358" s="279">
        <f t="shared" si="25"/>
        <v>21.443335960534888</v>
      </c>
      <c r="AR358" s="279">
        <f t="shared" si="25"/>
        <v>21.434879545519184</v>
      </c>
      <c r="AS358" s="279">
        <f t="shared" si="25"/>
        <v>21.42642313050348</v>
      </c>
      <c r="AT358" s="279">
        <f t="shared" si="25"/>
        <v>21.417966715487776</v>
      </c>
      <c r="AU358" s="279">
        <f t="shared" si="25"/>
        <v>21.409510300472071</v>
      </c>
      <c r="AV358" s="279">
        <f t="shared" si="25"/>
        <v>21.401053885456367</v>
      </c>
      <c r="AW358" s="279">
        <f t="shared" si="25"/>
        <v>21.392597470440663</v>
      </c>
      <c r="AX358" s="280">
        <f>AI358*$B$745</f>
        <v>21.384141055424955</v>
      </c>
      <c r="AY358" s="279">
        <f>AX358+($BM$358-$AX$358)/15</f>
        <v>21.397725276976207</v>
      </c>
      <c r="AZ358" s="279">
        <f t="shared" ref="AZ358:BL358" si="26">AY358+($BM$358-$AX$358)/15</f>
        <v>21.411309498527459</v>
      </c>
      <c r="BA358" s="279">
        <f t="shared" si="26"/>
        <v>21.42489372007871</v>
      </c>
      <c r="BB358" s="279">
        <f t="shared" si="26"/>
        <v>21.438477941629962</v>
      </c>
      <c r="BC358" s="279">
        <f t="shared" si="26"/>
        <v>21.452062163181214</v>
      </c>
      <c r="BD358" s="279">
        <f t="shared" si="26"/>
        <v>21.465646384732466</v>
      </c>
      <c r="BE358" s="279">
        <f t="shared" si="26"/>
        <v>21.479230606283718</v>
      </c>
      <c r="BF358" s="279">
        <f t="shared" si="26"/>
        <v>21.49281482783497</v>
      </c>
      <c r="BG358" s="279">
        <f t="shared" si="26"/>
        <v>21.506399049386221</v>
      </c>
      <c r="BH358" s="279">
        <f t="shared" si="26"/>
        <v>21.519983270937473</v>
      </c>
      <c r="BI358" s="279">
        <f t="shared" si="26"/>
        <v>21.533567492488725</v>
      </c>
      <c r="BJ358" s="279">
        <f t="shared" si="26"/>
        <v>21.547151714039977</v>
      </c>
      <c r="BK358" s="279">
        <f t="shared" si="26"/>
        <v>21.560735935591229</v>
      </c>
      <c r="BL358" s="279">
        <f t="shared" si="26"/>
        <v>21.574320157142481</v>
      </c>
      <c r="BM358" s="280">
        <f>AX358*$C$745</f>
        <v>21.587904378693722</v>
      </c>
      <c r="BN358" s="279">
        <f>BM358+($BR$358-$BM$358)/5</f>
        <v>21.601618040381013</v>
      </c>
      <c r="BO358" s="279">
        <f>BN358+($BR$358-$BM$358)/5</f>
        <v>21.615331702068303</v>
      </c>
      <c r="BP358" s="279">
        <f>BO358+($BR$358-$BM$358)/5</f>
        <v>21.629045363755594</v>
      </c>
      <c r="BQ358" s="279">
        <f>BP358+($BR$358-$BM$358)/5</f>
        <v>21.642759025442885</v>
      </c>
      <c r="BR358" s="280">
        <f>BM358*$D$745</f>
        <v>21.656472687130176</v>
      </c>
    </row>
    <row r="359" spans="1:70" x14ac:dyDescent="0.25">
      <c r="A359" s="755" t="s">
        <v>465</v>
      </c>
      <c r="B359" s="757">
        <v>25.973251342773398</v>
      </c>
      <c r="C359" s="757">
        <v>26.680915832519499</v>
      </c>
      <c r="D359" s="757">
        <v>28.4103908538818</v>
      </c>
      <c r="E359" s="757">
        <v>27.544679641723601</v>
      </c>
      <c r="F359" s="757">
        <v>25.191349029541001</v>
      </c>
      <c r="G359" s="757">
        <v>26.348068237304702</v>
      </c>
      <c r="H359" s="757">
        <v>26.6303806304932</v>
      </c>
      <c r="I359" s="757">
        <v>27.154542922973601</v>
      </c>
      <c r="J359" s="757">
        <v>28.002742767333999</v>
      </c>
      <c r="K359" s="757">
        <v>28.757371902465799</v>
      </c>
      <c r="L359" s="757">
        <v>29.780685424804702</v>
      </c>
      <c r="M359" s="757">
        <v>30.870384216308601</v>
      </c>
      <c r="N359" s="757">
        <v>32.039138793945298</v>
      </c>
      <c r="O359" s="757">
        <v>33.131908416747997</v>
      </c>
      <c r="P359" s="757">
        <v>34.493354797363303</v>
      </c>
      <c r="Q359" s="757">
        <v>35.847507476806598</v>
      </c>
      <c r="R359" s="757">
        <v>37.095943450927699</v>
      </c>
      <c r="S359" s="757">
        <v>37.945499420166001</v>
      </c>
      <c r="T359" s="757">
        <v>38.854724884033203</v>
      </c>
      <c r="U359" s="757">
        <v>39.667263031005902</v>
      </c>
      <c r="V359" s="757">
        <v>40.613765716552699</v>
      </c>
      <c r="W359" s="757">
        <v>41.989593505859403</v>
      </c>
      <c r="X359" s="757">
        <v>43.556324005127003</v>
      </c>
      <c r="Y359" s="757">
        <v>45.098350524902301</v>
      </c>
      <c r="Z359" s="757">
        <v>46.616588592529297</v>
      </c>
    </row>
    <row r="361" spans="1:70" x14ac:dyDescent="0.25">
      <c r="A361" s="755" t="s">
        <v>499</v>
      </c>
    </row>
    <row r="362" spans="1:70" x14ac:dyDescent="0.25">
      <c r="A362" s="755" t="s">
        <v>712</v>
      </c>
    </row>
    <row r="363" spans="1:70" x14ac:dyDescent="0.25">
      <c r="A363" s="755" t="s">
        <v>459</v>
      </c>
      <c r="B363" s="757">
        <v>225.03859096661196</v>
      </c>
      <c r="C363" s="757">
        <v>238.40081787109398</v>
      </c>
      <c r="D363" s="757">
        <v>255.49913625772319</v>
      </c>
      <c r="E363" s="757">
        <v>230.9929746666815</v>
      </c>
      <c r="F363" s="757">
        <v>223.41247611699868</v>
      </c>
      <c r="G363" s="757">
        <v>235.2892736225177</v>
      </c>
      <c r="H363" s="757">
        <v>241.6920712265439</v>
      </c>
      <c r="I363" s="757">
        <v>246.56659612211084</v>
      </c>
      <c r="J363" s="757">
        <v>255.55094332875294</v>
      </c>
      <c r="K363" s="757">
        <v>264.57905396662414</v>
      </c>
      <c r="L363" s="757">
        <v>275.89920726734971</v>
      </c>
      <c r="M363" s="757">
        <v>287.49516661999758</v>
      </c>
      <c r="N363" s="757">
        <v>300.32909110683801</v>
      </c>
      <c r="O363" s="757">
        <v>313.11554742582229</v>
      </c>
      <c r="P363" s="757">
        <v>328.18192619930682</v>
      </c>
      <c r="Q363" s="757">
        <v>341.8235015289352</v>
      </c>
      <c r="R363" s="757">
        <v>355.09694320426638</v>
      </c>
      <c r="S363" s="757">
        <v>365.44612056098629</v>
      </c>
      <c r="T363" s="757">
        <v>378.29315112389759</v>
      </c>
      <c r="U363" s="757">
        <v>388.37155634393389</v>
      </c>
      <c r="V363" s="757">
        <v>402.59953615177363</v>
      </c>
      <c r="W363" s="757">
        <v>419.77981120164446</v>
      </c>
      <c r="X363" s="757">
        <v>438.87123825530841</v>
      </c>
      <c r="Y363" s="757">
        <v>455.24534715742953</v>
      </c>
      <c r="Z363" s="757">
        <v>473.03338245571979</v>
      </c>
    </row>
    <row r="364" spans="1:70" x14ac:dyDescent="0.25">
      <c r="A364" s="755" t="s">
        <v>466</v>
      </c>
      <c r="B364" s="757">
        <v>165.81601818957134</v>
      </c>
      <c r="C364" s="757">
        <v>172.89260864257801</v>
      </c>
      <c r="D364" s="757">
        <v>187.38257557629601</v>
      </c>
      <c r="E364" s="757">
        <v>169.14737359110225</v>
      </c>
      <c r="F364" s="757">
        <v>163.07263216137929</v>
      </c>
      <c r="G364" s="757">
        <v>172.91593328178766</v>
      </c>
      <c r="H364" s="757">
        <v>176.9297785804325</v>
      </c>
      <c r="I364" s="757">
        <v>182.88131988639063</v>
      </c>
      <c r="J364" s="757">
        <v>191.23749630338142</v>
      </c>
      <c r="K364" s="757">
        <v>199.89645601118545</v>
      </c>
      <c r="L364" s="757">
        <v>210.36479941888081</v>
      </c>
      <c r="M364" s="757">
        <v>221.36240217535854</v>
      </c>
      <c r="N364" s="757">
        <v>233.19080564556924</v>
      </c>
      <c r="O364" s="757">
        <v>244.70314616363081</v>
      </c>
      <c r="P364" s="757">
        <v>258.1051490216438</v>
      </c>
      <c r="Q364" s="757">
        <v>271.26123343313407</v>
      </c>
      <c r="R364" s="757">
        <v>283.50995205362011</v>
      </c>
      <c r="S364" s="757">
        <v>292.88584879534454</v>
      </c>
      <c r="T364" s="757">
        <v>303.70259464185926</v>
      </c>
      <c r="U364" s="757">
        <v>313.58347456242666</v>
      </c>
      <c r="V364" s="757">
        <v>325.89089746765683</v>
      </c>
      <c r="W364" s="757">
        <v>341.11550736031069</v>
      </c>
      <c r="X364" s="757">
        <v>358.21009848865214</v>
      </c>
      <c r="Y364" s="757">
        <v>374.9131546581271</v>
      </c>
      <c r="Z364" s="757">
        <v>392.1016075075479</v>
      </c>
    </row>
    <row r="365" spans="1:70" ht="13.8" thickBot="1" x14ac:dyDescent="0.3">
      <c r="A365" s="755" t="s">
        <v>501</v>
      </c>
      <c r="B365" s="757">
        <v>210.41252056252281</v>
      </c>
      <c r="C365" s="757">
        <v>226.88609313964801</v>
      </c>
      <c r="D365" s="757">
        <v>254.13497179068762</v>
      </c>
      <c r="E365" s="757">
        <v>187.2100922767749</v>
      </c>
      <c r="F365" s="757">
        <v>157.4270874391178</v>
      </c>
      <c r="G365" s="757">
        <v>180.83829470805441</v>
      </c>
      <c r="H365" s="757">
        <v>198.41655822177904</v>
      </c>
      <c r="I365" s="757">
        <v>216.64201952030527</v>
      </c>
      <c r="J365" s="757">
        <v>228.79975664936245</v>
      </c>
      <c r="K365" s="757">
        <v>241.15463361452254</v>
      </c>
      <c r="L365" s="757">
        <v>252.64480203410886</v>
      </c>
      <c r="M365" s="757">
        <v>265.1637238738445</v>
      </c>
      <c r="N365" s="757">
        <v>278.29776899368039</v>
      </c>
      <c r="O365" s="757">
        <v>289.61773721654419</v>
      </c>
      <c r="P365" s="757">
        <v>303.56832242347855</v>
      </c>
      <c r="Q365" s="757">
        <v>314.41390898844122</v>
      </c>
      <c r="R365" s="757">
        <v>323.63277263436424</v>
      </c>
      <c r="S365" s="757">
        <v>331.42426143912343</v>
      </c>
      <c r="T365" s="757">
        <v>339.57307272400601</v>
      </c>
      <c r="U365" s="757">
        <v>343.93727888891527</v>
      </c>
      <c r="V365" s="757">
        <v>351.82746805051073</v>
      </c>
      <c r="W365" s="757">
        <v>360.73339056833169</v>
      </c>
      <c r="X365" s="757">
        <v>371.92375563686846</v>
      </c>
      <c r="Y365" s="757">
        <v>381.22301587849751</v>
      </c>
      <c r="Z365" s="757">
        <v>389.10731115707301</v>
      </c>
    </row>
    <row r="366" spans="1:70" ht="13.8" thickBot="1" x14ac:dyDescent="0.3">
      <c r="A366" s="755" t="s">
        <v>473</v>
      </c>
      <c r="B366" s="757">
        <v>549.81888270324475</v>
      </c>
      <c r="C366" s="757">
        <v>596.84759521484398</v>
      </c>
      <c r="D366" s="757">
        <v>708.90187629235277</v>
      </c>
      <c r="E366" s="757">
        <v>406.38667462869051</v>
      </c>
      <c r="F366" s="757">
        <v>447.16295305198071</v>
      </c>
      <c r="G366" s="757">
        <v>542.65678113398656</v>
      </c>
      <c r="H366" s="757">
        <v>604.00010341071868</v>
      </c>
      <c r="I366" s="757">
        <v>661.06483901631009</v>
      </c>
      <c r="J366" s="757">
        <v>714.35686387994281</v>
      </c>
      <c r="K366" s="757">
        <v>764.16924059162022</v>
      </c>
      <c r="L366" s="757">
        <v>805.13331786340132</v>
      </c>
      <c r="M366" s="757">
        <v>850.39970498506295</v>
      </c>
      <c r="N366" s="757">
        <v>892.06783074940802</v>
      </c>
      <c r="O366" s="757">
        <v>929.55049698437085</v>
      </c>
      <c r="P366" s="757">
        <v>964.20679928883487</v>
      </c>
      <c r="Q366" s="757">
        <v>990.06920191633094</v>
      </c>
      <c r="R366" s="757">
        <v>1016.1557534719609</v>
      </c>
      <c r="S366" s="757">
        <v>1054.8326731961108</v>
      </c>
      <c r="T366" s="757">
        <v>1091.2729592511287</v>
      </c>
      <c r="U366" s="757">
        <v>1118.0349113947391</v>
      </c>
      <c r="V366" s="757">
        <v>1161.085260138974</v>
      </c>
      <c r="W366" s="757">
        <v>1181.9301954596156</v>
      </c>
      <c r="X366" s="757">
        <v>1232.4560893451367</v>
      </c>
      <c r="Y366" s="757">
        <v>1290.1595195386233</v>
      </c>
      <c r="Z366" s="757">
        <v>1322.0136898683704</v>
      </c>
      <c r="AA366" s="277">
        <f>Z536+($AI$366-$Y$536)/10</f>
        <v>5.5334229650972304</v>
      </c>
      <c r="AB366" s="277">
        <f t="shared" ref="AB366:AH366" si="27">AA366+($AI$366-$Y$536)/10</f>
        <v>5.5639341150042458</v>
      </c>
      <c r="AC366" s="277">
        <f t="shared" si="27"/>
        <v>5.5944452649112613</v>
      </c>
      <c r="AD366" s="277">
        <f t="shared" si="27"/>
        <v>5.6249564148182767</v>
      </c>
      <c r="AE366" s="277">
        <f t="shared" si="27"/>
        <v>5.6554675647252921</v>
      </c>
      <c r="AF366" s="277">
        <f t="shared" si="27"/>
        <v>5.6859787146323075</v>
      </c>
      <c r="AG366" s="277">
        <f t="shared" si="27"/>
        <v>5.716489864539323</v>
      </c>
      <c r="AH366" s="277">
        <f t="shared" si="27"/>
        <v>5.7470010144463384</v>
      </c>
      <c r="AI366" s="278">
        <f>T536*$E$742</f>
        <v>5.7775121643533494</v>
      </c>
      <c r="AJ366" s="277">
        <f>AI366+($AX$366-$AI$366)/15</f>
        <v>5.8429093568498098</v>
      </c>
      <c r="AK366" s="277">
        <f t="shared" ref="AK366:AW366" si="28">AJ366+($AX$366-$AI$366)/15</f>
        <v>5.9083065493462703</v>
      </c>
      <c r="AL366" s="277">
        <f t="shared" si="28"/>
        <v>5.9737037418427308</v>
      </c>
      <c r="AM366" s="277">
        <f t="shared" si="28"/>
        <v>6.0391009343391913</v>
      </c>
      <c r="AN366" s="277">
        <f t="shared" si="28"/>
        <v>6.1044981268356517</v>
      </c>
      <c r="AO366" s="277">
        <f t="shared" si="28"/>
        <v>6.1698953193321122</v>
      </c>
      <c r="AP366" s="277">
        <f t="shared" si="28"/>
        <v>6.2352925118285727</v>
      </c>
      <c r="AQ366" s="277">
        <f t="shared" si="28"/>
        <v>6.3006897043250332</v>
      </c>
      <c r="AR366" s="277">
        <f t="shared" si="28"/>
        <v>6.3660868968214936</v>
      </c>
      <c r="AS366" s="277">
        <f t="shared" si="28"/>
        <v>6.4314840893179541</v>
      </c>
      <c r="AT366" s="277">
        <f t="shared" si="28"/>
        <v>6.4968812818144146</v>
      </c>
      <c r="AU366" s="277">
        <f t="shared" si="28"/>
        <v>6.5622784743108751</v>
      </c>
      <c r="AV366" s="277">
        <f t="shared" si="28"/>
        <v>6.6276756668073356</v>
      </c>
      <c r="AW366" s="277">
        <f t="shared" si="28"/>
        <v>6.693072859303796</v>
      </c>
      <c r="AX366" s="278">
        <f>AI366*$B$742</f>
        <v>6.7584700518002592</v>
      </c>
      <c r="AY366" s="277">
        <f>AX366+($BM$366-$AX$366)/15</f>
        <v>6.8253907547799981</v>
      </c>
      <c r="AZ366" s="277">
        <f t="shared" ref="AZ366:BL366" si="29">AY366+($BM$366-$AX$366)/15</f>
        <v>6.8923114577597371</v>
      </c>
      <c r="BA366" s="277">
        <f t="shared" si="29"/>
        <v>6.959232160739476</v>
      </c>
      <c r="BB366" s="277">
        <f t="shared" si="29"/>
        <v>7.026152863719215</v>
      </c>
      <c r="BC366" s="277">
        <f t="shared" si="29"/>
        <v>7.0930735666989539</v>
      </c>
      <c r="BD366" s="277">
        <f t="shared" si="29"/>
        <v>7.1599942696786929</v>
      </c>
      <c r="BE366" s="277">
        <f t="shared" si="29"/>
        <v>7.2269149726584319</v>
      </c>
      <c r="BF366" s="277">
        <f t="shared" si="29"/>
        <v>7.2938356756381708</v>
      </c>
      <c r="BG366" s="277">
        <f t="shared" si="29"/>
        <v>7.3607563786179098</v>
      </c>
      <c r="BH366" s="277">
        <f t="shared" si="29"/>
        <v>7.4276770815976487</v>
      </c>
      <c r="BI366" s="277">
        <f t="shared" si="29"/>
        <v>7.4945977845773877</v>
      </c>
      <c r="BJ366" s="277">
        <f t="shared" si="29"/>
        <v>7.5615184875571266</v>
      </c>
      <c r="BK366" s="277">
        <f t="shared" si="29"/>
        <v>7.6284391905368656</v>
      </c>
      <c r="BL366" s="277">
        <f t="shared" si="29"/>
        <v>7.6953598935166045</v>
      </c>
      <c r="BM366" s="278">
        <f>AX366*$C$742</f>
        <v>7.7622805964963462</v>
      </c>
      <c r="BN366" s="277">
        <f>BM366+($BR$366-$BM$366)/5</f>
        <v>7.8391407838260445</v>
      </c>
      <c r="BO366" s="277">
        <f>BN366+($BR$366-$BM$366)/5</f>
        <v>7.9160009711557429</v>
      </c>
      <c r="BP366" s="277">
        <f>BO366+($BR$366-$BM$366)/5</f>
        <v>7.9928611584854412</v>
      </c>
      <c r="BQ366" s="277">
        <f>BP366+($BR$366-$BM$366)/5</f>
        <v>8.0697213458151396</v>
      </c>
      <c r="BR366" s="278">
        <f>BM366*$D$742</f>
        <v>8.1465815331448379</v>
      </c>
    </row>
    <row r="367" spans="1:70" x14ac:dyDescent="0.25">
      <c r="A367" s="755" t="s">
        <v>502</v>
      </c>
      <c r="B367" s="757">
        <v>1151.0859678463546</v>
      </c>
      <c r="C367" s="757">
        <v>1235.02709960938</v>
      </c>
      <c r="D367" s="757">
        <v>1405.9186066996403</v>
      </c>
      <c r="E367" s="757">
        <v>993.73713091111074</v>
      </c>
      <c r="F367" s="757">
        <v>991.07514876947641</v>
      </c>
      <c r="G367" s="757">
        <v>1131.7003147881212</v>
      </c>
      <c r="H367" s="757">
        <v>1221.038560105055</v>
      </c>
      <c r="I367" s="757">
        <v>1307.1547250090439</v>
      </c>
      <c r="J367" s="757">
        <v>1389.9450601614428</v>
      </c>
      <c r="K367" s="757">
        <v>1469.7993497059265</v>
      </c>
      <c r="L367" s="757">
        <v>1544.0421618496678</v>
      </c>
      <c r="M367" s="757">
        <v>1624.4209976542634</v>
      </c>
      <c r="N367" s="757">
        <v>1703.8854780296228</v>
      </c>
      <c r="O367" s="757">
        <v>1776.9868521708881</v>
      </c>
      <c r="P367" s="757">
        <v>1854.0622550605767</v>
      </c>
      <c r="Q367" s="757">
        <v>1917.5679054742993</v>
      </c>
      <c r="R367" s="757">
        <v>1978.3954213642144</v>
      </c>
      <c r="S367" s="757">
        <v>2044.5889248527621</v>
      </c>
      <c r="T367" s="757">
        <v>2112.8417777408945</v>
      </c>
      <c r="U367" s="757">
        <v>2163.9271994062915</v>
      </c>
      <c r="V367" s="757">
        <v>2241.4031618089139</v>
      </c>
      <c r="W367" s="757">
        <v>2303.558949985179</v>
      </c>
      <c r="X367" s="757">
        <v>2401.4612280803153</v>
      </c>
      <c r="Y367" s="757">
        <v>2501.5410135735665</v>
      </c>
      <c r="Z367" s="757">
        <v>2576.2560875804752</v>
      </c>
    </row>
    <row r="368" spans="1:70" ht="13.8" thickBot="1" x14ac:dyDescent="0.3">
      <c r="A368" s="755" t="s">
        <v>614</v>
      </c>
      <c r="B368" s="757">
        <v>3.1288517293273019E-2</v>
      </c>
      <c r="C368" s="757">
        <v>4.0145620703697205E-2</v>
      </c>
      <c r="D368" s="757">
        <v>3.8515830891447944E-2</v>
      </c>
      <c r="E368" s="757">
        <v>2.6303627333810531E-2</v>
      </c>
      <c r="F368" s="757">
        <v>5.6047443014104255E-2</v>
      </c>
      <c r="G368" s="757">
        <v>7.1119337023784479E-2</v>
      </c>
      <c r="H368" s="757">
        <v>8.8428224145552056E-2</v>
      </c>
      <c r="I368" s="757">
        <v>0.10266115711707489</v>
      </c>
      <c r="J368" s="757">
        <v>0.12491143634290662</v>
      </c>
      <c r="K368" s="757">
        <v>2.2293869286864165</v>
      </c>
      <c r="L368" s="757">
        <v>5.6123954184121017</v>
      </c>
      <c r="M368" s="757">
        <v>7.9566359351664051</v>
      </c>
      <c r="N368" s="757">
        <v>12.724991751969894</v>
      </c>
      <c r="O368" s="757">
        <v>19.495647700796784</v>
      </c>
      <c r="P368" s="757">
        <v>28.06371652814466</v>
      </c>
      <c r="Q368" s="757">
        <v>33.841758141316177</v>
      </c>
      <c r="R368" s="757">
        <v>47.452021910622882</v>
      </c>
      <c r="S368" s="757">
        <v>48.667640008057987</v>
      </c>
      <c r="T368" s="757">
        <v>47.767774332439714</v>
      </c>
      <c r="U368" s="757">
        <v>50.842459413568172</v>
      </c>
      <c r="V368" s="757">
        <v>54.12672288853372</v>
      </c>
      <c r="W368" s="757">
        <v>67.349033728123644</v>
      </c>
      <c r="X368" s="757">
        <v>72.870357898145016</v>
      </c>
      <c r="Y368" s="757">
        <v>82.472655922369356</v>
      </c>
      <c r="Z368" s="757">
        <v>85.74303480046683</v>
      </c>
    </row>
    <row r="369" spans="1:70" ht="13.8" thickBot="1" x14ac:dyDescent="0.3">
      <c r="A369" s="755" t="s">
        <v>504</v>
      </c>
      <c r="B369" s="757">
        <v>1151.1172301979784</v>
      </c>
      <c r="C369" s="757">
        <v>1235.06726074219</v>
      </c>
      <c r="D369" s="757">
        <v>1405.957155546361</v>
      </c>
      <c r="E369" s="757">
        <v>993.76346133595302</v>
      </c>
      <c r="F369" s="757">
        <v>991.13120249830877</v>
      </c>
      <c r="G369" s="757">
        <v>1131.7714475332546</v>
      </c>
      <c r="H369" s="757">
        <v>1221.1269368042056</v>
      </c>
      <c r="I369" s="757">
        <v>1307.2573637523753</v>
      </c>
      <c r="J369" s="757">
        <v>1390.0699789505047</v>
      </c>
      <c r="K369" s="757">
        <v>1472.0286986549243</v>
      </c>
      <c r="L369" s="757">
        <v>1549.6545225531884</v>
      </c>
      <c r="M369" s="757">
        <v>1632.3776685401217</v>
      </c>
      <c r="N369" s="757">
        <v>1716.6105344121597</v>
      </c>
      <c r="O369" s="757">
        <v>1796.4824632434897</v>
      </c>
      <c r="P369" s="757">
        <v>1882.1259667447755</v>
      </c>
      <c r="Q369" s="757">
        <v>1951.4096785174786</v>
      </c>
      <c r="R369" s="757">
        <v>2025.8475094892897</v>
      </c>
      <c r="S369" s="757">
        <v>2093.2565961526161</v>
      </c>
      <c r="T369" s="757">
        <v>2160.609578738799</v>
      </c>
      <c r="U369" s="757">
        <v>2214.7697023873047</v>
      </c>
      <c r="V369" s="757">
        <v>2295.5298624598372</v>
      </c>
      <c r="W369" s="757">
        <v>2370.9079156203875</v>
      </c>
      <c r="X369" s="757">
        <v>2474.3315685955818</v>
      </c>
      <c r="Y369" s="757">
        <v>2584.0136458368329</v>
      </c>
      <c r="Z369" s="757">
        <v>2661.9990499371279</v>
      </c>
      <c r="AA369" s="279">
        <f>Z539+($AI$369-$Y$539)/10</f>
        <v>15.611683809514826</v>
      </c>
      <c r="AB369" s="279">
        <f t="shared" ref="AB369:AH369" si="30">AA369+($AI$369-$Y$539)/10</f>
        <v>15.541748469704389</v>
      </c>
      <c r="AC369" s="279">
        <f t="shared" si="30"/>
        <v>15.471813129893953</v>
      </c>
      <c r="AD369" s="279">
        <f t="shared" si="30"/>
        <v>15.401877790083516</v>
      </c>
      <c r="AE369" s="279">
        <f t="shared" si="30"/>
        <v>15.331942450273079</v>
      </c>
      <c r="AF369" s="279">
        <f t="shared" si="30"/>
        <v>15.262007110462642</v>
      </c>
      <c r="AG369" s="279">
        <f t="shared" si="30"/>
        <v>15.192071770652205</v>
      </c>
      <c r="AH369" s="279">
        <f t="shared" si="30"/>
        <v>15.122136430841769</v>
      </c>
      <c r="AI369" s="280">
        <f>T539*$E$745</f>
        <v>15.052201091031337</v>
      </c>
      <c r="AJ369" s="279">
        <f>AI369+($AX$369-$AI$369)/15</f>
        <v>15.046283758755285</v>
      </c>
      <c r="AK369" s="279">
        <f t="shared" ref="AK369:AW369" si="31">AJ369+($AX$369-$AI$369)/15</f>
        <v>15.040366426479233</v>
      </c>
      <c r="AL369" s="279">
        <f t="shared" si="31"/>
        <v>15.034449094203181</v>
      </c>
      <c r="AM369" s="279">
        <f t="shared" si="31"/>
        <v>15.028531761927129</v>
      </c>
      <c r="AN369" s="279">
        <f t="shared" si="31"/>
        <v>15.022614429651076</v>
      </c>
      <c r="AO369" s="279">
        <f t="shared" si="31"/>
        <v>15.016697097375024</v>
      </c>
      <c r="AP369" s="279">
        <f t="shared" si="31"/>
        <v>15.010779765098972</v>
      </c>
      <c r="AQ369" s="279">
        <f t="shared" si="31"/>
        <v>15.00486243282292</v>
      </c>
      <c r="AR369" s="279">
        <f t="shared" si="31"/>
        <v>14.998945100546868</v>
      </c>
      <c r="AS369" s="279">
        <f t="shared" si="31"/>
        <v>14.993027768270816</v>
      </c>
      <c r="AT369" s="279">
        <f t="shared" si="31"/>
        <v>14.987110435994763</v>
      </c>
      <c r="AU369" s="279">
        <f t="shared" si="31"/>
        <v>14.981193103718711</v>
      </c>
      <c r="AV369" s="279">
        <f t="shared" si="31"/>
        <v>14.975275771442659</v>
      </c>
      <c r="AW369" s="279">
        <f t="shared" si="31"/>
        <v>14.969358439166607</v>
      </c>
      <c r="AX369" s="280">
        <f>AI369*$B$745</f>
        <v>14.963441106890555</v>
      </c>
      <c r="AY369" s="279">
        <f>AX369+($BM$369-$AX$369)/15</f>
        <v>14.972946595029557</v>
      </c>
      <c r="AZ369" s="279">
        <f t="shared" ref="AZ369:BL369" si="32">AY369+($BM$369-$AX$369)/15</f>
        <v>14.982452083168559</v>
      </c>
      <c r="BA369" s="279">
        <f t="shared" si="32"/>
        <v>14.991957571307561</v>
      </c>
      <c r="BB369" s="279">
        <f t="shared" si="32"/>
        <v>15.001463059446563</v>
      </c>
      <c r="BC369" s="279">
        <f t="shared" si="32"/>
        <v>15.010968547585565</v>
      </c>
      <c r="BD369" s="279">
        <f t="shared" si="32"/>
        <v>15.020474035724567</v>
      </c>
      <c r="BE369" s="279">
        <f t="shared" si="32"/>
        <v>15.029979523863569</v>
      </c>
      <c r="BF369" s="279">
        <f t="shared" si="32"/>
        <v>15.03948501200257</v>
      </c>
      <c r="BG369" s="279">
        <f t="shared" si="32"/>
        <v>15.048990500141572</v>
      </c>
      <c r="BH369" s="279">
        <f t="shared" si="32"/>
        <v>15.058495988280574</v>
      </c>
      <c r="BI369" s="279">
        <f t="shared" si="32"/>
        <v>15.068001476419576</v>
      </c>
      <c r="BJ369" s="279">
        <f t="shared" si="32"/>
        <v>15.077506964558578</v>
      </c>
      <c r="BK369" s="279">
        <f t="shared" si="32"/>
        <v>15.08701245269758</v>
      </c>
      <c r="BL369" s="279">
        <f t="shared" si="32"/>
        <v>15.096517940836582</v>
      </c>
      <c r="BM369" s="280">
        <f>AX369*$C$745</f>
        <v>15.106023428975591</v>
      </c>
      <c r="BN369" s="279">
        <f>BM369+($BR$369-$BM$369)/5</f>
        <v>15.115619492174282</v>
      </c>
      <c r="BO369" s="279">
        <f>BN369+($BR$369-$BM$369)/5</f>
        <v>15.125215555372973</v>
      </c>
      <c r="BP369" s="279">
        <f>BO369+($BR$369-$BM$369)/5</f>
        <v>15.134811618571664</v>
      </c>
      <c r="BQ369" s="279">
        <f>BP369+($BR$369-$BM$369)/5</f>
        <v>15.144407681770355</v>
      </c>
      <c r="BR369" s="280">
        <f>BM369*$D$745</f>
        <v>15.154003744969049</v>
      </c>
    </row>
    <row r="373" spans="1:70" ht="13.8" thickBot="1" x14ac:dyDescent="0.3">
      <c r="A373" s="755" t="s">
        <v>615</v>
      </c>
    </row>
    <row r="374" spans="1:70" ht="13.8" thickBot="1" x14ac:dyDescent="0.3">
      <c r="A374" s="755" t="s">
        <v>616</v>
      </c>
      <c r="AA374" s="281">
        <f>Z544+($AI$374-$Y$544)/10</f>
        <v>11.584123362673006</v>
      </c>
      <c r="AB374" s="281">
        <f t="shared" ref="AB374:AH374" si="33">AA374+($AI$374-$Y$544)/10</f>
        <v>11.952852829654059</v>
      </c>
      <c r="AC374" s="281">
        <f t="shared" si="33"/>
        <v>12.321582296635112</v>
      </c>
      <c r="AD374" s="281">
        <f t="shared" si="33"/>
        <v>12.690311763616165</v>
      </c>
      <c r="AE374" s="281">
        <f t="shared" si="33"/>
        <v>13.059041230597218</v>
      </c>
      <c r="AF374" s="281">
        <f t="shared" si="33"/>
        <v>13.427770697578271</v>
      </c>
      <c r="AG374" s="281">
        <f t="shared" si="33"/>
        <v>13.796500164559324</v>
      </c>
      <c r="AH374" s="281">
        <f t="shared" si="33"/>
        <v>14.165229631540377</v>
      </c>
      <c r="AI374" s="282">
        <f>T544*$E$744</f>
        <v>14.533959098521429</v>
      </c>
      <c r="AJ374" s="281">
        <f>AI374+($AX$374-$AI$374)/15</f>
        <v>14.687791105011014</v>
      </c>
      <c r="AK374" s="281">
        <f t="shared" ref="AK374:AW374" si="34">AJ374+($AX$374-$AI$374)/15</f>
        <v>14.841623111500599</v>
      </c>
      <c r="AL374" s="281">
        <f t="shared" si="34"/>
        <v>14.995455117990184</v>
      </c>
      <c r="AM374" s="281">
        <f t="shared" si="34"/>
        <v>15.14928712447977</v>
      </c>
      <c r="AN374" s="281">
        <f t="shared" si="34"/>
        <v>15.303119130969355</v>
      </c>
      <c r="AO374" s="281">
        <f t="shared" si="34"/>
        <v>15.45695113745894</v>
      </c>
      <c r="AP374" s="281">
        <f t="shared" si="34"/>
        <v>15.610783143948526</v>
      </c>
      <c r="AQ374" s="281">
        <f t="shared" si="34"/>
        <v>15.764615150438111</v>
      </c>
      <c r="AR374" s="281">
        <f t="shared" si="34"/>
        <v>15.918447156927696</v>
      </c>
      <c r="AS374" s="281">
        <f t="shared" si="34"/>
        <v>16.072279163417281</v>
      </c>
      <c r="AT374" s="281">
        <f t="shared" si="34"/>
        <v>16.226111169906865</v>
      </c>
      <c r="AU374" s="281">
        <f t="shared" si="34"/>
        <v>16.379943176396448</v>
      </c>
      <c r="AV374" s="281">
        <f t="shared" si="34"/>
        <v>16.533775182886032</v>
      </c>
      <c r="AW374" s="281">
        <f t="shared" si="34"/>
        <v>16.687607189375615</v>
      </c>
      <c r="AX374" s="282">
        <f>AI374*$B$744</f>
        <v>16.841439195865195</v>
      </c>
      <c r="AY374" s="281">
        <f>AX374+($BM$374-$AX$374)/15</f>
        <v>16.937333989857837</v>
      </c>
      <c r="AZ374" s="281">
        <f t="shared" ref="AZ374:BL374" si="35">AY374+($BM$374-$AX$374)/15</f>
        <v>17.033228783850479</v>
      </c>
      <c r="BA374" s="281">
        <f t="shared" si="35"/>
        <v>17.129123577843121</v>
      </c>
      <c r="BB374" s="281">
        <f t="shared" si="35"/>
        <v>17.225018371835763</v>
      </c>
      <c r="BC374" s="281">
        <f t="shared" si="35"/>
        <v>17.320913165828404</v>
      </c>
      <c r="BD374" s="281">
        <f t="shared" si="35"/>
        <v>17.416807959821046</v>
      </c>
      <c r="BE374" s="281">
        <f t="shared" si="35"/>
        <v>17.512702753813688</v>
      </c>
      <c r="BF374" s="281">
        <f t="shared" si="35"/>
        <v>17.60859754780633</v>
      </c>
      <c r="BG374" s="281">
        <f t="shared" si="35"/>
        <v>17.704492341798971</v>
      </c>
      <c r="BH374" s="281">
        <f t="shared" si="35"/>
        <v>17.800387135791613</v>
      </c>
      <c r="BI374" s="281">
        <f t="shared" si="35"/>
        <v>17.896281929784255</v>
      </c>
      <c r="BJ374" s="281">
        <f t="shared" si="35"/>
        <v>17.992176723776897</v>
      </c>
      <c r="BK374" s="281">
        <f t="shared" si="35"/>
        <v>18.088071517769539</v>
      </c>
      <c r="BL374" s="281">
        <f t="shared" si="35"/>
        <v>18.18396631176218</v>
      </c>
      <c r="BM374" s="282">
        <f>AX374*$C$744</f>
        <v>18.27986110575484</v>
      </c>
      <c r="BN374" s="281">
        <f>BM374+($BR$374-$BM$374)/5</f>
        <v>18.383946243287554</v>
      </c>
      <c r="BO374" s="281">
        <f>BN374+($BR$374-$BM$374)/5</f>
        <v>18.488031380820267</v>
      </c>
      <c r="BP374" s="281">
        <f>BO374+($BR$374-$BM$374)/5</f>
        <v>18.592116518352981</v>
      </c>
      <c r="BQ374" s="281">
        <f>BP374+($BR$374-$BM$374)/5</f>
        <v>18.696201655885694</v>
      </c>
      <c r="BR374" s="282">
        <f>BM374*$D$744</f>
        <v>18.800286793418415</v>
      </c>
    </row>
    <row r="375" spans="1:70" ht="13.8" thickBot="1" x14ac:dyDescent="0.3">
      <c r="A375" s="755" t="s">
        <v>617</v>
      </c>
    </row>
    <row r="376" spans="1:70" ht="13.8" thickBot="1" x14ac:dyDescent="0.3">
      <c r="A376" s="755" t="s">
        <v>713</v>
      </c>
      <c r="AA376" s="281">
        <f>Z546+($AI$376-$Y$546)/10</f>
        <v>13.665763245709009</v>
      </c>
      <c r="AB376" s="281">
        <f t="shared" ref="AB376:AH376" si="36">AA376+($AI$376-$Y$546)/10</f>
        <v>14.091688195895063</v>
      </c>
      <c r="AC376" s="281">
        <f t="shared" si="36"/>
        <v>14.517613146081118</v>
      </c>
      <c r="AD376" s="281">
        <f t="shared" si="36"/>
        <v>14.943538096267172</v>
      </c>
      <c r="AE376" s="281">
        <f t="shared" si="36"/>
        <v>15.369463046453227</v>
      </c>
      <c r="AF376" s="281">
        <f t="shared" si="36"/>
        <v>15.795387996639281</v>
      </c>
      <c r="AG376" s="281">
        <f t="shared" si="36"/>
        <v>16.221312946825336</v>
      </c>
      <c r="AH376" s="281">
        <f t="shared" si="36"/>
        <v>16.64723789701139</v>
      </c>
      <c r="AI376" s="282">
        <f>T546*$E$744</f>
        <v>17.073162847197445</v>
      </c>
      <c r="AJ376" s="281">
        <f>AI376+($AX$376-$AI$376)/15</f>
        <v>17.253870586919582</v>
      </c>
      <c r="AK376" s="281">
        <f t="shared" ref="AK376:AW376" si="37">AJ376+($AX$376-$AI$376)/15</f>
        <v>17.43457832664172</v>
      </c>
      <c r="AL376" s="281">
        <f t="shared" si="37"/>
        <v>17.615286066363858</v>
      </c>
      <c r="AM376" s="281">
        <f t="shared" si="37"/>
        <v>17.795993806085995</v>
      </c>
      <c r="AN376" s="281">
        <f t="shared" si="37"/>
        <v>17.976701545808133</v>
      </c>
      <c r="AO376" s="281">
        <f t="shared" si="37"/>
        <v>18.157409285530271</v>
      </c>
      <c r="AP376" s="281">
        <f t="shared" si="37"/>
        <v>18.338117025252409</v>
      </c>
      <c r="AQ376" s="281">
        <f t="shared" si="37"/>
        <v>18.518824764974546</v>
      </c>
      <c r="AR376" s="281">
        <f t="shared" si="37"/>
        <v>18.699532504696684</v>
      </c>
      <c r="AS376" s="281">
        <f t="shared" si="37"/>
        <v>18.880240244418822</v>
      </c>
      <c r="AT376" s="281">
        <f t="shared" si="37"/>
        <v>19.060947984140959</v>
      </c>
      <c r="AU376" s="281">
        <f t="shared" si="37"/>
        <v>19.241655723863097</v>
      </c>
      <c r="AV376" s="281">
        <f t="shared" si="37"/>
        <v>19.422363463585235</v>
      </c>
      <c r="AW376" s="281">
        <f t="shared" si="37"/>
        <v>19.603071203307373</v>
      </c>
      <c r="AX376" s="282">
        <f>AI376*$B$744</f>
        <v>19.783778943029514</v>
      </c>
      <c r="AY376" s="281">
        <f>AX376+($BM$376-$AX$376)/15</f>
        <v>19.896427356509733</v>
      </c>
      <c r="AZ376" s="281">
        <f t="shared" ref="AZ376:BL376" si="38">AY376+($BM$376-$AX$376)/15</f>
        <v>20.009075769989952</v>
      </c>
      <c r="BA376" s="281">
        <f t="shared" si="38"/>
        <v>20.121724183470171</v>
      </c>
      <c r="BB376" s="281">
        <f t="shared" si="38"/>
        <v>20.23437259695039</v>
      </c>
      <c r="BC376" s="281">
        <f t="shared" si="38"/>
        <v>20.347021010430609</v>
      </c>
      <c r="BD376" s="281">
        <f t="shared" si="38"/>
        <v>20.459669423910828</v>
      </c>
      <c r="BE376" s="281">
        <f t="shared" si="38"/>
        <v>20.572317837391047</v>
      </c>
      <c r="BF376" s="281">
        <f t="shared" si="38"/>
        <v>20.684966250871266</v>
      </c>
      <c r="BG376" s="281">
        <f t="shared" si="38"/>
        <v>20.797614664351485</v>
      </c>
      <c r="BH376" s="281">
        <f t="shared" si="38"/>
        <v>20.910263077831704</v>
      </c>
      <c r="BI376" s="281">
        <f t="shared" si="38"/>
        <v>21.022911491311923</v>
      </c>
      <c r="BJ376" s="281">
        <f t="shared" si="38"/>
        <v>21.135559904792142</v>
      </c>
      <c r="BK376" s="281">
        <f t="shared" si="38"/>
        <v>21.248208318272361</v>
      </c>
      <c r="BL376" s="281">
        <f t="shared" si="38"/>
        <v>21.36085673175258</v>
      </c>
      <c r="BM376" s="282">
        <f>AX376*$C$744</f>
        <v>21.47350514523281</v>
      </c>
      <c r="BN376" s="281">
        <f>BM376+($BR$376-$BM$376)/5</f>
        <v>21.595774823509927</v>
      </c>
      <c r="BO376" s="281">
        <f>BN376+($BR$376-$BM$376)/5</f>
        <v>21.718044501787045</v>
      </c>
      <c r="BP376" s="281">
        <f>BO376+($BR$376-$BM$376)/5</f>
        <v>21.840314180064162</v>
      </c>
      <c r="BQ376" s="281">
        <f>BP376+($BR$376-$BM$376)/5</f>
        <v>21.962583858341279</v>
      </c>
      <c r="BR376" s="282">
        <f>BM376*$D$744</f>
        <v>22.084853536618393</v>
      </c>
    </row>
    <row r="377" spans="1:70" x14ac:dyDescent="0.25">
      <c r="A377" s="755" t="s">
        <v>714</v>
      </c>
    </row>
    <row r="378" spans="1:70" x14ac:dyDescent="0.25">
      <c r="A378" s="755" t="s">
        <v>634</v>
      </c>
    </row>
    <row r="379" spans="1:70" ht="13.8" thickBot="1" x14ac:dyDescent="0.3">
      <c r="A379" s="755" t="s">
        <v>635</v>
      </c>
    </row>
    <row r="380" spans="1:70" ht="13.8" thickBot="1" x14ac:dyDescent="0.3">
      <c r="A380" s="755" t="s">
        <v>636</v>
      </c>
      <c r="AA380" s="283">
        <f>Z550+($AI$380-$Y$550)/10</f>
        <v>17.944433063730909</v>
      </c>
      <c r="AB380" s="283">
        <f t="shared" ref="AB380:AH380" si="39">AA380+($AI$380-$Y$550)/10</f>
        <v>17.852387205459664</v>
      </c>
      <c r="AC380" s="283">
        <f t="shared" si="39"/>
        <v>17.760341347188419</v>
      </c>
      <c r="AD380" s="283">
        <f t="shared" si="39"/>
        <v>17.668295488917174</v>
      </c>
      <c r="AE380" s="283">
        <f t="shared" si="39"/>
        <v>17.576249630645929</v>
      </c>
      <c r="AF380" s="283">
        <f t="shared" si="39"/>
        <v>17.484203772374684</v>
      </c>
      <c r="AG380" s="283">
        <f t="shared" si="39"/>
        <v>17.392157914103439</v>
      </c>
      <c r="AH380" s="283">
        <f t="shared" si="39"/>
        <v>17.300112055832194</v>
      </c>
      <c r="AI380" s="284">
        <f>T550*$E$747</f>
        <v>17.208066197560942</v>
      </c>
      <c r="AJ380" s="283">
        <f>AI380+($AX$380-$AI$380)/15</f>
        <v>17.219509839491277</v>
      </c>
      <c r="AK380" s="283">
        <f t="shared" ref="AK380:AW380" si="40">AJ380+($AX$380-$AI$380)/15</f>
        <v>17.230953481421611</v>
      </c>
      <c r="AL380" s="283">
        <f t="shared" si="40"/>
        <v>17.242397123351946</v>
      </c>
      <c r="AM380" s="283">
        <f t="shared" si="40"/>
        <v>17.253840765282281</v>
      </c>
      <c r="AN380" s="283">
        <f t="shared" si="40"/>
        <v>17.265284407212615</v>
      </c>
      <c r="AO380" s="283">
        <f t="shared" si="40"/>
        <v>17.27672804914295</v>
      </c>
      <c r="AP380" s="283">
        <f t="shared" si="40"/>
        <v>17.288171691073284</v>
      </c>
      <c r="AQ380" s="283">
        <f t="shared" si="40"/>
        <v>17.299615333003619</v>
      </c>
      <c r="AR380" s="283">
        <f t="shared" si="40"/>
        <v>17.311058974933953</v>
      </c>
      <c r="AS380" s="283">
        <f t="shared" si="40"/>
        <v>17.322502616864288</v>
      </c>
      <c r="AT380" s="283">
        <f t="shared" si="40"/>
        <v>17.333946258794622</v>
      </c>
      <c r="AU380" s="283">
        <f t="shared" si="40"/>
        <v>17.345389900724957</v>
      </c>
      <c r="AV380" s="283">
        <f t="shared" si="40"/>
        <v>17.356833542655291</v>
      </c>
      <c r="AW380" s="283">
        <f t="shared" si="40"/>
        <v>17.368277184585626</v>
      </c>
      <c r="AX380" s="284">
        <f>AI380*$B$747</f>
        <v>17.379720826515971</v>
      </c>
      <c r="AY380" s="283">
        <f>AX380+($BM$380-$AX$380)/15</f>
        <v>17.385626979648983</v>
      </c>
      <c r="AZ380" s="283">
        <f t="shared" ref="AZ380:BL380" si="41">AY380+($BM$380-$AX$380)/15</f>
        <v>17.391533132781994</v>
      </c>
      <c r="BA380" s="283">
        <f t="shared" si="41"/>
        <v>17.397439285915006</v>
      </c>
      <c r="BB380" s="283">
        <f t="shared" si="41"/>
        <v>17.403345439048017</v>
      </c>
      <c r="BC380" s="283">
        <f t="shared" si="41"/>
        <v>17.409251592181029</v>
      </c>
      <c r="BD380" s="283">
        <f t="shared" si="41"/>
        <v>17.41515774531404</v>
      </c>
      <c r="BE380" s="283">
        <f t="shared" si="41"/>
        <v>17.421063898447052</v>
      </c>
      <c r="BF380" s="283">
        <f t="shared" si="41"/>
        <v>17.426970051580064</v>
      </c>
      <c r="BG380" s="283">
        <f t="shared" si="41"/>
        <v>17.432876204713075</v>
      </c>
      <c r="BH380" s="283">
        <f t="shared" si="41"/>
        <v>17.438782357846087</v>
      </c>
      <c r="BI380" s="283">
        <f t="shared" si="41"/>
        <v>17.444688510979098</v>
      </c>
      <c r="BJ380" s="283">
        <f t="shared" si="41"/>
        <v>17.45059466411211</v>
      </c>
      <c r="BK380" s="283">
        <f t="shared" si="41"/>
        <v>17.456500817245121</v>
      </c>
      <c r="BL380" s="283">
        <f t="shared" si="41"/>
        <v>17.462406970378133</v>
      </c>
      <c r="BM380" s="284">
        <f>AX380*$C$747</f>
        <v>17.468313123511169</v>
      </c>
      <c r="BN380" s="283">
        <f>BM380+($BR$380-$BM$380)/5</f>
        <v>17.474249382977746</v>
      </c>
      <c r="BO380" s="283">
        <f>BN380+($BR$380-$BM$380)/5</f>
        <v>17.480185642444322</v>
      </c>
      <c r="BP380" s="283">
        <f>BO380+($BR$380-$BM$380)/5</f>
        <v>17.486121901910899</v>
      </c>
      <c r="BQ380" s="283">
        <f>BP380+($BR$380-$BM$380)/5</f>
        <v>17.492058161377475</v>
      </c>
      <c r="BR380" s="284">
        <f>BM380*$D$747</f>
        <v>17.497994420844059</v>
      </c>
    </row>
    <row r="381" spans="1:70" x14ac:dyDescent="0.25">
      <c r="A381" s="755" t="s">
        <v>637</v>
      </c>
    </row>
    <row r="382" spans="1:70" x14ac:dyDescent="0.25">
      <c r="A382" s="755" t="s">
        <v>638</v>
      </c>
    </row>
    <row r="383" spans="1:70" x14ac:dyDescent="0.25">
      <c r="A383" s="755" t="s">
        <v>639</v>
      </c>
    </row>
    <row r="384" spans="1:70" x14ac:dyDescent="0.25">
      <c r="A384" s="755" t="s">
        <v>531</v>
      </c>
    </row>
    <row r="385" spans="1:70" x14ac:dyDescent="0.25">
      <c r="A385" s="755" t="s">
        <v>715</v>
      </c>
    </row>
    <row r="386" spans="1:70" x14ac:dyDescent="0.25">
      <c r="A386" s="755" t="s">
        <v>716</v>
      </c>
    </row>
    <row r="387" spans="1:70" x14ac:dyDescent="0.25">
      <c r="A387" s="755" t="s">
        <v>717</v>
      </c>
    </row>
    <row r="388" spans="1:70" x14ac:dyDescent="0.25">
      <c r="A388" s="755" t="s">
        <v>718</v>
      </c>
    </row>
    <row r="389" spans="1:70" x14ac:dyDescent="0.25">
      <c r="A389" s="755" t="s">
        <v>719</v>
      </c>
    </row>
    <row r="390" spans="1:70" x14ac:dyDescent="0.25">
      <c r="A390" s="755" t="s">
        <v>720</v>
      </c>
    </row>
    <row r="391" spans="1:70" ht="13.8" thickBot="1" x14ac:dyDescent="0.3">
      <c r="A391" s="755" t="s">
        <v>721</v>
      </c>
    </row>
    <row r="392" spans="1:70" ht="13.8" thickBot="1" x14ac:dyDescent="0.3">
      <c r="A392" s="755" t="s">
        <v>722</v>
      </c>
      <c r="AA392" s="277">
        <f>Z562+($AI$392-$Y$562)/10</f>
        <v>5.5024940130181221</v>
      </c>
      <c r="AB392" s="277">
        <f t="shared" ref="AB392:AH392" si="42">AA392+($AI$392-$Y$562)/10</f>
        <v>5.5327298577229831</v>
      </c>
      <c r="AC392" s="277">
        <f t="shared" si="42"/>
        <v>5.5629657024278441</v>
      </c>
      <c r="AD392" s="277">
        <f t="shared" si="42"/>
        <v>5.593201547132705</v>
      </c>
      <c r="AE392" s="277">
        <f t="shared" si="42"/>
        <v>5.623437391837566</v>
      </c>
      <c r="AF392" s="277">
        <f t="shared" si="42"/>
        <v>5.6536732365424269</v>
      </c>
      <c r="AG392" s="277">
        <f t="shared" si="42"/>
        <v>5.6839090812472879</v>
      </c>
      <c r="AH392" s="277">
        <f t="shared" si="42"/>
        <v>5.7141449259521488</v>
      </c>
      <c r="AI392" s="278">
        <f>T562*$E$742</f>
        <v>5.7443807706570116</v>
      </c>
      <c r="AJ392" s="277">
        <f>AI392+($AX$392-$AI$392)/15</f>
        <v>5.809402940121136</v>
      </c>
      <c r="AK392" s="277">
        <f t="shared" ref="AK392:AW392" si="43">AJ392+($AX$392-$AI$392)/15</f>
        <v>5.8744251095852604</v>
      </c>
      <c r="AL392" s="277">
        <f t="shared" si="43"/>
        <v>5.9394472790493849</v>
      </c>
      <c r="AM392" s="277">
        <f t="shared" si="43"/>
        <v>6.0044694485135093</v>
      </c>
      <c r="AN392" s="277">
        <f t="shared" si="43"/>
        <v>6.0694916179776337</v>
      </c>
      <c r="AO392" s="277">
        <f t="shared" si="43"/>
        <v>6.1345137874417581</v>
      </c>
      <c r="AP392" s="277">
        <f t="shared" si="43"/>
        <v>6.1995359569058825</v>
      </c>
      <c r="AQ392" s="277">
        <f t="shared" si="43"/>
        <v>6.264558126370007</v>
      </c>
      <c r="AR392" s="277">
        <f t="shared" si="43"/>
        <v>6.3295802958341314</v>
      </c>
      <c r="AS392" s="277">
        <f t="shared" si="43"/>
        <v>6.3946024652982558</v>
      </c>
      <c r="AT392" s="277">
        <f t="shared" si="43"/>
        <v>6.4596246347623802</v>
      </c>
      <c r="AU392" s="277">
        <f t="shared" si="43"/>
        <v>6.5246468042265047</v>
      </c>
      <c r="AV392" s="277">
        <f t="shared" si="43"/>
        <v>6.5896689736906291</v>
      </c>
      <c r="AW392" s="277">
        <f t="shared" si="43"/>
        <v>6.6546911431547535</v>
      </c>
      <c r="AX392" s="278">
        <f>AI392*$B$742</f>
        <v>6.7197133126188779</v>
      </c>
      <c r="AY392" s="277">
        <f>AX392+($BM$392-$AX$392)/15</f>
        <v>6.7862502559294402</v>
      </c>
      <c r="AZ392" s="277">
        <f t="shared" ref="AZ392:BL392" si="44">AY392+($BM$392-$AX$392)/15</f>
        <v>6.8527871992400025</v>
      </c>
      <c r="BA392" s="277">
        <f t="shared" si="44"/>
        <v>6.9193241425505647</v>
      </c>
      <c r="BB392" s="277">
        <f t="shared" si="44"/>
        <v>6.985861085861127</v>
      </c>
      <c r="BC392" s="277">
        <f t="shared" si="44"/>
        <v>7.0523980291716892</v>
      </c>
      <c r="BD392" s="277">
        <f t="shared" si="44"/>
        <v>7.1189349724822515</v>
      </c>
      <c r="BE392" s="277">
        <f t="shared" si="44"/>
        <v>7.1854719157928137</v>
      </c>
      <c r="BF392" s="277">
        <f t="shared" si="44"/>
        <v>7.252008859103376</v>
      </c>
      <c r="BG392" s="277">
        <f t="shared" si="44"/>
        <v>7.3185458024139383</v>
      </c>
      <c r="BH392" s="277">
        <f t="shared" si="44"/>
        <v>7.3850827457245005</v>
      </c>
      <c r="BI392" s="277">
        <f t="shared" si="44"/>
        <v>7.4516196890350628</v>
      </c>
      <c r="BJ392" s="277">
        <f t="shared" si="44"/>
        <v>7.518156632345625</v>
      </c>
      <c r="BK392" s="277">
        <f t="shared" si="44"/>
        <v>7.5846935756561873</v>
      </c>
      <c r="BL392" s="277">
        <f t="shared" si="44"/>
        <v>7.6512305189667495</v>
      </c>
      <c r="BM392" s="278">
        <f>AX392*$C$742</f>
        <v>7.7177674622773127</v>
      </c>
      <c r="BN392" s="277">
        <f>BM392+($BR$392-$BM$392)/5</f>
        <v>7.7941868915344088</v>
      </c>
      <c r="BO392" s="277">
        <f>BN392+($BR$392-$BM$392)/5</f>
        <v>7.8706063207915049</v>
      </c>
      <c r="BP392" s="277">
        <f>BO392+($BR$392-$BM$392)/5</f>
        <v>7.947025750048601</v>
      </c>
      <c r="BQ392" s="277">
        <f>BP392+($BR$392-$BM$392)/5</f>
        <v>8.023445179305698</v>
      </c>
      <c r="BR392" s="278">
        <f>BM392*$D$742</f>
        <v>8.099864608562795</v>
      </c>
    </row>
    <row r="393" spans="1:70" ht="13.8" thickBot="1" x14ac:dyDescent="0.3">
      <c r="A393" s="755" t="s">
        <v>723</v>
      </c>
      <c r="AA393" s="285">
        <f>Z563+($AI$393-$Y$563)/10</f>
        <v>1.3116492415795387</v>
      </c>
      <c r="AB393" s="285">
        <f t="shared" ref="AB393:AH393" si="45">AA393+($AI$393-$Y$563)/10</f>
        <v>1.314474997718583</v>
      </c>
      <c r="AC393" s="285">
        <f t="shared" si="45"/>
        <v>1.3173007538576273</v>
      </c>
      <c r="AD393" s="285">
        <f t="shared" si="45"/>
        <v>1.3201265099966717</v>
      </c>
      <c r="AE393" s="285">
        <f t="shared" si="45"/>
        <v>1.322952266135716</v>
      </c>
      <c r="AF393" s="285">
        <f t="shared" si="45"/>
        <v>1.3257780222747604</v>
      </c>
      <c r="AG393" s="285">
        <f t="shared" si="45"/>
        <v>1.3286037784138047</v>
      </c>
      <c r="AH393" s="285">
        <f t="shared" si="45"/>
        <v>1.3314295345528491</v>
      </c>
      <c r="AI393" s="286">
        <f>T563*$E$740</f>
        <v>1.3342552906918941</v>
      </c>
      <c r="AJ393" s="285">
        <f>AI393+($AX$393-$AI$393)/15</f>
        <v>1.3381671025139799</v>
      </c>
      <c r="AK393" s="285">
        <f t="shared" ref="AK393:AW393" si="46">AJ393+($AX$393-$AI$393)/15</f>
        <v>1.3420789143360656</v>
      </c>
      <c r="AL393" s="285">
        <f t="shared" si="46"/>
        <v>1.3459907261581514</v>
      </c>
      <c r="AM393" s="285">
        <f t="shared" si="46"/>
        <v>1.3499025379802372</v>
      </c>
      <c r="AN393" s="285">
        <f t="shared" si="46"/>
        <v>1.353814349802323</v>
      </c>
      <c r="AO393" s="285">
        <f t="shared" si="46"/>
        <v>1.3577261616244087</v>
      </c>
      <c r="AP393" s="285">
        <f t="shared" si="46"/>
        <v>1.3616379734464945</v>
      </c>
      <c r="AQ393" s="285">
        <f t="shared" si="46"/>
        <v>1.3655497852685803</v>
      </c>
      <c r="AR393" s="285">
        <f t="shared" si="46"/>
        <v>1.3694615970906661</v>
      </c>
      <c r="AS393" s="285">
        <f t="shared" si="46"/>
        <v>1.3733734089127518</v>
      </c>
      <c r="AT393" s="285">
        <f t="shared" si="46"/>
        <v>1.3772852207348376</v>
      </c>
      <c r="AU393" s="285">
        <f t="shared" si="46"/>
        <v>1.3811970325569234</v>
      </c>
      <c r="AV393" s="285">
        <f t="shared" si="46"/>
        <v>1.3851088443790092</v>
      </c>
      <c r="AW393" s="285">
        <f t="shared" si="46"/>
        <v>1.3890206562010949</v>
      </c>
      <c r="AX393" s="286">
        <f>AI393*$B$740</f>
        <v>1.3929324680231794</v>
      </c>
      <c r="AY393" s="285">
        <f>AX393+($BM$393-$AX$393)/15</f>
        <v>1.3955742685410359</v>
      </c>
      <c r="AZ393" s="285">
        <f t="shared" ref="AZ393:BL393" si="47">AY393+($BM$393-$AX$393)/15</f>
        <v>1.3982160690588925</v>
      </c>
      <c r="BA393" s="285">
        <f t="shared" si="47"/>
        <v>1.4008578695767491</v>
      </c>
      <c r="BB393" s="285">
        <f t="shared" si="47"/>
        <v>1.4034996700946056</v>
      </c>
      <c r="BC393" s="285">
        <f t="shared" si="47"/>
        <v>1.4061414706124622</v>
      </c>
      <c r="BD393" s="285">
        <f t="shared" si="47"/>
        <v>1.4087832711303188</v>
      </c>
      <c r="BE393" s="285">
        <f t="shared" si="47"/>
        <v>1.4114250716481753</v>
      </c>
      <c r="BF393" s="285">
        <f t="shared" si="47"/>
        <v>1.4140668721660319</v>
      </c>
      <c r="BG393" s="285">
        <f t="shared" si="47"/>
        <v>1.4167086726838884</v>
      </c>
      <c r="BH393" s="285">
        <f t="shared" si="47"/>
        <v>1.419350473201745</v>
      </c>
      <c r="BI393" s="285">
        <f t="shared" si="47"/>
        <v>1.4219922737196016</v>
      </c>
      <c r="BJ393" s="285">
        <f t="shared" si="47"/>
        <v>1.4246340742374581</v>
      </c>
      <c r="BK393" s="285">
        <f t="shared" si="47"/>
        <v>1.4272758747553147</v>
      </c>
      <c r="BL393" s="285">
        <f t="shared" si="47"/>
        <v>1.4299176752731713</v>
      </c>
      <c r="BM393" s="286">
        <f>AX393*$C$740</f>
        <v>1.4325594757910274</v>
      </c>
      <c r="BN393" s="285">
        <f>BM393+($BR$393-$BM$393)/5</f>
        <v>1.4352764318903966</v>
      </c>
      <c r="BO393" s="285">
        <f>BN393+($BR$393-$BM$393)/5</f>
        <v>1.4379933879897657</v>
      </c>
      <c r="BP393" s="285">
        <f>BO393+($BR$393-$BM$393)/5</f>
        <v>1.4407103440891349</v>
      </c>
      <c r="BQ393" s="285">
        <f>BP393+($BR$393-$BM$393)/5</f>
        <v>1.4434273001885041</v>
      </c>
      <c r="BR393" s="286">
        <f>BM393*$D$740</f>
        <v>1.4461442562878735</v>
      </c>
    </row>
    <row r="394" spans="1:70" x14ac:dyDescent="0.25">
      <c r="A394" s="755" t="s">
        <v>724</v>
      </c>
    </row>
    <row r="395" spans="1:70" x14ac:dyDescent="0.25">
      <c r="A395" s="755" t="s">
        <v>725</v>
      </c>
    </row>
    <row r="396" spans="1:70" x14ac:dyDescent="0.25">
      <c r="A396" s="755" t="s">
        <v>726</v>
      </c>
    </row>
    <row r="397" spans="1:70" x14ac:dyDescent="0.25">
      <c r="A397" s="755" t="s">
        <v>727</v>
      </c>
    </row>
    <row r="403" spans="1:26" x14ac:dyDescent="0.25">
      <c r="A403" s="300" t="s">
        <v>842</v>
      </c>
      <c r="B403" s="300"/>
      <c r="C403" s="300"/>
      <c r="D403" s="300"/>
      <c r="E403" s="300"/>
      <c r="F403" s="300"/>
      <c r="G403" s="300"/>
      <c r="H403" s="300"/>
      <c r="I403" s="300"/>
      <c r="J403" s="300"/>
      <c r="K403" s="300"/>
      <c r="L403" s="300"/>
      <c r="M403" s="300"/>
      <c r="N403" s="300"/>
      <c r="O403" s="300"/>
      <c r="P403" s="300"/>
      <c r="Q403" s="300"/>
      <c r="R403" s="300"/>
      <c r="S403" s="300"/>
      <c r="T403" s="300"/>
      <c r="U403" s="300"/>
      <c r="V403" s="300"/>
      <c r="W403" s="300"/>
      <c r="X403" s="300"/>
      <c r="Y403" s="300"/>
      <c r="Z403" s="300"/>
    </row>
    <row r="404" spans="1:26" x14ac:dyDescent="0.25">
      <c r="A404" s="300" t="s">
        <v>586</v>
      </c>
      <c r="B404" s="300"/>
      <c r="C404" s="300"/>
      <c r="D404" s="300"/>
      <c r="E404" s="300"/>
      <c r="F404" s="300"/>
      <c r="G404" s="300"/>
      <c r="H404" s="300"/>
      <c r="I404" s="300"/>
      <c r="J404" s="300"/>
      <c r="K404" s="300"/>
      <c r="L404" s="300"/>
      <c r="M404" s="300"/>
      <c r="N404" s="300"/>
      <c r="O404" s="300"/>
      <c r="P404" s="300"/>
      <c r="Q404" s="300"/>
      <c r="R404" s="300"/>
      <c r="S404" s="300"/>
      <c r="T404" s="300"/>
      <c r="U404" s="300"/>
      <c r="V404" s="300"/>
      <c r="W404" s="300"/>
      <c r="X404" s="300"/>
      <c r="Y404" s="300"/>
      <c r="Z404" s="300"/>
    </row>
    <row r="405" spans="1:26" x14ac:dyDescent="0.25">
      <c r="A405" s="300" t="s">
        <v>587</v>
      </c>
      <c r="B405" s="300"/>
      <c r="C405" s="300"/>
      <c r="D405" s="300"/>
      <c r="E405" s="300"/>
      <c r="F405" s="300"/>
      <c r="G405" s="300"/>
      <c r="H405" s="300"/>
      <c r="I405" s="300"/>
      <c r="J405" s="300"/>
      <c r="K405" s="300"/>
      <c r="L405" s="300"/>
      <c r="M405" s="300"/>
      <c r="N405" s="300"/>
      <c r="O405" s="300"/>
      <c r="P405" s="300"/>
      <c r="Q405" s="300"/>
      <c r="R405" s="300"/>
      <c r="S405" s="300"/>
      <c r="T405" s="300"/>
      <c r="U405" s="300"/>
      <c r="V405" s="300"/>
      <c r="W405" s="300"/>
      <c r="X405" s="300"/>
      <c r="Y405" s="300"/>
      <c r="Z405" s="300"/>
    </row>
    <row r="406" spans="1:26" x14ac:dyDescent="0.25">
      <c r="A406" s="300"/>
      <c r="B406" s="300"/>
      <c r="C406" s="300"/>
      <c r="D406" s="300"/>
      <c r="E406" s="300"/>
      <c r="F406" s="300"/>
      <c r="G406" s="300"/>
      <c r="H406" s="300"/>
      <c r="I406" s="300"/>
      <c r="J406" s="300"/>
      <c r="K406" s="300"/>
      <c r="L406" s="300"/>
      <c r="M406" s="300"/>
      <c r="N406" s="300"/>
      <c r="O406" s="300"/>
      <c r="P406" s="300"/>
      <c r="Q406" s="300"/>
      <c r="R406" s="300"/>
      <c r="S406" s="300"/>
      <c r="T406" s="300"/>
      <c r="U406" s="300"/>
      <c r="V406" s="300"/>
      <c r="W406" s="300"/>
      <c r="X406" s="300"/>
      <c r="Y406" s="300"/>
      <c r="Z406" s="300"/>
    </row>
    <row r="407" spans="1:26" x14ac:dyDescent="0.25">
      <c r="A407" s="300" t="s">
        <v>433</v>
      </c>
      <c r="B407" s="300"/>
      <c r="C407" s="300"/>
      <c r="D407" s="300"/>
      <c r="E407" s="300"/>
      <c r="F407" s="300"/>
      <c r="G407" s="300"/>
      <c r="H407" s="300"/>
      <c r="I407" s="300"/>
      <c r="J407" s="300"/>
      <c r="K407" s="300"/>
      <c r="L407" s="300"/>
      <c r="M407" s="300"/>
      <c r="N407" s="300"/>
      <c r="O407" s="300"/>
      <c r="P407" s="300"/>
      <c r="Q407" s="300"/>
      <c r="R407" s="300"/>
      <c r="S407" s="300"/>
      <c r="T407" s="300"/>
      <c r="U407" s="300"/>
      <c r="V407" s="300"/>
      <c r="W407" s="300"/>
      <c r="X407" s="300"/>
      <c r="Y407" s="300"/>
      <c r="Z407" s="300"/>
    </row>
    <row r="408" spans="1:26" x14ac:dyDescent="0.25">
      <c r="A408" s="300" t="s">
        <v>588</v>
      </c>
      <c r="B408" s="300"/>
      <c r="C408" s="300"/>
      <c r="D408" s="300"/>
      <c r="E408" s="300"/>
      <c r="F408" s="300"/>
      <c r="G408" s="300"/>
      <c r="H408" s="300"/>
      <c r="I408" s="300"/>
      <c r="J408" s="300"/>
      <c r="K408" s="300"/>
      <c r="L408" s="300"/>
      <c r="M408" s="300"/>
      <c r="N408" s="300"/>
      <c r="O408" s="300"/>
      <c r="P408" s="300"/>
      <c r="Q408" s="300"/>
      <c r="R408" s="300"/>
      <c r="S408" s="300"/>
      <c r="T408" s="300"/>
      <c r="U408" s="300"/>
      <c r="V408" s="300"/>
      <c r="W408" s="300"/>
      <c r="X408" s="300"/>
      <c r="Y408" s="300"/>
      <c r="Z408" s="300"/>
    </row>
    <row r="409" spans="1:26" x14ac:dyDescent="0.25">
      <c r="A409" s="300"/>
      <c r="B409" s="300"/>
      <c r="C409" s="300"/>
      <c r="D409" s="300"/>
      <c r="E409" s="300"/>
      <c r="F409" s="300"/>
      <c r="G409" s="300"/>
      <c r="H409" s="300"/>
      <c r="I409" s="300"/>
      <c r="J409" s="300"/>
      <c r="K409" s="300"/>
      <c r="L409" s="300"/>
      <c r="M409" s="300"/>
      <c r="N409" s="300"/>
      <c r="O409" s="300"/>
      <c r="P409" s="300"/>
      <c r="Q409" s="300"/>
      <c r="R409" s="300"/>
      <c r="S409" s="300"/>
      <c r="T409" s="300"/>
      <c r="U409" s="300"/>
      <c r="V409" s="300"/>
      <c r="W409" s="300"/>
      <c r="X409" s="300"/>
      <c r="Y409" s="300"/>
      <c r="Z409" s="300"/>
    </row>
    <row r="410" spans="1:26" x14ac:dyDescent="0.25">
      <c r="A410" s="300"/>
      <c r="B410" s="300"/>
      <c r="C410" s="300"/>
      <c r="D410" s="300"/>
      <c r="E410" s="300"/>
      <c r="F410" s="300"/>
      <c r="G410" s="300"/>
      <c r="H410" s="300"/>
      <c r="I410" s="300"/>
      <c r="J410" s="300"/>
      <c r="K410" s="300"/>
      <c r="L410" s="300"/>
      <c r="M410" s="300"/>
      <c r="N410" s="300"/>
      <c r="O410" s="300"/>
      <c r="P410" s="300"/>
      <c r="Q410" s="300"/>
      <c r="R410" s="300"/>
      <c r="S410" s="300"/>
      <c r="T410" s="300"/>
      <c r="U410" s="300"/>
      <c r="V410" s="300"/>
      <c r="W410" s="300"/>
      <c r="X410" s="300"/>
      <c r="Y410" s="300"/>
      <c r="Z410" s="300"/>
    </row>
    <row r="411" spans="1:26" x14ac:dyDescent="0.25">
      <c r="A411" s="300"/>
      <c r="B411" s="300"/>
      <c r="C411" s="300"/>
      <c r="D411" s="300"/>
      <c r="E411" s="300"/>
      <c r="F411" s="300"/>
      <c r="G411" s="300"/>
      <c r="H411" s="300"/>
      <c r="I411" s="300"/>
      <c r="J411" s="300"/>
      <c r="K411" s="300"/>
      <c r="L411" s="300"/>
      <c r="M411" s="300"/>
      <c r="N411" s="300"/>
      <c r="O411" s="300"/>
      <c r="P411" s="300"/>
      <c r="Q411" s="300"/>
      <c r="R411" s="300"/>
      <c r="S411" s="300"/>
      <c r="T411" s="300"/>
      <c r="U411" s="300"/>
      <c r="V411" s="300"/>
      <c r="W411" s="300"/>
      <c r="X411" s="300"/>
      <c r="Y411" s="300"/>
      <c r="Z411" s="300"/>
    </row>
    <row r="412" spans="1:26" x14ac:dyDescent="0.25">
      <c r="A412" s="300"/>
      <c r="B412" s="300"/>
      <c r="C412" s="300"/>
      <c r="D412" s="300" t="s">
        <v>437</v>
      </c>
      <c r="E412" s="300" t="s">
        <v>438</v>
      </c>
      <c r="F412" s="300" t="s">
        <v>439</v>
      </c>
      <c r="G412" s="300" t="s">
        <v>440</v>
      </c>
      <c r="H412" s="300" t="s">
        <v>441</v>
      </c>
      <c r="I412" s="300" t="s">
        <v>442</v>
      </c>
      <c r="J412" s="300" t="s">
        <v>443</v>
      </c>
      <c r="K412" s="300" t="s">
        <v>444</v>
      </c>
      <c r="L412" s="300" t="s">
        <v>445</v>
      </c>
      <c r="M412" s="300" t="s">
        <v>446</v>
      </c>
      <c r="N412" s="300" t="s">
        <v>447</v>
      </c>
      <c r="O412" s="300" t="s">
        <v>448</v>
      </c>
      <c r="P412" s="300" t="s">
        <v>449</v>
      </c>
      <c r="Q412" s="300" t="s">
        <v>450</v>
      </c>
      <c r="R412" s="300" t="s">
        <v>451</v>
      </c>
      <c r="S412" s="300" t="s">
        <v>452</v>
      </c>
      <c r="T412" s="300" t="s">
        <v>453</v>
      </c>
      <c r="U412" s="300" t="s">
        <v>454</v>
      </c>
      <c r="V412" s="300" t="s">
        <v>455</v>
      </c>
      <c r="W412" s="300" t="s">
        <v>456</v>
      </c>
      <c r="X412" s="300" t="s">
        <v>457</v>
      </c>
      <c r="Y412" s="300" t="s">
        <v>458</v>
      </c>
      <c r="Z412" s="300" t="s">
        <v>589</v>
      </c>
    </row>
    <row r="413" spans="1:26" x14ac:dyDescent="0.25">
      <c r="A413" s="300"/>
      <c r="B413" s="300"/>
      <c r="C413" s="300"/>
      <c r="D413" s="300"/>
      <c r="E413" s="300"/>
      <c r="F413" s="300"/>
      <c r="G413" s="300"/>
      <c r="H413" s="300"/>
      <c r="I413" s="300"/>
      <c r="J413" s="300"/>
      <c r="K413" s="300"/>
      <c r="L413" s="300"/>
      <c r="M413" s="300"/>
      <c r="N413" s="300"/>
      <c r="O413" s="300"/>
      <c r="P413" s="300"/>
      <c r="Q413" s="300"/>
      <c r="R413" s="300"/>
      <c r="S413" s="300"/>
      <c r="T413" s="300"/>
      <c r="U413" s="300"/>
      <c r="V413" s="300"/>
      <c r="W413" s="300"/>
      <c r="X413" s="300"/>
      <c r="Y413" s="300"/>
      <c r="Z413" s="300"/>
    </row>
    <row r="414" spans="1:26" x14ac:dyDescent="0.25">
      <c r="A414" s="300"/>
      <c r="B414" s="300"/>
      <c r="C414" s="300"/>
      <c r="D414" s="300"/>
      <c r="E414" s="300"/>
      <c r="F414" s="300"/>
      <c r="G414" s="300"/>
      <c r="H414" s="300"/>
      <c r="I414" s="300"/>
      <c r="J414" s="300"/>
      <c r="K414" s="300"/>
      <c r="L414" s="300"/>
      <c r="M414" s="300"/>
      <c r="N414" s="300"/>
      <c r="O414" s="300"/>
      <c r="P414" s="300"/>
      <c r="Q414" s="300"/>
      <c r="R414" s="300"/>
      <c r="S414" s="300"/>
      <c r="T414" s="300"/>
      <c r="U414" s="300"/>
      <c r="V414" s="300"/>
      <c r="W414" s="300"/>
      <c r="X414" s="300"/>
      <c r="Y414" s="300"/>
      <c r="Z414" s="300"/>
    </row>
    <row r="415" spans="1:26" x14ac:dyDescent="0.25">
      <c r="A415" s="300" t="s">
        <v>459</v>
      </c>
      <c r="B415" s="300"/>
      <c r="C415" s="300"/>
      <c r="D415" s="300"/>
      <c r="E415" s="300"/>
      <c r="F415" s="300"/>
      <c r="G415" s="300"/>
      <c r="H415" s="300"/>
      <c r="I415" s="300"/>
      <c r="J415" s="300"/>
      <c r="K415" s="300"/>
      <c r="L415" s="300"/>
      <c r="M415" s="300"/>
      <c r="N415" s="300"/>
      <c r="O415" s="300"/>
      <c r="P415" s="300"/>
      <c r="Q415" s="300"/>
      <c r="R415" s="300"/>
      <c r="S415" s="300"/>
      <c r="T415" s="300"/>
      <c r="U415" s="300"/>
      <c r="V415" s="300"/>
      <c r="W415" s="300"/>
      <c r="X415" s="300"/>
      <c r="Y415" s="300"/>
      <c r="Z415" s="300"/>
    </row>
    <row r="416" spans="1:26" x14ac:dyDescent="0.25">
      <c r="A416" s="300" t="s">
        <v>594</v>
      </c>
      <c r="B416" s="300"/>
      <c r="C416" s="300"/>
      <c r="D416" s="300">
        <v>18.210411071777301</v>
      </c>
      <c r="E416" s="300">
        <v>19.293371200561499</v>
      </c>
      <c r="F416" s="300">
        <v>21.158409118652301</v>
      </c>
      <c r="G416" s="300">
        <v>24.5404376983643</v>
      </c>
      <c r="H416" s="300">
        <v>24.494813919067401</v>
      </c>
      <c r="I416" s="300">
        <v>23.9600429534912</v>
      </c>
      <c r="J416" s="300">
        <v>23.672391891479499</v>
      </c>
      <c r="K416" s="300">
        <v>23.2634162902832</v>
      </c>
      <c r="L416" s="300">
        <v>23.106723785400401</v>
      </c>
      <c r="M416" s="300">
        <v>22.905719757080099</v>
      </c>
      <c r="N416" s="300">
        <v>22.942964553833001</v>
      </c>
      <c r="O416" s="300">
        <v>22.881586074829102</v>
      </c>
      <c r="P416" s="300">
        <v>22.979688644409201</v>
      </c>
      <c r="Q416" s="300">
        <v>23.190465927123999</v>
      </c>
      <c r="R416" s="300">
        <v>23.129106521606399</v>
      </c>
      <c r="S416" s="300">
        <v>23.088548660278299</v>
      </c>
      <c r="T416" s="300">
        <v>23.183416366577099</v>
      </c>
      <c r="U416" s="300">
        <v>23.1546516418457</v>
      </c>
      <c r="V416" s="300">
        <v>23.285535812377901</v>
      </c>
      <c r="W416" s="300">
        <v>23.420475006103501</v>
      </c>
      <c r="X416" s="300">
        <v>23.540468215942401</v>
      </c>
      <c r="Y416" s="300">
        <v>23.532218933105501</v>
      </c>
      <c r="Z416" s="300">
        <v>23.562456130981399</v>
      </c>
    </row>
    <row r="417" spans="1:26" x14ac:dyDescent="0.25">
      <c r="A417" s="300" t="s">
        <v>595</v>
      </c>
      <c r="B417" s="300"/>
      <c r="C417" s="300"/>
      <c r="D417" s="300">
        <v>12.893347740173301</v>
      </c>
      <c r="E417" s="300">
        <v>14.727064132690399</v>
      </c>
      <c r="F417" s="300">
        <v>16.906724929809599</v>
      </c>
      <c r="G417" s="300">
        <v>17.4485054016113</v>
      </c>
      <c r="H417" s="300">
        <v>16.910488128662099</v>
      </c>
      <c r="I417" s="300">
        <v>15.8367977142334</v>
      </c>
      <c r="J417" s="300">
        <v>14.87486743927</v>
      </c>
      <c r="K417" s="300">
        <v>14.031831741333001</v>
      </c>
      <c r="L417" s="300">
        <v>13.359474182128899</v>
      </c>
      <c r="M417" s="300">
        <v>12.596385955810501</v>
      </c>
      <c r="N417" s="300">
        <v>12.5241403579712</v>
      </c>
      <c r="O417" s="300">
        <v>12.595507621765099</v>
      </c>
      <c r="P417" s="300">
        <v>12.630928039550801</v>
      </c>
      <c r="Q417" s="300">
        <v>12.738121032714799</v>
      </c>
      <c r="R417" s="300">
        <v>12.8303670883179</v>
      </c>
      <c r="S417" s="300">
        <v>13.052293777465801</v>
      </c>
      <c r="T417" s="300">
        <v>13.1472158432007</v>
      </c>
      <c r="U417" s="300">
        <v>13.2630777359009</v>
      </c>
      <c r="V417" s="300">
        <v>13.422198295593301</v>
      </c>
      <c r="W417" s="300">
        <v>13.360619544982899</v>
      </c>
      <c r="X417" s="300">
        <v>13.513841629028301</v>
      </c>
      <c r="Y417" s="300">
        <v>13.560380935668899</v>
      </c>
      <c r="Z417" s="300">
        <v>13.627392768859901</v>
      </c>
    </row>
    <row r="418" spans="1:26" x14ac:dyDescent="0.25">
      <c r="A418" s="300" t="s">
        <v>496</v>
      </c>
      <c r="B418" s="300"/>
      <c r="C418" s="300"/>
      <c r="D418" s="300">
        <v>10.721179008483899</v>
      </c>
      <c r="E418" s="300">
        <v>12.4281768798828</v>
      </c>
      <c r="F418" s="300">
        <v>13.040691375732401</v>
      </c>
      <c r="G418" s="300">
        <v>11.8341617584229</v>
      </c>
      <c r="H418" s="300">
        <v>11.7410221099854</v>
      </c>
      <c r="I418" s="300">
        <v>11.2507781982422</v>
      </c>
      <c r="J418" s="300">
        <v>10.9759874343872</v>
      </c>
      <c r="K418" s="300">
        <v>10.5919141769409</v>
      </c>
      <c r="L418" s="300">
        <v>10.441241264343301</v>
      </c>
      <c r="M418" s="300">
        <v>10.249824523925801</v>
      </c>
      <c r="N418" s="300">
        <v>10.2927255630493</v>
      </c>
      <c r="O418" s="300">
        <v>10.2421607971191</v>
      </c>
      <c r="P418" s="300">
        <v>10.3305416107178</v>
      </c>
      <c r="Q418" s="300">
        <v>10.557685852050801</v>
      </c>
      <c r="R418" s="300">
        <v>10.4870929718018</v>
      </c>
      <c r="S418" s="300">
        <v>10.439262390136699</v>
      </c>
      <c r="T418" s="300">
        <v>10.539955139160201</v>
      </c>
      <c r="U418" s="300">
        <v>10.5361185073853</v>
      </c>
      <c r="V418" s="300">
        <v>10.6743927001953</v>
      </c>
      <c r="W418" s="300">
        <v>10.830116271972701</v>
      </c>
      <c r="X418" s="300">
        <v>10.948052406311</v>
      </c>
      <c r="Y418" s="300">
        <v>10.9735927581787</v>
      </c>
      <c r="Z418" s="300">
        <v>11.0174913406372</v>
      </c>
    </row>
    <row r="419" spans="1:26" x14ac:dyDescent="0.25">
      <c r="A419" s="300" t="s">
        <v>465</v>
      </c>
      <c r="B419" s="300"/>
      <c r="C419" s="300"/>
      <c r="D419" s="300">
        <v>27.0989685058594</v>
      </c>
      <c r="E419" s="300">
        <v>27.587884902954102</v>
      </c>
      <c r="F419" s="300">
        <v>27.636594772338899</v>
      </c>
      <c r="G419" s="300">
        <v>27.492031097412099</v>
      </c>
      <c r="H419" s="300">
        <v>27.368114471435501</v>
      </c>
      <c r="I419" s="300">
        <v>27.154861450195298</v>
      </c>
      <c r="J419" s="300">
        <v>26.912786483764599</v>
      </c>
      <c r="K419" s="300">
        <v>26.5094184875488</v>
      </c>
      <c r="L419" s="300">
        <v>26.281187057495099</v>
      </c>
      <c r="M419" s="300">
        <v>26.172458648681602</v>
      </c>
      <c r="N419" s="300">
        <v>26.036540985107401</v>
      </c>
      <c r="O419" s="300">
        <v>25.993564605712901</v>
      </c>
      <c r="P419" s="300">
        <v>26.085290908813501</v>
      </c>
      <c r="Q419" s="300">
        <v>26.304872512817401</v>
      </c>
      <c r="R419" s="300">
        <v>26.445003509521499</v>
      </c>
      <c r="S419" s="300">
        <v>26.355556488037099</v>
      </c>
      <c r="T419" s="300">
        <v>26.368726730346701</v>
      </c>
      <c r="U419" s="300">
        <v>26.419284820556602</v>
      </c>
      <c r="V419" s="300">
        <v>26.420993804931602</v>
      </c>
      <c r="W419" s="300">
        <v>26.4647102355957</v>
      </c>
      <c r="X419" s="300">
        <v>26.5621242523193</v>
      </c>
      <c r="Y419" s="300">
        <v>26.608213424682599</v>
      </c>
      <c r="Z419" s="300">
        <v>26.564920425415</v>
      </c>
    </row>
    <row r="420" spans="1:26" x14ac:dyDescent="0.25">
      <c r="A420" s="300" t="s">
        <v>466</v>
      </c>
      <c r="B420" s="300"/>
      <c r="C420" s="300"/>
      <c r="D420" s="300"/>
      <c r="E420" s="300"/>
      <c r="F420" s="300"/>
      <c r="G420" s="300"/>
      <c r="H420" s="300"/>
      <c r="I420" s="300"/>
      <c r="J420" s="300"/>
      <c r="K420" s="300"/>
      <c r="L420" s="300"/>
      <c r="M420" s="300"/>
      <c r="N420" s="300"/>
      <c r="O420" s="300"/>
      <c r="P420" s="300"/>
      <c r="Q420" s="300"/>
      <c r="R420" s="300"/>
      <c r="S420" s="300"/>
      <c r="T420" s="300"/>
      <c r="U420" s="300"/>
      <c r="V420" s="300"/>
      <c r="W420" s="300"/>
      <c r="X420" s="300"/>
      <c r="Y420" s="300"/>
      <c r="Z420" s="300"/>
    </row>
    <row r="421" spans="1:26" x14ac:dyDescent="0.25">
      <c r="A421" s="300" t="s">
        <v>595</v>
      </c>
      <c r="B421" s="300"/>
      <c r="C421" s="300"/>
      <c r="D421" s="300">
        <v>10.4802904129028</v>
      </c>
      <c r="E421" s="300">
        <v>12.6793832778931</v>
      </c>
      <c r="F421" s="300">
        <v>14.632154464721699</v>
      </c>
      <c r="G421" s="300">
        <v>15.3235988616943</v>
      </c>
      <c r="H421" s="300">
        <v>14.4384679794312</v>
      </c>
      <c r="I421" s="300">
        <v>13.4501142501831</v>
      </c>
      <c r="J421" s="300">
        <v>12.7189273834229</v>
      </c>
      <c r="K421" s="300">
        <v>11.9810342788696</v>
      </c>
      <c r="L421" s="300">
        <v>11.338329315185501</v>
      </c>
      <c r="M421" s="300">
        <v>10.8460388183594</v>
      </c>
      <c r="N421" s="300">
        <v>10.667523384094199</v>
      </c>
      <c r="O421" s="300">
        <v>10.728004455566399</v>
      </c>
      <c r="P421" s="300">
        <v>10.8701782226563</v>
      </c>
      <c r="Q421" s="300">
        <v>10.9251909255981</v>
      </c>
      <c r="R421" s="300">
        <v>11.0219278335571</v>
      </c>
      <c r="S421" s="300">
        <v>11.292310714721699</v>
      </c>
      <c r="T421" s="300">
        <v>11.349814414978001</v>
      </c>
      <c r="U421" s="300">
        <v>11.461010932922401</v>
      </c>
      <c r="V421" s="300">
        <v>11.6882877349854</v>
      </c>
      <c r="W421" s="300">
        <v>11.5126600265503</v>
      </c>
      <c r="X421" s="300">
        <v>11.6838274002075</v>
      </c>
      <c r="Y421" s="300">
        <v>11.8503408432007</v>
      </c>
      <c r="Z421" s="300">
        <v>11.857501029968301</v>
      </c>
    </row>
    <row r="422" spans="1:26" ht="51" customHeight="1" x14ac:dyDescent="0.25">
      <c r="A422" s="300" t="s">
        <v>596</v>
      </c>
      <c r="B422" s="300"/>
      <c r="C422" s="300"/>
      <c r="D422" s="300">
        <v>6.2490105628967303</v>
      </c>
      <c r="E422" s="300">
        <v>8.4144115447997994</v>
      </c>
      <c r="F422" s="300">
        <v>10.1003465652466</v>
      </c>
      <c r="G422" s="300">
        <v>7.8816242218017596</v>
      </c>
      <c r="H422" s="300">
        <v>7.7979149818420401</v>
      </c>
      <c r="I422" s="300">
        <v>7.67907810211182</v>
      </c>
      <c r="J422" s="300">
        <v>7.5374598503112802</v>
      </c>
      <c r="K422" s="300">
        <v>7.0601482391357404</v>
      </c>
      <c r="L422" s="300">
        <v>6.9191079139709499</v>
      </c>
      <c r="M422" s="300">
        <v>5.9906802177429199</v>
      </c>
      <c r="N422" s="300">
        <v>6.31249952316284</v>
      </c>
      <c r="O422" s="300">
        <v>6.4941840171814</v>
      </c>
      <c r="P422" s="300">
        <v>6.4476203918456996</v>
      </c>
      <c r="Q422" s="300">
        <v>6.5857205390930202</v>
      </c>
      <c r="R422" s="300">
        <v>6.7015118598937997</v>
      </c>
      <c r="S422" s="300">
        <v>6.98899221420288</v>
      </c>
      <c r="T422" s="300">
        <v>7.0690569877624503</v>
      </c>
      <c r="U422" s="300">
        <v>7.2425847053527797</v>
      </c>
      <c r="V422" s="300">
        <v>7.4012169837951696</v>
      </c>
      <c r="W422" s="300">
        <v>7.2363023757934597</v>
      </c>
      <c r="X422" s="300">
        <v>7.3775544166564897</v>
      </c>
      <c r="Y422" s="300">
        <v>7.1704416275024396</v>
      </c>
      <c r="Z422" s="300">
        <v>7.2997760772705096</v>
      </c>
    </row>
    <row r="423" spans="1:26" ht="30.75" customHeight="1" x14ac:dyDescent="0.25">
      <c r="A423" s="302" t="s">
        <v>496</v>
      </c>
      <c r="B423" s="302"/>
      <c r="C423" s="302"/>
      <c r="D423" s="300">
        <v>9.4024562835693395</v>
      </c>
      <c r="E423" s="300">
        <v>11.2028198242188</v>
      </c>
      <c r="F423" s="300">
        <v>11.3786783218384</v>
      </c>
      <c r="G423" s="300">
        <v>10.2688541412354</v>
      </c>
      <c r="H423" s="300">
        <v>10.157588958740201</v>
      </c>
      <c r="I423" s="300">
        <v>9.6297473907470703</v>
      </c>
      <c r="J423" s="300">
        <v>9.3356885910034197</v>
      </c>
      <c r="K423" s="300">
        <v>8.9214458465576207</v>
      </c>
      <c r="L423" s="300">
        <v>8.7509040832519496</v>
      </c>
      <c r="M423" s="300">
        <v>8.5351839065551793</v>
      </c>
      <c r="N423" s="300">
        <v>8.5524559020996094</v>
      </c>
      <c r="O423" s="300">
        <v>8.47686672210693</v>
      </c>
      <c r="P423" s="300">
        <v>8.5459880828857404</v>
      </c>
      <c r="Q423" s="300">
        <v>8.7391986846923793</v>
      </c>
      <c r="R423" s="300">
        <v>8.6564092636108398</v>
      </c>
      <c r="S423" s="300">
        <v>8.5963792800903303</v>
      </c>
      <c r="T423" s="300">
        <v>8.6742591857910192</v>
      </c>
      <c r="U423" s="300">
        <v>8.6351099014282209</v>
      </c>
      <c r="V423" s="300">
        <v>8.7470979690551793</v>
      </c>
      <c r="W423" s="300">
        <v>8.8685941696166992</v>
      </c>
      <c r="X423" s="300">
        <v>8.9716949462890607</v>
      </c>
      <c r="Y423" s="300">
        <v>8.9597854614257795</v>
      </c>
      <c r="Z423" s="300">
        <v>8.9777603149414098</v>
      </c>
    </row>
    <row r="424" spans="1:26" x14ac:dyDescent="0.25">
      <c r="A424" s="301" t="s">
        <v>465</v>
      </c>
      <c r="B424" s="301"/>
      <c r="C424" s="301"/>
      <c r="D424" s="300">
        <v>24.591539382934599</v>
      </c>
      <c r="E424" s="300">
        <v>25.251781463623001</v>
      </c>
      <c r="F424" s="300">
        <v>25.738388061523398</v>
      </c>
      <c r="G424" s="300">
        <v>25.3376979827881</v>
      </c>
      <c r="H424" s="300">
        <v>25.268539428710898</v>
      </c>
      <c r="I424" s="300">
        <v>24.918291091918899</v>
      </c>
      <c r="J424" s="300">
        <v>24.500482559204102</v>
      </c>
      <c r="K424" s="300">
        <v>23.8594665527344</v>
      </c>
      <c r="L424" s="300">
        <v>23.593626022338899</v>
      </c>
      <c r="M424" s="300">
        <v>23.443479537963899</v>
      </c>
      <c r="N424" s="300">
        <v>23.311824798583999</v>
      </c>
      <c r="O424" s="300">
        <v>23.328050613403299</v>
      </c>
      <c r="P424" s="300">
        <v>23.4844055175781</v>
      </c>
      <c r="Q424" s="300">
        <v>23.749778747558601</v>
      </c>
      <c r="R424" s="300">
        <v>23.944339752197301</v>
      </c>
      <c r="S424" s="300">
        <v>23.889307022094702</v>
      </c>
      <c r="T424" s="300">
        <v>23.952335357666001</v>
      </c>
      <c r="U424" s="300">
        <v>24.000473022460898</v>
      </c>
      <c r="V424" s="300">
        <v>24.006351470947301</v>
      </c>
      <c r="W424" s="300">
        <v>24.077814102172901</v>
      </c>
      <c r="X424" s="300">
        <v>24.1955890655518</v>
      </c>
      <c r="Y424" s="300">
        <v>24.23095703125</v>
      </c>
      <c r="Z424" s="300">
        <v>24.1812038421631</v>
      </c>
    </row>
    <row r="425" spans="1:26" x14ac:dyDescent="0.25">
      <c r="A425" s="300" t="s">
        <v>597</v>
      </c>
      <c r="B425" s="300"/>
      <c r="C425" s="300"/>
      <c r="D425" s="300"/>
      <c r="E425" s="300"/>
      <c r="F425" s="300"/>
      <c r="G425" s="300"/>
      <c r="H425" s="300"/>
      <c r="I425" s="300"/>
      <c r="J425" s="300"/>
      <c r="K425" s="300"/>
      <c r="L425" s="300"/>
      <c r="M425" s="300"/>
      <c r="N425" s="300"/>
      <c r="O425" s="300"/>
      <c r="P425" s="300"/>
      <c r="Q425" s="300"/>
      <c r="R425" s="300"/>
      <c r="S425" s="300"/>
      <c r="T425" s="300"/>
      <c r="U425" s="300"/>
      <c r="V425" s="300"/>
      <c r="W425" s="300"/>
      <c r="X425" s="300"/>
      <c r="Y425" s="300"/>
      <c r="Z425" s="300"/>
    </row>
    <row r="426" spans="1:26" x14ac:dyDescent="0.25">
      <c r="A426" s="300" t="s">
        <v>594</v>
      </c>
      <c r="B426" s="300"/>
      <c r="C426" s="300"/>
      <c r="D426" s="300">
        <v>11.1755380630493</v>
      </c>
      <c r="E426" s="300">
        <v>16.959981918335</v>
      </c>
      <c r="F426" s="300">
        <v>18.9578742980957</v>
      </c>
      <c r="G426" s="300">
        <v>17.513134002685501</v>
      </c>
      <c r="H426" s="300">
        <v>17.389408111572301</v>
      </c>
      <c r="I426" s="300">
        <v>16.750247955322301</v>
      </c>
      <c r="J426" s="300">
        <v>16.423851013183601</v>
      </c>
      <c r="K426" s="300">
        <v>15.943309783935501</v>
      </c>
      <c r="L426" s="300">
        <v>15.769355773925801</v>
      </c>
      <c r="M426" s="300">
        <v>15.620997428894</v>
      </c>
      <c r="N426" s="300">
        <v>15.627494812011699</v>
      </c>
      <c r="O426" s="300">
        <v>15.565483093261699</v>
      </c>
      <c r="P426" s="300">
        <v>15.6823263168335</v>
      </c>
      <c r="Q426" s="300">
        <v>15.8655786514282</v>
      </c>
      <c r="R426" s="300">
        <v>15.8662757873535</v>
      </c>
      <c r="S426" s="300">
        <v>15.8647546768188</v>
      </c>
      <c r="T426" s="300">
        <v>15.9073581695557</v>
      </c>
      <c r="U426" s="300">
        <v>15.883088111877401</v>
      </c>
      <c r="V426" s="300">
        <v>15.994482994079601</v>
      </c>
      <c r="W426" s="300">
        <v>16.1067924499512</v>
      </c>
      <c r="X426" s="300">
        <v>16.2546577453613</v>
      </c>
      <c r="Y426" s="300">
        <v>16.219263076782202</v>
      </c>
      <c r="Z426" s="300">
        <v>16.2301216125488</v>
      </c>
    </row>
    <row r="427" spans="1:26" x14ac:dyDescent="0.25">
      <c r="A427" s="300" t="s">
        <v>595</v>
      </c>
      <c r="B427" s="300"/>
      <c r="C427" s="300"/>
      <c r="D427" s="300">
        <v>10.9898891448975</v>
      </c>
      <c r="E427" s="300">
        <v>13.0814533233643</v>
      </c>
      <c r="F427" s="300">
        <v>15.1407413482666</v>
      </c>
      <c r="G427" s="300">
        <v>15.435567855835</v>
      </c>
      <c r="H427" s="300">
        <v>14.2919836044312</v>
      </c>
      <c r="I427" s="300">
        <v>13.4232997894287</v>
      </c>
      <c r="J427" s="300">
        <v>12.948052406311</v>
      </c>
      <c r="K427" s="300">
        <v>12.4780015945435</v>
      </c>
      <c r="L427" s="300">
        <v>11.882830619811999</v>
      </c>
      <c r="M427" s="300">
        <v>11.641848564147899</v>
      </c>
      <c r="N427" s="300">
        <v>11.349123954772899</v>
      </c>
      <c r="O427" s="300">
        <v>11.401933670043899</v>
      </c>
      <c r="P427" s="300">
        <v>11.6324548721313</v>
      </c>
      <c r="Q427" s="300">
        <v>11.632493019104</v>
      </c>
      <c r="R427" s="300">
        <v>11.737724304199199</v>
      </c>
      <c r="S427" s="300">
        <v>12.060711860656699</v>
      </c>
      <c r="T427" s="300">
        <v>12.0405569076538</v>
      </c>
      <c r="U427" s="300">
        <v>12.1396341323853</v>
      </c>
      <c r="V427" s="300">
        <v>12.421196937561</v>
      </c>
      <c r="W427" s="300">
        <v>12.169375419616699</v>
      </c>
      <c r="X427" s="300">
        <v>12.3622283935547</v>
      </c>
      <c r="Y427" s="300">
        <v>12.619636535644499</v>
      </c>
      <c r="Z427" s="300">
        <v>12.5786838531494</v>
      </c>
    </row>
    <row r="428" spans="1:26" x14ac:dyDescent="0.25">
      <c r="A428" s="300" t="s">
        <v>596</v>
      </c>
      <c r="B428" s="300"/>
      <c r="C428" s="300"/>
      <c r="D428" s="300">
        <v>5.7738895416259801</v>
      </c>
      <c r="E428" s="300">
        <v>7.7708010673522896</v>
      </c>
      <c r="F428" s="300">
        <v>9.3422021865844709</v>
      </c>
      <c r="G428" s="300">
        <v>9.8767166137695295</v>
      </c>
      <c r="H428" s="300">
        <v>10.084191322326699</v>
      </c>
      <c r="I428" s="300">
        <v>9.7906637191772496</v>
      </c>
      <c r="J428" s="300">
        <v>9.5023155212402308</v>
      </c>
      <c r="K428" s="300">
        <v>8.7792091369628906</v>
      </c>
      <c r="L428" s="300">
        <v>8.4676847457885707</v>
      </c>
      <c r="M428" s="300">
        <v>8.0373468399047905</v>
      </c>
      <c r="N428" s="300">
        <v>7.9767365455627397</v>
      </c>
      <c r="O428" s="300">
        <v>8.2131023406982404</v>
      </c>
      <c r="P428" s="300">
        <v>8.4110374450683594</v>
      </c>
      <c r="Q428" s="300">
        <v>8.5568304061889595</v>
      </c>
      <c r="R428" s="300">
        <v>8.6100654602050799</v>
      </c>
      <c r="S428" s="300">
        <v>8.8084278106689506</v>
      </c>
      <c r="T428" s="300">
        <v>8.9135255813598597</v>
      </c>
      <c r="U428" s="300">
        <v>9.0664196014404297</v>
      </c>
      <c r="V428" s="300">
        <v>9.2084608078002894</v>
      </c>
      <c r="W428" s="300">
        <v>9.1494617462158203</v>
      </c>
      <c r="X428" s="300">
        <v>9.2910699844360405</v>
      </c>
      <c r="Y428" s="300">
        <v>9.2583961486816406</v>
      </c>
      <c r="Z428" s="300">
        <v>9.38494873046875</v>
      </c>
    </row>
    <row r="429" spans="1:26" x14ac:dyDescent="0.25">
      <c r="A429" s="302" t="s">
        <v>598</v>
      </c>
      <c r="B429" s="302"/>
      <c r="C429" s="302"/>
      <c r="D429" s="300">
        <v>6.4688553810119602</v>
      </c>
      <c r="E429" s="300">
        <v>8.1627740859985405</v>
      </c>
      <c r="F429" s="300">
        <v>7.4494204521179199</v>
      </c>
      <c r="G429" s="300">
        <v>7.3632249832153303</v>
      </c>
      <c r="H429" s="300">
        <v>7.2901554107665998</v>
      </c>
      <c r="I429" s="300">
        <v>6.7422003746032697</v>
      </c>
      <c r="J429" s="300">
        <v>6.4267692565918004</v>
      </c>
      <c r="K429" s="300">
        <v>6.0213589668273899</v>
      </c>
      <c r="L429" s="300">
        <v>5.8671450614929199</v>
      </c>
      <c r="M429" s="300">
        <v>5.6813068389892596</v>
      </c>
      <c r="N429" s="300">
        <v>5.6900143623352104</v>
      </c>
      <c r="O429" s="300">
        <v>5.6504640579223597</v>
      </c>
      <c r="P429" s="300">
        <v>5.7415480613708496</v>
      </c>
      <c r="Q429" s="300">
        <v>5.91982173919678</v>
      </c>
      <c r="R429" s="300">
        <v>5.8755149841308603</v>
      </c>
      <c r="S429" s="300">
        <v>5.8359832763671902</v>
      </c>
      <c r="T429" s="300">
        <v>5.9000439643859899</v>
      </c>
      <c r="U429" s="300">
        <v>5.8858833312988299</v>
      </c>
      <c r="V429" s="300">
        <v>6.0041050910949698</v>
      </c>
      <c r="W429" s="300">
        <v>6.1238050460815403</v>
      </c>
      <c r="X429" s="300">
        <v>6.2412667274475098</v>
      </c>
      <c r="Y429" s="300">
        <v>6.2102909088134801</v>
      </c>
      <c r="Z429" s="300">
        <v>6.2538614273071298</v>
      </c>
    </row>
    <row r="430" spans="1:26" x14ac:dyDescent="0.25">
      <c r="A430" s="300" t="s">
        <v>599</v>
      </c>
      <c r="B430" s="300"/>
      <c r="C430" s="300"/>
      <c r="D430" s="300">
        <v>2.3078472614288299</v>
      </c>
      <c r="E430" s="300">
        <v>3.0599997043609601</v>
      </c>
      <c r="F430" s="300">
        <v>3.2548489570617698</v>
      </c>
      <c r="G430" s="300">
        <v>3.2975256443023699</v>
      </c>
      <c r="H430" s="300">
        <v>3.2872827053070099</v>
      </c>
      <c r="I430" s="300">
        <v>3.1889374256134002</v>
      </c>
      <c r="J430" s="300">
        <v>3.0940959453582799</v>
      </c>
      <c r="K430" s="300">
        <v>2.9914577007293701</v>
      </c>
      <c r="L430" s="300">
        <v>2.8927016258239702</v>
      </c>
      <c r="M430" s="300">
        <v>2.78926348686218</v>
      </c>
      <c r="N430" s="300">
        <v>2.7408642768859899</v>
      </c>
      <c r="O430" s="300">
        <v>2.7166485786438002</v>
      </c>
      <c r="P430" s="300">
        <v>2.7061200141906698</v>
      </c>
      <c r="Q430" s="300">
        <v>2.7063503265380899</v>
      </c>
      <c r="R430" s="300">
        <v>2.7045123577117902</v>
      </c>
      <c r="S430" s="300">
        <v>2.68979120254517</v>
      </c>
      <c r="T430" s="300">
        <v>2.7072892189025901</v>
      </c>
      <c r="U430" s="300">
        <v>2.71812868118286</v>
      </c>
      <c r="V430" s="300">
        <v>2.7191135883331299</v>
      </c>
      <c r="W430" s="300">
        <v>2.7064330577850302</v>
      </c>
      <c r="X430" s="300">
        <v>2.68589544296265</v>
      </c>
      <c r="Y430" s="300">
        <v>2.69574999809265</v>
      </c>
      <c r="Z430" s="300">
        <v>2.7049932479858398</v>
      </c>
    </row>
    <row r="431" spans="1:26" x14ac:dyDescent="0.25">
      <c r="A431" s="300" t="s">
        <v>600</v>
      </c>
      <c r="B431" s="300"/>
      <c r="C431" s="300"/>
      <c r="D431" s="300">
        <v>1.80300605297089</v>
      </c>
      <c r="E431" s="300">
        <v>2.1500017642974898</v>
      </c>
      <c r="F431" s="300">
        <v>2.2005796432495099</v>
      </c>
      <c r="G431" s="300">
        <v>2.2392640113830602</v>
      </c>
      <c r="H431" s="300">
        <v>2.2450914382934601</v>
      </c>
      <c r="I431" s="300">
        <v>2.2358458042144802</v>
      </c>
      <c r="J431" s="300">
        <v>2.2614977359771702</v>
      </c>
      <c r="K431" s="300">
        <v>2.2480733394622798</v>
      </c>
      <c r="L431" s="300">
        <v>2.2308864593505899</v>
      </c>
      <c r="M431" s="300">
        <v>2.2124359607696502</v>
      </c>
      <c r="N431" s="300">
        <v>2.2059276103973402</v>
      </c>
      <c r="O431" s="300">
        <v>2.1967613697052002</v>
      </c>
      <c r="P431" s="300">
        <v>2.18912577629089</v>
      </c>
      <c r="Q431" s="300">
        <v>2.1856777667999299</v>
      </c>
      <c r="R431" s="300">
        <v>2.1763286590576199</v>
      </c>
      <c r="S431" s="300">
        <v>2.1755278110504199</v>
      </c>
      <c r="T431" s="300">
        <v>2.18182468414307</v>
      </c>
      <c r="U431" s="300">
        <v>2.19542455673218</v>
      </c>
      <c r="V431" s="300">
        <v>2.2050869464874299</v>
      </c>
      <c r="W431" s="300">
        <v>2.2089655399322501</v>
      </c>
      <c r="X431" s="300">
        <v>2.2187693119049099</v>
      </c>
      <c r="Y431" s="300">
        <v>2.2309319972991899</v>
      </c>
      <c r="Z431" s="300">
        <v>2.2423520088195801</v>
      </c>
    </row>
    <row r="432" spans="1:26" x14ac:dyDescent="0.25">
      <c r="A432" s="300" t="s">
        <v>601</v>
      </c>
      <c r="B432" s="300"/>
      <c r="C432" s="300"/>
      <c r="D432" s="300" t="s">
        <v>1055</v>
      </c>
      <c r="E432" s="300" t="s">
        <v>1055</v>
      </c>
      <c r="F432" s="300" t="s">
        <v>1055</v>
      </c>
      <c r="G432" s="300" t="s">
        <v>1055</v>
      </c>
      <c r="H432" s="300" t="s">
        <v>1055</v>
      </c>
      <c r="I432" s="300" t="s">
        <v>1055</v>
      </c>
      <c r="J432" s="300" t="s">
        <v>1055</v>
      </c>
      <c r="K432" s="300">
        <v>0.88956671953201305</v>
      </c>
      <c r="L432" s="300">
        <v>0.881245017051697</v>
      </c>
      <c r="M432" s="300">
        <v>0.88442194461822499</v>
      </c>
      <c r="N432" s="300">
        <v>0.89085346460342396</v>
      </c>
      <c r="O432" s="300">
        <v>0.88840740919113204</v>
      </c>
      <c r="P432" s="300">
        <v>0.89322775602340698</v>
      </c>
      <c r="Q432" s="300">
        <v>0.90440875291824296</v>
      </c>
      <c r="R432" s="300">
        <v>0.91453087329864502</v>
      </c>
      <c r="S432" s="300">
        <v>0.95469778776168801</v>
      </c>
      <c r="T432" s="300">
        <v>0.96978461742401101</v>
      </c>
      <c r="U432" s="300">
        <v>1.01334369182587</v>
      </c>
      <c r="V432" s="300">
        <v>1.02781510353088</v>
      </c>
      <c r="W432" s="300">
        <v>1.0294380187988299</v>
      </c>
      <c r="X432" s="300">
        <v>1.1219843626022299</v>
      </c>
      <c r="Y432" s="300">
        <v>1.2297383546829199</v>
      </c>
      <c r="Z432" s="300">
        <v>1.26935982704163</v>
      </c>
    </row>
    <row r="433" spans="1:26" x14ac:dyDescent="0.25">
      <c r="A433" s="301" t="s">
        <v>465</v>
      </c>
      <c r="B433" s="301"/>
      <c r="C433" s="301"/>
      <c r="D433" s="300">
        <v>15.8847751617432</v>
      </c>
      <c r="E433" s="300">
        <v>16.691057205200199</v>
      </c>
      <c r="F433" s="300">
        <v>18.258220672607401</v>
      </c>
      <c r="G433" s="300">
        <v>18.768579483032202</v>
      </c>
      <c r="H433" s="300">
        <v>18.8538303375244</v>
      </c>
      <c r="I433" s="300">
        <v>18.518165588378899</v>
      </c>
      <c r="J433" s="300">
        <v>18.014034271240199</v>
      </c>
      <c r="K433" s="300">
        <v>17.2542610168457</v>
      </c>
      <c r="L433" s="300">
        <v>16.790317535400401</v>
      </c>
      <c r="M433" s="300">
        <v>16.590124130248999</v>
      </c>
      <c r="N433" s="300">
        <v>16.466903686523398</v>
      </c>
      <c r="O433" s="300">
        <v>16.461626052856399</v>
      </c>
      <c r="P433" s="300">
        <v>16.6055717468262</v>
      </c>
      <c r="Q433" s="300">
        <v>16.851476669311499</v>
      </c>
      <c r="R433" s="300">
        <v>17.021175384521499</v>
      </c>
      <c r="S433" s="300">
        <v>17.000881195068398</v>
      </c>
      <c r="T433" s="300">
        <v>17.070917129516602</v>
      </c>
      <c r="U433" s="300">
        <v>17.1260585784912</v>
      </c>
      <c r="V433" s="300">
        <v>17.140884399414102</v>
      </c>
      <c r="W433" s="300">
        <v>17.206485748291001</v>
      </c>
      <c r="X433" s="300">
        <v>17.3262729644775</v>
      </c>
      <c r="Y433" s="300">
        <v>17.353824615478501</v>
      </c>
      <c r="Z433" s="300">
        <v>17.310489654541001</v>
      </c>
    </row>
    <row r="434" spans="1:26" x14ac:dyDescent="0.25">
      <c r="A434" s="300" t="s">
        <v>473</v>
      </c>
      <c r="B434" s="300"/>
      <c r="C434" s="300"/>
      <c r="D434" s="300"/>
      <c r="E434" s="300"/>
      <c r="F434" s="300"/>
      <c r="G434" s="300"/>
      <c r="H434" s="300"/>
      <c r="I434" s="300"/>
      <c r="J434" s="300"/>
      <c r="K434" s="300"/>
      <c r="L434" s="300"/>
      <c r="M434" s="300"/>
      <c r="N434" s="300"/>
      <c r="O434" s="300"/>
      <c r="P434" s="300"/>
      <c r="Q434" s="300"/>
      <c r="R434" s="300"/>
      <c r="S434" s="300"/>
      <c r="T434" s="300"/>
      <c r="U434" s="300"/>
      <c r="V434" s="300"/>
      <c r="W434" s="300"/>
      <c r="X434" s="300"/>
      <c r="Y434" s="300"/>
      <c r="Z434" s="300"/>
    </row>
    <row r="435" spans="1:26" x14ac:dyDescent="0.25">
      <c r="A435" s="300" t="s">
        <v>602</v>
      </c>
      <c r="B435" s="300"/>
      <c r="C435" s="300"/>
      <c r="D435" s="300">
        <v>19.6766357421875</v>
      </c>
      <c r="E435" s="300">
        <v>23.9161167144775</v>
      </c>
      <c r="F435" s="300">
        <v>26.805564880371101</v>
      </c>
      <c r="G435" s="300">
        <v>22.710954666137699</v>
      </c>
      <c r="H435" s="300">
        <v>22.759067535400401</v>
      </c>
      <c r="I435" s="300">
        <v>22.268846511840799</v>
      </c>
      <c r="J435" s="300">
        <v>24.343835830688501</v>
      </c>
      <c r="K435" s="300">
        <v>23.932544708251999</v>
      </c>
      <c r="L435" s="300">
        <v>23.763250350952099</v>
      </c>
      <c r="M435" s="300">
        <v>23.536403656005898</v>
      </c>
      <c r="N435" s="300">
        <v>23.5618801116943</v>
      </c>
      <c r="O435" s="300">
        <v>23.4868278503418</v>
      </c>
      <c r="P435" s="300">
        <v>23.560710906982401</v>
      </c>
      <c r="Q435" s="300">
        <v>23.7542419433594</v>
      </c>
      <c r="R435" s="300">
        <v>23.654756546020501</v>
      </c>
      <c r="S435" s="300">
        <v>23.5774955749512</v>
      </c>
      <c r="T435" s="300">
        <v>23.664421081543001</v>
      </c>
      <c r="U435" s="300">
        <v>23.6253147125244</v>
      </c>
      <c r="V435" s="300">
        <v>23.741106033325199</v>
      </c>
      <c r="W435" s="300">
        <v>23.8700561523438</v>
      </c>
      <c r="X435" s="300">
        <v>23.973831176757798</v>
      </c>
      <c r="Y435" s="300">
        <v>23.953416824340799</v>
      </c>
      <c r="Z435" s="300">
        <v>23.9759330749512</v>
      </c>
    </row>
    <row r="436" spans="1:26" x14ac:dyDescent="0.25">
      <c r="A436" s="304" t="s">
        <v>603</v>
      </c>
      <c r="B436" s="304"/>
      <c r="C436" s="304"/>
      <c r="D436" s="300">
        <v>20.914932250976602</v>
      </c>
      <c r="E436" s="300">
        <v>23.101913452148398</v>
      </c>
      <c r="F436" s="300">
        <v>24.811454772949201</v>
      </c>
      <c r="G436" s="300">
        <v>27.774848937988299</v>
      </c>
      <c r="H436" s="300">
        <v>25.9952602386475</v>
      </c>
      <c r="I436" s="300">
        <v>24.2666110992432</v>
      </c>
      <c r="J436" s="300">
        <v>21.291254043579102</v>
      </c>
      <c r="K436" s="300">
        <v>20.525190353393601</v>
      </c>
      <c r="L436" s="300">
        <v>20.3361301422119</v>
      </c>
      <c r="M436" s="300">
        <v>20.197395324706999</v>
      </c>
      <c r="N436" s="300">
        <v>20.009881973266602</v>
      </c>
      <c r="O436" s="300">
        <v>20.093305587768601</v>
      </c>
      <c r="P436" s="300">
        <v>20.196292877197301</v>
      </c>
      <c r="Q436" s="300">
        <v>20.4327602386475</v>
      </c>
      <c r="R436" s="300">
        <v>20.4076957702637</v>
      </c>
      <c r="S436" s="300">
        <v>20.624263763427699</v>
      </c>
      <c r="T436" s="300">
        <v>20.610368728637699</v>
      </c>
      <c r="U436" s="300">
        <v>20.617734909057599</v>
      </c>
      <c r="V436" s="300">
        <v>21.067132949829102</v>
      </c>
      <c r="W436" s="300">
        <v>20.970218658447301</v>
      </c>
      <c r="X436" s="300">
        <v>20.962213516235401</v>
      </c>
      <c r="Y436" s="300">
        <v>21.257926940918001</v>
      </c>
      <c r="Z436" s="300">
        <v>21.098123550415</v>
      </c>
    </row>
    <row r="437" spans="1:26" x14ac:dyDescent="0.25">
      <c r="A437" s="303" t="s">
        <v>604</v>
      </c>
      <c r="B437" s="303"/>
      <c r="C437" s="303"/>
      <c r="D437" s="300">
        <v>15.721848487854</v>
      </c>
      <c r="E437" s="300">
        <v>18.644901275634801</v>
      </c>
      <c r="F437" s="300">
        <v>21.1534824371338</v>
      </c>
      <c r="G437" s="300">
        <v>20.964454650878899</v>
      </c>
      <c r="H437" s="300">
        <v>19.721015930175799</v>
      </c>
      <c r="I437" s="300">
        <v>18.6920680999756</v>
      </c>
      <c r="J437" s="300">
        <v>17.902309417724599</v>
      </c>
      <c r="K437" s="300">
        <v>17.232242584228501</v>
      </c>
      <c r="L437" s="300">
        <v>16.863773345947301</v>
      </c>
      <c r="M437" s="300">
        <v>16.565891265869102</v>
      </c>
      <c r="N437" s="300">
        <v>16.0857257843018</v>
      </c>
      <c r="O437" s="300">
        <v>16.063297271728501</v>
      </c>
      <c r="P437" s="300">
        <v>16.111997604370099</v>
      </c>
      <c r="Q437" s="300">
        <v>16.240406036376999</v>
      </c>
      <c r="R437" s="300">
        <v>16.3247375488281</v>
      </c>
      <c r="S437" s="300">
        <v>16.6728916168213</v>
      </c>
      <c r="T437" s="300">
        <v>16.6320400238037</v>
      </c>
      <c r="U437" s="300">
        <v>16.751285552978501</v>
      </c>
      <c r="V437" s="300">
        <v>17.051519393920898</v>
      </c>
      <c r="W437" s="300">
        <v>16.920253753662099</v>
      </c>
      <c r="X437" s="300">
        <v>17.1026096343994</v>
      </c>
      <c r="Y437" s="300">
        <v>17.3232307434082</v>
      </c>
      <c r="Z437" s="300">
        <v>17.144313812255898</v>
      </c>
    </row>
    <row r="438" spans="1:26" x14ac:dyDescent="0.25">
      <c r="A438" s="300" t="s">
        <v>605</v>
      </c>
      <c r="B438" s="300"/>
      <c r="C438" s="300"/>
      <c r="D438" s="300">
        <v>9.2184209823608398</v>
      </c>
      <c r="E438" s="300">
        <v>13.1439361572266</v>
      </c>
      <c r="F438" s="300">
        <v>14.9574270248413</v>
      </c>
      <c r="G438" s="300">
        <v>12.9907026290894</v>
      </c>
      <c r="H438" s="300">
        <v>11.722384452819799</v>
      </c>
      <c r="I438" s="300">
        <v>11.2624855041504</v>
      </c>
      <c r="J438" s="300">
        <v>10.9056959152222</v>
      </c>
      <c r="K438" s="300">
        <v>10.3720808029175</v>
      </c>
      <c r="L438" s="300">
        <v>10.059165954589799</v>
      </c>
      <c r="M438" s="300">
        <v>10.0335283279419</v>
      </c>
      <c r="N438" s="300">
        <v>9.8430700302124006</v>
      </c>
      <c r="O438" s="300">
        <v>9.8874025344848597</v>
      </c>
      <c r="P438" s="300">
        <v>10.0322532653809</v>
      </c>
      <c r="Q438" s="300">
        <v>10.087176322936999</v>
      </c>
      <c r="R438" s="300">
        <v>10.2108345031738</v>
      </c>
      <c r="S438" s="300">
        <v>10.523097038269</v>
      </c>
      <c r="T438" s="300">
        <v>10.506872177124</v>
      </c>
      <c r="U438" s="300">
        <v>10.5880041122437</v>
      </c>
      <c r="V438" s="300">
        <v>10.8930578231812</v>
      </c>
      <c r="W438" s="300">
        <v>10.788450241088899</v>
      </c>
      <c r="X438" s="300">
        <v>10.9106340408325</v>
      </c>
      <c r="Y438" s="300">
        <v>11.0979099273682</v>
      </c>
      <c r="Z438" s="300">
        <v>11.0487413406372</v>
      </c>
    </row>
    <row r="439" spans="1:26" x14ac:dyDescent="0.25">
      <c r="A439" s="303" t="s">
        <v>606</v>
      </c>
      <c r="B439" s="303"/>
      <c r="C439" s="303"/>
      <c r="D439" s="300">
        <v>13.583283424377401</v>
      </c>
      <c r="E439" s="300">
        <v>17.522464752197301</v>
      </c>
      <c r="F439" s="300">
        <v>19.7921543121338</v>
      </c>
      <c r="G439" s="300">
        <v>19.706336975097699</v>
      </c>
      <c r="H439" s="300">
        <v>18.211244583129901</v>
      </c>
      <c r="I439" s="300">
        <v>17.3085613250732</v>
      </c>
      <c r="J439" s="300">
        <v>16.8088684082031</v>
      </c>
      <c r="K439" s="300">
        <v>16.001249313354499</v>
      </c>
      <c r="L439" s="300">
        <v>15.3922462463379</v>
      </c>
      <c r="M439" s="300">
        <v>15.213009834289601</v>
      </c>
      <c r="N439" s="300">
        <v>14.822114944458001</v>
      </c>
      <c r="O439" s="300">
        <v>14.859941482543899</v>
      </c>
      <c r="P439" s="300">
        <v>15.1213598251343</v>
      </c>
      <c r="Q439" s="300">
        <v>15.075839042663601</v>
      </c>
      <c r="R439" s="300">
        <v>15.158118247985801</v>
      </c>
      <c r="S439" s="300">
        <v>15.4795846939087</v>
      </c>
      <c r="T439" s="300">
        <v>15.4157457351685</v>
      </c>
      <c r="U439" s="300">
        <v>15.4886207580566</v>
      </c>
      <c r="V439" s="300">
        <v>15.773143768310501</v>
      </c>
      <c r="W439" s="300">
        <v>15.4716739654541</v>
      </c>
      <c r="X439" s="300">
        <v>15.639728546142599</v>
      </c>
      <c r="Y439" s="300">
        <v>15.912574768066399</v>
      </c>
      <c r="Z439" s="300">
        <v>15.834021568298301</v>
      </c>
    </row>
    <row r="440" spans="1:26" x14ac:dyDescent="0.25">
      <c r="A440" s="300" t="s">
        <v>596</v>
      </c>
      <c r="B440" s="300"/>
      <c r="C440" s="300"/>
      <c r="D440" s="300">
        <v>4.8536195755004901</v>
      </c>
      <c r="E440" s="300">
        <v>5.5067763328552202</v>
      </c>
      <c r="F440" s="300">
        <v>7.1623473167419398</v>
      </c>
      <c r="G440" s="300">
        <v>8.8221101760864293</v>
      </c>
      <c r="H440" s="300">
        <v>9.0483112335205096</v>
      </c>
      <c r="I440" s="300">
        <v>8.6029233932495099</v>
      </c>
      <c r="J440" s="300">
        <v>8.0481967926025408</v>
      </c>
      <c r="K440" s="300">
        <v>7.6902847290039098</v>
      </c>
      <c r="L440" s="300">
        <v>7.3429737091064498</v>
      </c>
      <c r="M440" s="300">
        <v>7.1018238067626998</v>
      </c>
      <c r="N440" s="300">
        <v>6.97245073318481</v>
      </c>
      <c r="O440" s="300">
        <v>7.0413579940795898</v>
      </c>
      <c r="P440" s="300">
        <v>7.0324416160583496</v>
      </c>
      <c r="Q440" s="300">
        <v>7.12284135818481</v>
      </c>
      <c r="R440" s="300">
        <v>7.14320993423462</v>
      </c>
      <c r="S440" s="300">
        <v>7.1685328483581499</v>
      </c>
      <c r="T440" s="300">
        <v>7.3589744567871103</v>
      </c>
      <c r="U440" s="300">
        <v>7.4886426925659197</v>
      </c>
      <c r="V440" s="300">
        <v>7.6476154327392596</v>
      </c>
      <c r="W440" s="300">
        <v>7.6766633987426802</v>
      </c>
      <c r="X440" s="300">
        <v>7.8515577316284197</v>
      </c>
      <c r="Y440" s="300">
        <v>7.8973522186279297</v>
      </c>
      <c r="Z440" s="300">
        <v>8.0370302200317401</v>
      </c>
    </row>
    <row r="441" spans="1:26" x14ac:dyDescent="0.25">
      <c r="A441" s="300" t="s">
        <v>607</v>
      </c>
      <c r="B441" s="300"/>
      <c r="C441" s="300"/>
      <c r="D441" s="300">
        <v>11.913727760314901</v>
      </c>
      <c r="E441" s="300">
        <v>14.761161804199199</v>
      </c>
      <c r="F441" s="300">
        <v>11.981869697570801</v>
      </c>
      <c r="G441" s="300">
        <v>12.283256530761699</v>
      </c>
      <c r="H441" s="300">
        <v>12.1389265060425</v>
      </c>
      <c r="I441" s="300">
        <v>12.3170175552368</v>
      </c>
      <c r="J441" s="300">
        <v>13.965456008911101</v>
      </c>
      <c r="K441" s="300">
        <v>13.507596015930201</v>
      </c>
      <c r="L441" s="300">
        <v>13.291357994079601</v>
      </c>
      <c r="M441" s="300">
        <v>13.0437335968018</v>
      </c>
      <c r="N441" s="300">
        <v>12.940827369689901</v>
      </c>
      <c r="O441" s="300">
        <v>12.861621856689499</v>
      </c>
      <c r="P441" s="300">
        <v>12.894752502441399</v>
      </c>
      <c r="Q441" s="300">
        <v>13.0291633605957</v>
      </c>
      <c r="R441" s="300">
        <v>12.9489841461182</v>
      </c>
      <c r="S441" s="300">
        <v>12.946153640747101</v>
      </c>
      <c r="T441" s="300">
        <v>12.9756631851196</v>
      </c>
      <c r="U441" s="300">
        <v>12.953050613403301</v>
      </c>
      <c r="V441" s="300">
        <v>13.079764366149901</v>
      </c>
      <c r="W441" s="300">
        <v>13.110743522644</v>
      </c>
      <c r="X441" s="300">
        <v>13.198463439941399</v>
      </c>
      <c r="Y441" s="300">
        <v>13.2244005203247</v>
      </c>
      <c r="Z441" s="300">
        <v>13.175202369689901</v>
      </c>
    </row>
    <row r="442" spans="1:26" x14ac:dyDescent="0.25">
      <c r="A442" s="300" t="s">
        <v>465</v>
      </c>
      <c r="B442" s="300"/>
      <c r="C442" s="300"/>
      <c r="D442" s="300">
        <v>26.1035976409912</v>
      </c>
      <c r="E442" s="300">
        <v>25.216188430786101</v>
      </c>
      <c r="F442" s="300">
        <v>26.121034622192401</v>
      </c>
      <c r="G442" s="300">
        <v>25.629154205322301</v>
      </c>
      <c r="H442" s="300">
        <v>25.7473449707031</v>
      </c>
      <c r="I442" s="300">
        <v>25.392839431762699</v>
      </c>
      <c r="J442" s="300">
        <v>24.861566543579102</v>
      </c>
      <c r="K442" s="300">
        <v>24.317947387695298</v>
      </c>
      <c r="L442" s="300">
        <v>24.125808715820298</v>
      </c>
      <c r="M442" s="300">
        <v>23.980707168579102</v>
      </c>
      <c r="N442" s="300">
        <v>23.787378311157202</v>
      </c>
      <c r="O442" s="300">
        <v>23.809650421142599</v>
      </c>
      <c r="P442" s="300">
        <v>23.876377105712901</v>
      </c>
      <c r="Q442" s="300">
        <v>24.074831008911101</v>
      </c>
      <c r="R442" s="300">
        <v>24.262081146240199</v>
      </c>
      <c r="S442" s="300">
        <v>24.183790206909201</v>
      </c>
      <c r="T442" s="300">
        <v>24.2170009613037</v>
      </c>
      <c r="U442" s="300">
        <v>24.245899200439499</v>
      </c>
      <c r="V442" s="300">
        <v>24.2234077453613</v>
      </c>
      <c r="W442" s="300">
        <v>24.307447433471701</v>
      </c>
      <c r="X442" s="300">
        <v>24.4279899597168</v>
      </c>
      <c r="Y442" s="300">
        <v>24.465734481811499</v>
      </c>
      <c r="Z442" s="300">
        <v>24.386825561523398</v>
      </c>
    </row>
    <row r="443" spans="1:26" x14ac:dyDescent="0.25">
      <c r="A443" s="300" t="s">
        <v>608</v>
      </c>
      <c r="B443" s="300"/>
      <c r="C443" s="300"/>
      <c r="D443" s="300"/>
      <c r="E443" s="300"/>
      <c r="F443" s="300"/>
      <c r="G443" s="300"/>
      <c r="H443" s="300"/>
      <c r="I443" s="300"/>
      <c r="J443" s="300"/>
      <c r="K443" s="300"/>
      <c r="L443" s="300"/>
      <c r="M443" s="300"/>
      <c r="N443" s="300"/>
      <c r="O443" s="300"/>
      <c r="P443" s="300"/>
      <c r="Q443" s="300"/>
      <c r="R443" s="300"/>
      <c r="S443" s="300"/>
      <c r="T443" s="300"/>
      <c r="U443" s="300"/>
      <c r="V443" s="300"/>
      <c r="W443" s="300"/>
      <c r="X443" s="300"/>
      <c r="Y443" s="300"/>
      <c r="Z443" s="300"/>
    </row>
    <row r="444" spans="1:26" x14ac:dyDescent="0.25">
      <c r="A444" s="300" t="s">
        <v>595</v>
      </c>
      <c r="B444" s="300"/>
      <c r="C444" s="300"/>
      <c r="D444" s="300">
        <v>9.5153579711914098</v>
      </c>
      <c r="E444" s="300">
        <v>11.3847246170044</v>
      </c>
      <c r="F444" s="300">
        <v>13.235827445983899</v>
      </c>
      <c r="G444" s="300">
        <v>14.263434410095201</v>
      </c>
      <c r="H444" s="300">
        <v>13.7692108154297</v>
      </c>
      <c r="I444" s="300">
        <v>12.704180717468301</v>
      </c>
      <c r="J444" s="300">
        <v>11.7051839828491</v>
      </c>
      <c r="K444" s="300">
        <v>10.7794647216797</v>
      </c>
      <c r="L444" s="300">
        <v>10.0299482345581</v>
      </c>
      <c r="M444" s="300">
        <v>9.2896862030029297</v>
      </c>
      <c r="N444" s="300">
        <v>9.1972703933715803</v>
      </c>
      <c r="O444" s="300">
        <v>9.2599020004272496</v>
      </c>
      <c r="P444" s="300">
        <v>9.2775526046752894</v>
      </c>
      <c r="Q444" s="300">
        <v>9.4403448104858398</v>
      </c>
      <c r="R444" s="300">
        <v>9.5352287292480504</v>
      </c>
      <c r="S444" s="300">
        <v>9.7515039443969709</v>
      </c>
      <c r="T444" s="300">
        <v>9.8428487777709996</v>
      </c>
      <c r="U444" s="300">
        <v>9.9595317840576207</v>
      </c>
      <c r="V444" s="300">
        <v>10.1106100082397</v>
      </c>
      <c r="W444" s="300">
        <v>10.0771369934082</v>
      </c>
      <c r="X444" s="300">
        <v>10.217479705810501</v>
      </c>
      <c r="Y444" s="300">
        <v>10.254093170166</v>
      </c>
      <c r="Z444" s="300">
        <v>10.318883895874</v>
      </c>
    </row>
    <row r="445" spans="1:26" x14ac:dyDescent="0.25">
      <c r="A445" s="300" t="s">
        <v>596</v>
      </c>
      <c r="B445" s="300"/>
      <c r="C445" s="300"/>
      <c r="D445" s="300">
        <v>4.9909768104553196</v>
      </c>
      <c r="E445" s="300">
        <v>6.9611043930053702</v>
      </c>
      <c r="F445" s="300">
        <v>7.8457942008972203</v>
      </c>
      <c r="G445" s="300">
        <v>7.1943798065185502</v>
      </c>
      <c r="H445" s="300">
        <v>7.2948379516601598</v>
      </c>
      <c r="I445" s="300">
        <v>6.9926204681396502</v>
      </c>
      <c r="J445" s="300">
        <v>6.5808119773864702</v>
      </c>
      <c r="K445" s="300">
        <v>6.2065305709838903</v>
      </c>
      <c r="L445" s="300">
        <v>5.9029440879821804</v>
      </c>
      <c r="M445" s="300">
        <v>5.45705270767212</v>
      </c>
      <c r="N445" s="300">
        <v>5.4534096717834499</v>
      </c>
      <c r="O445" s="300">
        <v>5.5995068550109899</v>
      </c>
      <c r="P445" s="300">
        <v>5.6287369728088397</v>
      </c>
      <c r="Q445" s="300">
        <v>5.7370648384094203</v>
      </c>
      <c r="R445" s="300">
        <v>5.8140759468078604</v>
      </c>
      <c r="S445" s="300">
        <v>6.0071105957031303</v>
      </c>
      <c r="T445" s="300">
        <v>6.0822205543518102</v>
      </c>
      <c r="U445" s="300">
        <v>6.22955322265625</v>
      </c>
      <c r="V445" s="300">
        <v>6.4186983108520499</v>
      </c>
      <c r="W445" s="300">
        <v>6.3188004493713397</v>
      </c>
      <c r="X445" s="300">
        <v>6.5342454910278303</v>
      </c>
      <c r="Y445" s="300">
        <v>6.5804891586303702</v>
      </c>
      <c r="Z445" s="300">
        <v>6.6370191574096697</v>
      </c>
    </row>
    <row r="446" spans="1:26" x14ac:dyDescent="0.25">
      <c r="A446" s="302" t="s">
        <v>496</v>
      </c>
      <c r="B446" s="302"/>
      <c r="C446" s="302"/>
      <c r="D446" s="300">
        <v>6.1140975952148402</v>
      </c>
      <c r="E446" s="300">
        <v>8.1813249588012695</v>
      </c>
      <c r="F446" s="300">
        <v>6.9707522392272896</v>
      </c>
      <c r="G446" s="300">
        <v>7.1151452064514196</v>
      </c>
      <c r="H446" s="300">
        <v>7.0668158531189</v>
      </c>
      <c r="I446" s="300">
        <v>6.5265731811523402</v>
      </c>
      <c r="J446" s="300">
        <v>6.2202811241149902</v>
      </c>
      <c r="K446" s="300">
        <v>5.8298497200012198</v>
      </c>
      <c r="L446" s="300">
        <v>5.6925516128540004</v>
      </c>
      <c r="M446" s="300">
        <v>5.4995698928832999</v>
      </c>
      <c r="N446" s="300">
        <v>5.54103326797485</v>
      </c>
      <c r="O446" s="300">
        <v>5.5007095336914098</v>
      </c>
      <c r="P446" s="300">
        <v>5.59739446640015</v>
      </c>
      <c r="Q446" s="300">
        <v>5.7880721092224103</v>
      </c>
      <c r="R446" s="300">
        <v>5.7225790023803702</v>
      </c>
      <c r="S446" s="300">
        <v>5.6709170341491699</v>
      </c>
      <c r="T446" s="300">
        <v>5.7639327049255398</v>
      </c>
      <c r="U446" s="300">
        <v>5.72597312927246</v>
      </c>
      <c r="V446" s="300">
        <v>5.8378243446350098</v>
      </c>
      <c r="W446" s="300">
        <v>5.9462161064147896</v>
      </c>
      <c r="X446" s="300">
        <v>6.05735063552856</v>
      </c>
      <c r="Y446" s="300">
        <v>6.0477237701415998</v>
      </c>
      <c r="Z446" s="300">
        <v>6.0664491653442401</v>
      </c>
    </row>
    <row r="447" spans="1:26" x14ac:dyDescent="0.25">
      <c r="A447" s="305" t="s">
        <v>609</v>
      </c>
      <c r="B447" s="305"/>
      <c r="C447" s="305"/>
      <c r="D447" s="300">
        <v>1.4011929035186801</v>
      </c>
      <c r="E447" s="300">
        <v>1.5299999713897701</v>
      </c>
      <c r="F447" s="300">
        <v>1.6714243888855</v>
      </c>
      <c r="G447" s="300">
        <v>1.69177293777466</v>
      </c>
      <c r="H447" s="300">
        <v>1.70398998260498</v>
      </c>
      <c r="I447" s="300">
        <v>1.7000321149826001</v>
      </c>
      <c r="J447" s="300">
        <v>1.7052028179168699</v>
      </c>
      <c r="K447" s="300">
        <v>1.66678094863892</v>
      </c>
      <c r="L447" s="300">
        <v>1.63700723648071</v>
      </c>
      <c r="M447" s="300">
        <v>1.6199716329574601</v>
      </c>
      <c r="N447" s="300">
        <v>1.61296951770782</v>
      </c>
      <c r="O447" s="300">
        <v>1.59987056255341</v>
      </c>
      <c r="P447" s="300">
        <v>1.59190189838409</v>
      </c>
      <c r="Q447" s="300">
        <v>1.5892090797424301</v>
      </c>
      <c r="R447" s="300">
        <v>1.57604885101318</v>
      </c>
      <c r="S447" s="300">
        <v>1.5779995918273899</v>
      </c>
      <c r="T447" s="300">
        <v>1.5809644460678101</v>
      </c>
      <c r="U447" s="300">
        <v>1.5890377759933501</v>
      </c>
      <c r="V447" s="300">
        <v>1.59825491905212</v>
      </c>
      <c r="W447" s="300">
        <v>1.6020262241363501</v>
      </c>
      <c r="X447" s="300">
        <v>1.6148724555969201</v>
      </c>
      <c r="Y447" s="300">
        <v>1.62832856178284</v>
      </c>
      <c r="Z447" s="300">
        <v>1.63934326171875</v>
      </c>
    </row>
    <row r="448" spans="1:26" x14ac:dyDescent="0.25">
      <c r="A448" s="300" t="s">
        <v>610</v>
      </c>
      <c r="B448" s="300"/>
      <c r="C448" s="300"/>
      <c r="D448" s="300"/>
      <c r="E448" s="300"/>
      <c r="F448" s="300"/>
      <c r="G448" s="300"/>
      <c r="H448" s="300"/>
      <c r="I448" s="300"/>
      <c r="J448" s="300"/>
      <c r="K448" s="300"/>
      <c r="L448" s="300"/>
      <c r="M448" s="300"/>
      <c r="N448" s="300"/>
      <c r="O448" s="300"/>
      <c r="P448" s="300"/>
      <c r="Q448" s="300"/>
      <c r="R448" s="300"/>
      <c r="S448" s="300"/>
      <c r="T448" s="300"/>
      <c r="U448" s="300"/>
      <c r="V448" s="300"/>
      <c r="W448" s="300"/>
      <c r="X448" s="300"/>
      <c r="Y448" s="300"/>
      <c r="Z448" s="300"/>
    </row>
    <row r="449" spans="1:70" x14ac:dyDescent="0.25">
      <c r="A449" s="300" t="s">
        <v>594</v>
      </c>
      <c r="B449" s="300"/>
      <c r="C449" s="300"/>
      <c r="D449" s="300">
        <v>12.6906900405884</v>
      </c>
      <c r="E449" s="300">
        <v>17.482444763183601</v>
      </c>
      <c r="F449" s="300">
        <v>19.464084625244102</v>
      </c>
      <c r="G449" s="300">
        <v>18.995626449585</v>
      </c>
      <c r="H449" s="300">
        <v>18.880571365356399</v>
      </c>
      <c r="I449" s="300">
        <v>18.286575317382798</v>
      </c>
      <c r="J449" s="300">
        <v>18.020065307617202</v>
      </c>
      <c r="K449" s="300">
        <v>17.571559906005898</v>
      </c>
      <c r="L449" s="300">
        <v>17.417589187622099</v>
      </c>
      <c r="M449" s="300">
        <v>17.2678737640381</v>
      </c>
      <c r="N449" s="300">
        <v>17.291303634643601</v>
      </c>
      <c r="O449" s="300">
        <v>17.241743087768601</v>
      </c>
      <c r="P449" s="300">
        <v>17.364793777465799</v>
      </c>
      <c r="Q449" s="300">
        <v>17.562221527099599</v>
      </c>
      <c r="R449" s="300">
        <v>17.562810897827099</v>
      </c>
      <c r="S449" s="300">
        <v>17.558799743652301</v>
      </c>
      <c r="T449" s="300">
        <v>17.620630264282202</v>
      </c>
      <c r="U449" s="300">
        <v>17.599321365356399</v>
      </c>
      <c r="V449" s="300">
        <v>17.721448898315401</v>
      </c>
      <c r="W449" s="300">
        <v>17.8418064117432</v>
      </c>
      <c r="X449" s="300">
        <v>17.9907836914063</v>
      </c>
      <c r="Y449" s="300">
        <v>17.9618225097656</v>
      </c>
      <c r="Z449" s="300">
        <v>17.988685607910199</v>
      </c>
    </row>
    <row r="450" spans="1:70" x14ac:dyDescent="0.25">
      <c r="A450" s="300" t="s">
        <v>603</v>
      </c>
      <c r="B450" s="300"/>
      <c r="C450" s="300"/>
      <c r="D450" s="300">
        <v>20.914932250976602</v>
      </c>
      <c r="E450" s="300">
        <v>23.101913452148398</v>
      </c>
      <c r="F450" s="300">
        <v>24.811454772949201</v>
      </c>
      <c r="G450" s="300">
        <v>27.774848937988299</v>
      </c>
      <c r="H450" s="300">
        <v>25.9952602386475</v>
      </c>
      <c r="I450" s="300">
        <v>24.2666110992432</v>
      </c>
      <c r="J450" s="300">
        <v>21.291254043579102</v>
      </c>
      <c r="K450" s="300">
        <v>20.525190353393601</v>
      </c>
      <c r="L450" s="300">
        <v>20.3361301422119</v>
      </c>
      <c r="M450" s="300">
        <v>20.197395324706999</v>
      </c>
      <c r="N450" s="300">
        <v>20.009881973266602</v>
      </c>
      <c r="O450" s="300">
        <v>20.093305587768601</v>
      </c>
      <c r="P450" s="300">
        <v>20.196292877197301</v>
      </c>
      <c r="Q450" s="300">
        <v>20.4327602386475</v>
      </c>
      <c r="R450" s="300">
        <v>20.4076957702637</v>
      </c>
      <c r="S450" s="300">
        <v>20.624263763427699</v>
      </c>
      <c r="T450" s="300">
        <v>20.610368728637699</v>
      </c>
      <c r="U450" s="300">
        <v>20.617734909057599</v>
      </c>
      <c r="V450" s="300">
        <v>21.067132949829102</v>
      </c>
      <c r="W450" s="300">
        <v>20.970218658447301</v>
      </c>
      <c r="X450" s="300">
        <v>20.962213516235401</v>
      </c>
      <c r="Y450" s="300">
        <v>21.257926940918001</v>
      </c>
      <c r="Z450" s="300">
        <v>21.098123550415</v>
      </c>
    </row>
    <row r="451" spans="1:70" x14ac:dyDescent="0.25">
      <c r="A451" s="300" t="s">
        <v>604</v>
      </c>
      <c r="B451" s="300"/>
      <c r="C451" s="300"/>
      <c r="D451" s="300">
        <v>15.706001281738301</v>
      </c>
      <c r="E451" s="300">
        <v>18.602125167846701</v>
      </c>
      <c r="F451" s="300">
        <v>21.1080112457275</v>
      </c>
      <c r="G451" s="300">
        <v>20.962741851806602</v>
      </c>
      <c r="H451" s="300">
        <v>19.720066070556602</v>
      </c>
      <c r="I451" s="300">
        <v>18.690637588501001</v>
      </c>
      <c r="J451" s="300">
        <v>17.900485992431602</v>
      </c>
      <c r="K451" s="300">
        <v>17.230388641357401</v>
      </c>
      <c r="L451" s="300">
        <v>16.861814498901399</v>
      </c>
      <c r="M451" s="300">
        <v>16.564214706420898</v>
      </c>
      <c r="N451" s="300">
        <v>16.0839519500732</v>
      </c>
      <c r="O451" s="300">
        <v>16.0615749359131</v>
      </c>
      <c r="P451" s="300">
        <v>16.110080718994102</v>
      </c>
      <c r="Q451" s="300">
        <v>16.238643646240199</v>
      </c>
      <c r="R451" s="300">
        <v>16.322971343994102</v>
      </c>
      <c r="S451" s="300">
        <v>16.671089172363299</v>
      </c>
      <c r="T451" s="300">
        <v>16.630247116088899</v>
      </c>
      <c r="U451" s="300">
        <v>16.7495441436768</v>
      </c>
      <c r="V451" s="300">
        <v>17.049686431884801</v>
      </c>
      <c r="W451" s="300">
        <v>16.918500900268601</v>
      </c>
      <c r="X451" s="300">
        <v>17.100944519043001</v>
      </c>
      <c r="Y451" s="300">
        <v>17.321361541748001</v>
      </c>
      <c r="Z451" s="300">
        <v>17.142530441284201</v>
      </c>
    </row>
    <row r="452" spans="1:70" x14ac:dyDescent="0.25">
      <c r="A452" s="300" t="s">
        <v>611</v>
      </c>
      <c r="B452" s="300"/>
      <c r="C452" s="300"/>
      <c r="D452" s="300">
        <v>9.2184209823608398</v>
      </c>
      <c r="E452" s="300">
        <v>13.1439361572266</v>
      </c>
      <c r="F452" s="300">
        <v>14.9574270248413</v>
      </c>
      <c r="G452" s="300">
        <v>12.9907026290894</v>
      </c>
      <c r="H452" s="300">
        <v>11.722384452819799</v>
      </c>
      <c r="I452" s="300">
        <v>11.2624855041504</v>
      </c>
      <c r="J452" s="300">
        <v>10.9056959152222</v>
      </c>
      <c r="K452" s="300">
        <v>10.3720808029175</v>
      </c>
      <c r="L452" s="300">
        <v>10.059165954589799</v>
      </c>
      <c r="M452" s="300">
        <v>10.0335283279419</v>
      </c>
      <c r="N452" s="300">
        <v>9.8430700302124006</v>
      </c>
      <c r="O452" s="300">
        <v>9.8874025344848597</v>
      </c>
      <c r="P452" s="300">
        <v>10.0322532653809</v>
      </c>
      <c r="Q452" s="300">
        <v>10.087176322936999</v>
      </c>
      <c r="R452" s="300">
        <v>10.2108345031738</v>
      </c>
      <c r="S452" s="300">
        <v>10.523097038269</v>
      </c>
      <c r="T452" s="300">
        <v>10.506872177124</v>
      </c>
      <c r="U452" s="300">
        <v>10.5880041122437</v>
      </c>
      <c r="V452" s="300">
        <v>10.8930578231812</v>
      </c>
      <c r="W452" s="300">
        <v>10.788450241088899</v>
      </c>
      <c r="X452" s="300">
        <v>10.9106340408325</v>
      </c>
      <c r="Y452" s="300">
        <v>11.0979099273682</v>
      </c>
      <c r="Z452" s="300">
        <v>11.0487413406372</v>
      </c>
    </row>
    <row r="453" spans="1:70" x14ac:dyDescent="0.25">
      <c r="A453" s="300" t="s">
        <v>595</v>
      </c>
      <c r="B453" s="300"/>
      <c r="C453" s="300"/>
      <c r="D453" s="300">
        <v>12.9106340408325</v>
      </c>
      <c r="E453" s="300">
        <v>16.217037200927699</v>
      </c>
      <c r="F453" s="300">
        <v>18.421550750732401</v>
      </c>
      <c r="G453" s="300">
        <v>18.437913894653299</v>
      </c>
      <c r="H453" s="300">
        <v>17.199058532714801</v>
      </c>
      <c r="I453" s="300">
        <v>16.296318054199201</v>
      </c>
      <c r="J453" s="300">
        <v>15.704516410827599</v>
      </c>
      <c r="K453" s="300">
        <v>14.921827316284199</v>
      </c>
      <c r="L453" s="300">
        <v>14.360170364379901</v>
      </c>
      <c r="M453" s="300">
        <v>14.182985305786101</v>
      </c>
      <c r="N453" s="300">
        <v>13.862556457519499</v>
      </c>
      <c r="O453" s="300">
        <v>13.915904045105</v>
      </c>
      <c r="P453" s="300">
        <v>14.153459548950201</v>
      </c>
      <c r="Q453" s="300">
        <v>14.1445617675781</v>
      </c>
      <c r="R453" s="300">
        <v>14.2399711608887</v>
      </c>
      <c r="S453" s="300">
        <v>14.558382987976101</v>
      </c>
      <c r="T453" s="300">
        <v>14.527869224548301</v>
      </c>
      <c r="U453" s="300">
        <v>14.6189737319946</v>
      </c>
      <c r="V453" s="300">
        <v>14.9021968841553</v>
      </c>
      <c r="W453" s="300">
        <v>14.6463842391968</v>
      </c>
      <c r="X453" s="300">
        <v>14.8252000808716</v>
      </c>
      <c r="Y453" s="300">
        <v>15.0819444656372</v>
      </c>
      <c r="Z453" s="300">
        <v>15.031323432922401</v>
      </c>
    </row>
    <row r="454" spans="1:70" x14ac:dyDescent="0.25">
      <c r="A454" s="300" t="s">
        <v>596</v>
      </c>
      <c r="B454" s="300"/>
      <c r="C454" s="300"/>
      <c r="D454" s="300">
        <v>5.0985417366027797</v>
      </c>
      <c r="E454" s="300">
        <v>6.5886197090148899</v>
      </c>
      <c r="F454" s="300">
        <v>7.9185199737548801</v>
      </c>
      <c r="G454" s="300">
        <v>8.2529850006103498</v>
      </c>
      <c r="H454" s="300">
        <v>8.4050197601318395</v>
      </c>
      <c r="I454" s="300">
        <v>8.0572872161865199</v>
      </c>
      <c r="J454" s="300">
        <v>7.6087560653686497</v>
      </c>
      <c r="K454" s="300">
        <v>7.1943945884704599</v>
      </c>
      <c r="L454" s="300">
        <v>6.8676166534423801</v>
      </c>
      <c r="M454" s="300">
        <v>6.4547815322876003</v>
      </c>
      <c r="N454" s="300">
        <v>6.4073238372802699</v>
      </c>
      <c r="O454" s="300">
        <v>6.54701900482178</v>
      </c>
      <c r="P454" s="300">
        <v>6.5695567131042498</v>
      </c>
      <c r="Q454" s="300">
        <v>6.6816062927246103</v>
      </c>
      <c r="R454" s="300">
        <v>6.7372307777404803</v>
      </c>
      <c r="S454" s="300">
        <v>6.86507225036621</v>
      </c>
      <c r="T454" s="300">
        <v>6.9956922531127903</v>
      </c>
      <c r="U454" s="300">
        <v>7.1396765708923304</v>
      </c>
      <c r="V454" s="300">
        <v>7.3088741302490199</v>
      </c>
      <c r="W454" s="300">
        <v>7.2670574188232404</v>
      </c>
      <c r="X454" s="300">
        <v>7.4510564804077104</v>
      </c>
      <c r="Y454" s="300">
        <v>7.4737396240234402</v>
      </c>
      <c r="Z454" s="300">
        <v>7.5808291435241699</v>
      </c>
    </row>
    <row r="455" spans="1:70" x14ac:dyDescent="0.25">
      <c r="A455" s="300" t="s">
        <v>496</v>
      </c>
      <c r="B455" s="300"/>
      <c r="C455" s="300"/>
      <c r="D455" s="300">
        <v>7.8259296417236301</v>
      </c>
      <c r="E455" s="300">
        <v>9.6487970352172905</v>
      </c>
      <c r="F455" s="300">
        <v>9.1377601623535192</v>
      </c>
      <c r="G455" s="300">
        <v>8.7611961364746094</v>
      </c>
      <c r="H455" s="300">
        <v>8.6626396179199201</v>
      </c>
      <c r="I455" s="300">
        <v>8.1270828247070295</v>
      </c>
      <c r="J455" s="300">
        <v>7.8336372375488299</v>
      </c>
      <c r="K455" s="300">
        <v>7.4448304176330602</v>
      </c>
      <c r="L455" s="300">
        <v>7.2887372970581099</v>
      </c>
      <c r="M455" s="300">
        <v>7.0927038192748997</v>
      </c>
      <c r="N455" s="300">
        <v>7.1150150299072301</v>
      </c>
      <c r="O455" s="300">
        <v>7.0641679763793901</v>
      </c>
      <c r="P455" s="300">
        <v>7.1520218849182102</v>
      </c>
      <c r="Q455" s="300">
        <v>7.3469972610473597</v>
      </c>
      <c r="R455" s="300">
        <v>7.2896466255187997</v>
      </c>
      <c r="S455" s="300">
        <v>7.2448530197143599</v>
      </c>
      <c r="T455" s="300">
        <v>7.3207983970642099</v>
      </c>
      <c r="U455" s="300">
        <v>7.3070926666259801</v>
      </c>
      <c r="V455" s="300">
        <v>7.4372458457946804</v>
      </c>
      <c r="W455" s="300">
        <v>7.5700182914733896</v>
      </c>
      <c r="X455" s="300">
        <v>7.6924967765808097</v>
      </c>
      <c r="Y455" s="300">
        <v>7.6794857978820801</v>
      </c>
      <c r="Z455" s="300">
        <v>7.7304539680481001</v>
      </c>
    </row>
    <row r="456" spans="1:70" x14ac:dyDescent="0.25">
      <c r="A456" s="300" t="s">
        <v>599</v>
      </c>
      <c r="B456" s="300"/>
      <c r="C456" s="300"/>
      <c r="D456" s="300">
        <v>2.3078472614288299</v>
      </c>
      <c r="E456" s="300">
        <v>3.0599997043609601</v>
      </c>
      <c r="F456" s="300">
        <v>3.2548489570617698</v>
      </c>
      <c r="G456" s="300">
        <v>3.2975256443023699</v>
      </c>
      <c r="H456" s="300">
        <v>3.2872827053070099</v>
      </c>
      <c r="I456" s="300">
        <v>3.1889374256134002</v>
      </c>
      <c r="J456" s="300">
        <v>3.0940959453582799</v>
      </c>
      <c r="K456" s="300">
        <v>2.9914577007293701</v>
      </c>
      <c r="L456" s="300">
        <v>2.8927016258239702</v>
      </c>
      <c r="M456" s="300">
        <v>2.78926348686218</v>
      </c>
      <c r="N456" s="300">
        <v>2.7408642768859899</v>
      </c>
      <c r="O456" s="300">
        <v>2.7166485786438002</v>
      </c>
      <c r="P456" s="300">
        <v>2.7061200141906698</v>
      </c>
      <c r="Q456" s="300">
        <v>2.7063503265380899</v>
      </c>
      <c r="R456" s="300">
        <v>2.7045123577117902</v>
      </c>
      <c r="S456" s="300">
        <v>2.68979120254517</v>
      </c>
      <c r="T456" s="300">
        <v>2.7072892189025901</v>
      </c>
      <c r="U456" s="300">
        <v>2.71812868118286</v>
      </c>
      <c r="V456" s="300">
        <v>2.7191135883331299</v>
      </c>
      <c r="W456" s="300">
        <v>2.7064330577850302</v>
      </c>
      <c r="X456" s="300">
        <v>2.68589544296265</v>
      </c>
      <c r="Y456" s="300">
        <v>2.69574999809265</v>
      </c>
      <c r="Z456" s="300">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0" t="s">
        <v>612</v>
      </c>
      <c r="B457" s="300"/>
      <c r="C457" s="300"/>
      <c r="D457" s="300">
        <v>1.43066883087158</v>
      </c>
      <c r="E457" s="300">
        <v>1.5706532001495399</v>
      </c>
      <c r="F457" s="300">
        <v>1.7059867382049601</v>
      </c>
      <c r="G457" s="300">
        <v>1.7268872261047401</v>
      </c>
      <c r="H457" s="300">
        <v>1.7392324209213299</v>
      </c>
      <c r="I457" s="300">
        <v>1.7345312833786</v>
      </c>
      <c r="J457" s="300">
        <v>1.7401528358459499</v>
      </c>
      <c r="K457" s="300">
        <v>1.7026997804641699</v>
      </c>
      <c r="L457" s="300">
        <v>1.67319643497467</v>
      </c>
      <c r="M457" s="300">
        <v>1.6556009054184</v>
      </c>
      <c r="N457" s="300">
        <v>1.6479283571243299</v>
      </c>
      <c r="O457" s="300">
        <v>1.63474309444427</v>
      </c>
      <c r="P457" s="300">
        <v>1.6263667345046999</v>
      </c>
      <c r="Q457" s="300">
        <v>1.6231272220611599</v>
      </c>
      <c r="R457" s="300">
        <v>1.60980331897736</v>
      </c>
      <c r="S457" s="300">
        <v>1.6111264228820801</v>
      </c>
      <c r="T457" s="300">
        <v>1.61373710632324</v>
      </c>
      <c r="U457" s="300">
        <v>1.6214674711227399</v>
      </c>
      <c r="V457" s="300">
        <v>1.6300570964813199</v>
      </c>
      <c r="W457" s="300">
        <v>1.6331868171691899</v>
      </c>
      <c r="X457" s="300">
        <v>1.6452817916870099</v>
      </c>
      <c r="Y457" s="300">
        <v>1.6581670045852701</v>
      </c>
      <c r="Z457" s="300">
        <v>1.6686607599258401</v>
      </c>
    </row>
    <row r="458" spans="1:70" x14ac:dyDescent="0.25">
      <c r="A458" s="300" t="s">
        <v>601</v>
      </c>
      <c r="B458" s="300"/>
      <c r="C458" s="300"/>
      <c r="D458" s="300" t="s">
        <v>1055</v>
      </c>
      <c r="E458" s="300" t="s">
        <v>1055</v>
      </c>
      <c r="F458" s="300" t="s">
        <v>1055</v>
      </c>
      <c r="G458" s="300" t="s">
        <v>1055</v>
      </c>
      <c r="H458" s="300" t="s">
        <v>1055</v>
      </c>
      <c r="I458" s="300" t="s">
        <v>1055</v>
      </c>
      <c r="J458" s="300" t="s">
        <v>1055</v>
      </c>
      <c r="K458" s="300">
        <v>0.88956671953201305</v>
      </c>
      <c r="L458" s="300">
        <v>0.881245017051697</v>
      </c>
      <c r="M458" s="300">
        <v>0.88442194461822499</v>
      </c>
      <c r="N458" s="300">
        <v>0.89085346460342396</v>
      </c>
      <c r="O458" s="300">
        <v>0.88840740919113204</v>
      </c>
      <c r="P458" s="300">
        <v>0.89322775602340698</v>
      </c>
      <c r="Q458" s="300">
        <v>0.90440875291824296</v>
      </c>
      <c r="R458" s="300">
        <v>0.91453087329864502</v>
      </c>
      <c r="S458" s="300">
        <v>0.95469778776168801</v>
      </c>
      <c r="T458" s="300">
        <v>0.96978461742401101</v>
      </c>
      <c r="U458" s="300">
        <v>1.01334369182587</v>
      </c>
      <c r="V458" s="300">
        <v>1.02781510353088</v>
      </c>
      <c r="W458" s="300">
        <v>1.0294380187988299</v>
      </c>
      <c r="X458" s="300">
        <v>1.1219843626022299</v>
      </c>
      <c r="Y458" s="300">
        <v>1.2297383546829199</v>
      </c>
      <c r="Z458" s="300">
        <v>1.26935982704163</v>
      </c>
    </row>
    <row r="459" spans="1:70" x14ac:dyDescent="0.25">
      <c r="A459" s="300" t="s">
        <v>465</v>
      </c>
      <c r="B459" s="300"/>
      <c r="C459" s="300"/>
      <c r="D459" s="300">
        <v>23.009492874145501</v>
      </c>
      <c r="E459" s="300">
        <v>23.734071731567401</v>
      </c>
      <c r="F459" s="300">
        <v>24.3845615386963</v>
      </c>
      <c r="G459" s="300">
        <v>24.318822860717798</v>
      </c>
      <c r="H459" s="300">
        <v>24.297929763793899</v>
      </c>
      <c r="I459" s="300">
        <v>24.022377014160199</v>
      </c>
      <c r="J459" s="300">
        <v>23.662025451660199</v>
      </c>
      <c r="K459" s="300">
        <v>23.093143463134801</v>
      </c>
      <c r="L459" s="300">
        <v>22.802413940429702</v>
      </c>
      <c r="M459" s="300">
        <v>22.663448333740199</v>
      </c>
      <c r="N459" s="300">
        <v>22.5459308624268</v>
      </c>
      <c r="O459" s="300">
        <v>22.5456428527832</v>
      </c>
      <c r="P459" s="300">
        <v>22.688844680786101</v>
      </c>
      <c r="Q459" s="300">
        <v>22.9480895996094</v>
      </c>
      <c r="R459" s="300">
        <v>23.136041641235401</v>
      </c>
      <c r="S459" s="300">
        <v>23.0899753570557</v>
      </c>
      <c r="T459" s="300">
        <v>23.154170989990199</v>
      </c>
      <c r="U459" s="300">
        <v>23.213594436645501</v>
      </c>
      <c r="V459" s="300">
        <v>23.230543136596701</v>
      </c>
      <c r="W459" s="300">
        <v>23.3047065734863</v>
      </c>
      <c r="X459" s="300">
        <v>23.429094314575199</v>
      </c>
      <c r="Y459" s="300">
        <v>23.4709377288818</v>
      </c>
      <c r="Z459" s="300">
        <v>23.433801651001001</v>
      </c>
    </row>
    <row r="460" spans="1:70" x14ac:dyDescent="0.25">
      <c r="A460" s="300" t="s">
        <v>499</v>
      </c>
      <c r="B460" s="300"/>
      <c r="C460" s="300"/>
      <c r="D460" s="300"/>
      <c r="E460" s="300"/>
      <c r="F460" s="300"/>
      <c r="G460" s="300"/>
      <c r="H460" s="300"/>
      <c r="I460" s="300"/>
      <c r="J460" s="300"/>
      <c r="K460" s="300"/>
      <c r="L460" s="300"/>
      <c r="M460" s="300"/>
      <c r="N460" s="300"/>
      <c r="O460" s="300"/>
      <c r="P460" s="300"/>
      <c r="Q460" s="300"/>
      <c r="R460" s="300"/>
      <c r="S460" s="300"/>
      <c r="T460" s="300"/>
      <c r="U460" s="300"/>
      <c r="V460" s="300"/>
      <c r="W460" s="300"/>
      <c r="X460" s="300"/>
      <c r="Y460" s="300"/>
      <c r="Z460" s="300"/>
    </row>
    <row r="461" spans="1:70" x14ac:dyDescent="0.25">
      <c r="A461" s="300" t="s">
        <v>613</v>
      </c>
      <c r="B461" s="300"/>
      <c r="C461" s="300"/>
      <c r="D461" s="300"/>
      <c r="E461" s="300"/>
      <c r="F461" s="300"/>
      <c r="G461" s="300"/>
      <c r="H461" s="300"/>
      <c r="I461" s="300"/>
      <c r="J461" s="300"/>
      <c r="K461" s="300"/>
      <c r="L461" s="300"/>
      <c r="M461" s="300"/>
      <c r="N461" s="300"/>
      <c r="O461" s="300"/>
      <c r="P461" s="300"/>
      <c r="Q461" s="300"/>
      <c r="R461" s="300"/>
      <c r="S461" s="300"/>
      <c r="T461" s="300"/>
      <c r="U461" s="300"/>
      <c r="V461" s="300"/>
      <c r="W461" s="300"/>
      <c r="X461" s="300"/>
      <c r="Y461" s="300"/>
      <c r="Z461" s="300"/>
    </row>
    <row r="462" spans="1:70" x14ac:dyDescent="0.25">
      <c r="A462" s="300" t="s">
        <v>459</v>
      </c>
      <c r="B462" s="300"/>
      <c r="C462" s="300"/>
      <c r="D462" s="300">
        <v>195.98880004882801</v>
      </c>
      <c r="E462" s="300">
        <v>215.13366699218801</v>
      </c>
      <c r="F462" s="300">
        <v>218.80557250976599</v>
      </c>
      <c r="G462" s="300">
        <v>221.29866027832</v>
      </c>
      <c r="H462" s="300">
        <v>223.50036621093801</v>
      </c>
      <c r="I462" s="300">
        <v>221.10458374023401</v>
      </c>
      <c r="J462" s="300">
        <v>220.438400268555</v>
      </c>
      <c r="K462" s="300">
        <v>218.08479309082</v>
      </c>
      <c r="L462" s="300">
        <v>218.45701599121099</v>
      </c>
      <c r="M462" s="300">
        <v>217.84970092773401</v>
      </c>
      <c r="N462" s="300">
        <v>219.40165710449199</v>
      </c>
      <c r="O462" s="300">
        <v>221.00289916992199</v>
      </c>
      <c r="P462" s="300">
        <v>224.59239196777301</v>
      </c>
      <c r="Q462" s="300">
        <v>228.53056335449199</v>
      </c>
      <c r="R462" s="300">
        <v>230.97148132324199</v>
      </c>
      <c r="S462" s="300">
        <v>232.57162475585901</v>
      </c>
      <c r="T462" s="300">
        <v>236.03457641601599</v>
      </c>
      <c r="U462" s="300">
        <v>237.58020019531301</v>
      </c>
      <c r="V462" s="300">
        <v>240.43632507324199</v>
      </c>
      <c r="W462" s="300">
        <v>243.39186096191401</v>
      </c>
      <c r="X462" s="300">
        <v>247.24427795410199</v>
      </c>
      <c r="Y462" s="300">
        <v>248.98767089843801</v>
      </c>
      <c r="Z462" s="300">
        <v>251.02548217773401</v>
      </c>
    </row>
    <row r="463" spans="1:70" x14ac:dyDescent="0.25">
      <c r="A463" s="300" t="s">
        <v>466</v>
      </c>
      <c r="B463" s="300"/>
      <c r="C463" s="300"/>
      <c r="D463" s="300">
        <v>141.77845764160199</v>
      </c>
      <c r="E463" s="300">
        <v>154.38449096679699</v>
      </c>
      <c r="F463" s="300">
        <v>157.84999084472699</v>
      </c>
      <c r="G463" s="300">
        <v>156.06527709960901</v>
      </c>
      <c r="H463" s="300">
        <v>159.312088012695</v>
      </c>
      <c r="I463" s="300">
        <v>158.53677368164099</v>
      </c>
      <c r="J463" s="300">
        <v>157.966796875</v>
      </c>
      <c r="K463" s="300">
        <v>156.350173950195</v>
      </c>
      <c r="L463" s="300">
        <v>157.31393432617199</v>
      </c>
      <c r="M463" s="300">
        <v>158.58882141113301</v>
      </c>
      <c r="N463" s="300">
        <v>160.74195861816401</v>
      </c>
      <c r="O463" s="300">
        <v>163.37489318847699</v>
      </c>
      <c r="P463" s="300">
        <v>167.20817565918</v>
      </c>
      <c r="Q463" s="300">
        <v>172.04411315918</v>
      </c>
      <c r="R463" s="300">
        <v>175.58262634277301</v>
      </c>
      <c r="S463" s="300">
        <v>178.093505859375</v>
      </c>
      <c r="T463" s="300">
        <v>181.73991394043</v>
      </c>
      <c r="U463" s="300">
        <v>185.01341247558599</v>
      </c>
      <c r="V463" s="300">
        <v>188.79048156738301</v>
      </c>
      <c r="W463" s="300">
        <v>192.86947631835901</v>
      </c>
      <c r="X463" s="300">
        <v>197.36026000976599</v>
      </c>
      <c r="Y463" s="300">
        <v>201.10684204101599</v>
      </c>
      <c r="Z463" s="300">
        <v>204.49230957031301</v>
      </c>
    </row>
    <row r="464" spans="1:70" x14ac:dyDescent="0.25">
      <c r="A464" s="300" t="s">
        <v>501</v>
      </c>
      <c r="B464" s="300"/>
      <c r="C464" s="300"/>
      <c r="D464" s="300">
        <v>184.22943115234401</v>
      </c>
      <c r="E464" s="300">
        <v>196.07313537597699</v>
      </c>
      <c r="F464" s="300">
        <v>205.39855957031301</v>
      </c>
      <c r="G464" s="300">
        <v>217.87611389160199</v>
      </c>
      <c r="H464" s="300">
        <v>214.14784240722699</v>
      </c>
      <c r="I464" s="300">
        <v>207.11370849609401</v>
      </c>
      <c r="J464" s="300">
        <v>200.48422241210901</v>
      </c>
      <c r="K464" s="300">
        <v>191.81477355957</v>
      </c>
      <c r="L464" s="300">
        <v>187.29217529296901</v>
      </c>
      <c r="M464" s="300">
        <v>184.91578674316401</v>
      </c>
      <c r="N464" s="300">
        <v>184.25204467773401</v>
      </c>
      <c r="O464" s="300">
        <v>184.11447143554699</v>
      </c>
      <c r="P464" s="300">
        <v>186.80691528320301</v>
      </c>
      <c r="Q464" s="300">
        <v>189.66255187988301</v>
      </c>
      <c r="R464" s="300">
        <v>190.49990844726599</v>
      </c>
      <c r="S464" s="300">
        <v>192.03105163574199</v>
      </c>
      <c r="T464" s="300">
        <v>194.88296508789099</v>
      </c>
      <c r="U464" s="300">
        <v>196.87213134765599</v>
      </c>
      <c r="V464" s="300">
        <v>200.07191467285199</v>
      </c>
      <c r="W464" s="300">
        <v>202.13279724121099</v>
      </c>
      <c r="X464" s="300">
        <v>205.48814392089801</v>
      </c>
      <c r="Y464" s="300">
        <v>206.97822570800801</v>
      </c>
      <c r="Z464" s="300">
        <v>209.30905151367199</v>
      </c>
    </row>
    <row r="465" spans="1:70" x14ac:dyDescent="0.25">
      <c r="A465" s="300" t="s">
        <v>473</v>
      </c>
      <c r="B465" s="300"/>
      <c r="C465" s="300"/>
      <c r="D465" s="300">
        <v>385.00112915039102</v>
      </c>
      <c r="E465" s="300">
        <v>474.66281127929699</v>
      </c>
      <c r="F465" s="300">
        <v>545.7236328125</v>
      </c>
      <c r="G465" s="300">
        <v>538.79211425781295</v>
      </c>
      <c r="H465" s="300">
        <v>508.11019897460898</v>
      </c>
      <c r="I465" s="300">
        <v>488.44781494140602</v>
      </c>
      <c r="J465" s="300">
        <v>476.37777709960898</v>
      </c>
      <c r="K465" s="300">
        <v>463.41403198242199</v>
      </c>
      <c r="L465" s="300">
        <v>458.16046142578102</v>
      </c>
      <c r="M465" s="300">
        <v>458.57275390625</v>
      </c>
      <c r="N465" s="300">
        <v>452.78533935546898</v>
      </c>
      <c r="O465" s="300">
        <v>459.41848754882801</v>
      </c>
      <c r="P465" s="300">
        <v>469.74392700195301</v>
      </c>
      <c r="Q465" s="300">
        <v>478.67190551757801</v>
      </c>
      <c r="R465" s="300">
        <v>487.87078857421898</v>
      </c>
      <c r="S465" s="300">
        <v>505.29348754882801</v>
      </c>
      <c r="T465" s="300">
        <v>511.07485961914102</v>
      </c>
      <c r="U465" s="300">
        <v>521.646240234375</v>
      </c>
      <c r="V465" s="300">
        <v>538.77532958984398</v>
      </c>
      <c r="W465" s="300">
        <v>540.642822265625</v>
      </c>
      <c r="X465" s="300">
        <v>554.21173095703102</v>
      </c>
      <c r="Y465" s="300">
        <v>570.280029296875</v>
      </c>
      <c r="Z465" s="300">
        <v>574.30035400390602</v>
      </c>
    </row>
    <row r="466" spans="1:70" x14ac:dyDescent="0.25">
      <c r="A466" s="300" t="s">
        <v>502</v>
      </c>
      <c r="B466" s="300"/>
      <c r="C466" s="300"/>
      <c r="D466" s="300">
        <v>906.997802734375</v>
      </c>
      <c r="E466" s="300">
        <v>1040.25415039063</v>
      </c>
      <c r="F466" s="300">
        <v>1127.77770996094</v>
      </c>
      <c r="G466" s="300">
        <v>1134.0322265625</v>
      </c>
      <c r="H466" s="300">
        <v>1105.07055664063</v>
      </c>
      <c r="I466" s="300">
        <v>1075.20288085938</v>
      </c>
      <c r="J466" s="300">
        <v>1055.26721191406</v>
      </c>
      <c r="K466" s="300">
        <v>1029.66381835938</v>
      </c>
      <c r="L466" s="300">
        <v>1021.22357177734</v>
      </c>
      <c r="M466" s="300">
        <v>1019.92706298828</v>
      </c>
      <c r="N466" s="300">
        <v>1017.18103027344</v>
      </c>
      <c r="O466" s="300">
        <v>1027.91076660156</v>
      </c>
      <c r="P466" s="300">
        <v>1048.35144042969</v>
      </c>
      <c r="Q466" s="300">
        <v>1068.9091796875</v>
      </c>
      <c r="R466" s="300">
        <v>1084.9248046875</v>
      </c>
      <c r="S466" s="300">
        <v>1107.98962402344</v>
      </c>
      <c r="T466" s="300">
        <v>1123.73229980469</v>
      </c>
      <c r="U466" s="300">
        <v>1141.11193847656</v>
      </c>
      <c r="V466" s="300">
        <v>1168.07409667969</v>
      </c>
      <c r="W466" s="300">
        <v>1179.03698730469</v>
      </c>
      <c r="X466" s="300">
        <v>1204.30444335938</v>
      </c>
      <c r="Y466" s="300">
        <v>1227.35278320313</v>
      </c>
      <c r="Z466" s="300">
        <v>1239.12719726563</v>
      </c>
    </row>
    <row r="467" spans="1:70" x14ac:dyDescent="0.25">
      <c r="A467" s="300" t="s">
        <v>614</v>
      </c>
      <c r="B467" s="300"/>
      <c r="C467" s="300"/>
      <c r="D467" s="300">
        <v>2.27928571403027E-2</v>
      </c>
      <c r="E467" s="300">
        <v>3.3822253346443197E-2</v>
      </c>
      <c r="F467" s="300">
        <v>4.68330308794975E-2</v>
      </c>
      <c r="G467" s="300">
        <v>4.2311083525419201E-2</v>
      </c>
      <c r="H467" s="300">
        <v>4.6379543840885197E-2</v>
      </c>
      <c r="I467" s="300">
        <v>5.0339180976152399E-2</v>
      </c>
      <c r="J467" s="300">
        <v>6.3796535134315505E-2</v>
      </c>
      <c r="K467" s="300">
        <v>7.1353547275066403E-2</v>
      </c>
      <c r="L467" s="300">
        <v>7.5695373117923695E-2</v>
      </c>
      <c r="M467" s="300">
        <v>8.06071981787682E-2</v>
      </c>
      <c r="N467" s="300">
        <v>8.2480475306510898E-2</v>
      </c>
      <c r="O467" s="300">
        <v>8.9031867682933793E-2</v>
      </c>
      <c r="P467" s="300">
        <v>9.6231654286384596E-2</v>
      </c>
      <c r="Q467" s="300">
        <v>0.10344713926315301</v>
      </c>
      <c r="R467" s="300">
        <v>0.112680315971375</v>
      </c>
      <c r="S467" s="300">
        <v>0.13150542974471999</v>
      </c>
      <c r="T467" s="300">
        <v>0.15408998727798501</v>
      </c>
      <c r="U467" s="300">
        <v>0.18660007417201999</v>
      </c>
      <c r="V467" s="300">
        <v>0.21707823872566201</v>
      </c>
      <c r="W467" s="300">
        <v>0.243339464068413</v>
      </c>
      <c r="X467" s="300">
        <v>0.28575915098190302</v>
      </c>
      <c r="Y467" s="300">
        <v>0.31987324357032798</v>
      </c>
      <c r="Z467" s="300">
        <v>0.34808513522148099</v>
      </c>
    </row>
    <row r="468" spans="1:70" x14ac:dyDescent="0.25">
      <c r="A468" s="300" t="s">
        <v>504</v>
      </c>
      <c r="B468" s="300"/>
      <c r="C468" s="300"/>
      <c r="D468" s="300">
        <v>907.02056884765602</v>
      </c>
      <c r="E468" s="300">
        <v>1040.28796386719</v>
      </c>
      <c r="F468" s="300">
        <v>1127.82458496094</v>
      </c>
      <c r="G468" s="300">
        <v>1134.07458496094</v>
      </c>
      <c r="H468" s="300">
        <v>1105.11694335938</v>
      </c>
      <c r="I468" s="300">
        <v>1075.25317382813</v>
      </c>
      <c r="J468" s="300">
        <v>1055.3310546875</v>
      </c>
      <c r="K468" s="300">
        <v>1029.73522949219</v>
      </c>
      <c r="L468" s="300">
        <v>1021.29925537109</v>
      </c>
      <c r="M468" s="300">
        <v>1020.00769042969</v>
      </c>
      <c r="N468" s="300">
        <v>1017.26348876953</v>
      </c>
      <c r="O468" s="300">
        <v>1027.99975585938</v>
      </c>
      <c r="P468" s="300">
        <v>1048.44763183594</v>
      </c>
      <c r="Q468" s="300">
        <v>1069.01257324219</v>
      </c>
      <c r="R468" s="300">
        <v>1085.03747558594</v>
      </c>
      <c r="S468" s="300">
        <v>1108.12109375</v>
      </c>
      <c r="T468" s="300">
        <v>1123.88635253906</v>
      </c>
      <c r="U468" s="300">
        <v>1141.29858398438</v>
      </c>
      <c r="V468" s="300">
        <v>1168.29113769531</v>
      </c>
      <c r="W468" s="300">
        <v>1179.2802734375</v>
      </c>
      <c r="X468" s="300">
        <v>1204.59020996094</v>
      </c>
      <c r="Y468" s="300">
        <v>1227.67260742188</v>
      </c>
      <c r="Z468" s="300">
        <v>1239.47534179688</v>
      </c>
    </row>
    <row r="469" spans="1:70" x14ac:dyDescent="0.25">
      <c r="A469" s="287" t="s">
        <v>1054</v>
      </c>
      <c r="B469" s="247" t="s">
        <v>578</v>
      </c>
      <c r="C469" s="300"/>
      <c r="D469" s="300"/>
      <c r="E469" s="300"/>
      <c r="F469" s="300"/>
      <c r="G469" s="300"/>
      <c r="H469" s="300"/>
      <c r="I469" s="300"/>
      <c r="J469" s="300"/>
      <c r="K469" s="300"/>
      <c r="L469" s="300"/>
      <c r="M469" s="300"/>
      <c r="N469" s="300"/>
      <c r="O469" s="300"/>
      <c r="P469" s="300"/>
      <c r="Q469" s="300"/>
      <c r="R469" s="300"/>
      <c r="S469" s="300"/>
      <c r="T469" s="300"/>
      <c r="U469" s="300"/>
      <c r="V469" s="300"/>
      <c r="W469" s="300"/>
      <c r="X469" s="300"/>
      <c r="Y469" s="300"/>
      <c r="Z469" s="300"/>
    </row>
    <row r="470" spans="1:70" ht="13.8" thickBot="1" x14ac:dyDescent="0.3">
      <c r="A470" s="276" t="s">
        <v>308</v>
      </c>
      <c r="B470" s="247" t="s">
        <v>578</v>
      </c>
      <c r="C470" s="300"/>
      <c r="D470" s="300"/>
      <c r="E470" s="300"/>
      <c r="F470" s="300"/>
      <c r="G470" s="300"/>
      <c r="H470" s="300"/>
      <c r="I470" s="300"/>
      <c r="J470" s="300"/>
      <c r="K470" s="300"/>
      <c r="L470" s="300"/>
      <c r="M470" s="300"/>
      <c r="N470" s="300"/>
      <c r="O470" s="300"/>
      <c r="P470" s="300"/>
      <c r="Q470" s="300"/>
      <c r="R470" s="300"/>
      <c r="S470" s="300"/>
      <c r="T470" s="300"/>
      <c r="U470" s="300"/>
      <c r="V470" s="300"/>
      <c r="W470" s="300"/>
      <c r="X470" s="300"/>
      <c r="Y470" s="300"/>
      <c r="Z470" s="300"/>
    </row>
    <row r="471" spans="1:70" ht="13.8" thickBot="1" x14ac:dyDescent="0.3">
      <c r="A471" s="300" t="s">
        <v>951</v>
      </c>
      <c r="B471" s="300"/>
      <c r="C471" s="300"/>
      <c r="D471" s="300"/>
      <c r="E471" s="300"/>
      <c r="F471" s="300"/>
      <c r="G471" s="300"/>
      <c r="H471" s="300"/>
      <c r="I471" s="300"/>
      <c r="J471" s="300"/>
      <c r="K471" s="300"/>
      <c r="L471" s="300"/>
      <c r="M471" s="300"/>
      <c r="N471" s="300"/>
      <c r="O471" s="300"/>
      <c r="P471" s="300"/>
      <c r="Q471" s="300"/>
      <c r="R471" s="300"/>
      <c r="S471" s="300"/>
      <c r="T471" s="300"/>
      <c r="U471" s="300"/>
      <c r="V471" s="300"/>
      <c r="W471" s="300"/>
      <c r="X471" s="300"/>
      <c r="Y471" s="300"/>
      <c r="Z471" s="300"/>
      <c r="AA471" s="277">
        <f>Z641+($AI$471-$Y$641)/10</f>
        <v>8.1072037368774854</v>
      </c>
      <c r="AB471" s="277">
        <f t="shared" ref="AB471:AH471" si="48">AA471+($AI$471-$Y$641)/10</f>
        <v>8.1552847846985532</v>
      </c>
      <c r="AC471" s="277">
        <f t="shared" si="48"/>
        <v>8.203365832519621</v>
      </c>
      <c r="AD471" s="277">
        <f t="shared" si="48"/>
        <v>8.2514468803406888</v>
      </c>
      <c r="AE471" s="277">
        <f t="shared" si="48"/>
        <v>8.2995279281617567</v>
      </c>
      <c r="AF471" s="277">
        <f t="shared" si="48"/>
        <v>8.3476089759828245</v>
      </c>
      <c r="AG471" s="277">
        <f t="shared" si="48"/>
        <v>8.3956900238038923</v>
      </c>
      <c r="AH471" s="277">
        <f t="shared" si="48"/>
        <v>8.4437710716249601</v>
      </c>
      <c r="AI471" s="278">
        <f>T641*$E$742</f>
        <v>8.4918521194460261</v>
      </c>
      <c r="AJ471" s="277">
        <f>AI471+($AX$471-$AI$471)/15</f>
        <v>8.5879736457897184</v>
      </c>
      <c r="AK471" s="277">
        <f t="shared" ref="AK471:AW471" si="49">AJ471+($AX$471-$AI$471)/15</f>
        <v>8.6840951721334108</v>
      </c>
      <c r="AL471" s="277">
        <f t="shared" si="49"/>
        <v>8.7802166984771031</v>
      </c>
      <c r="AM471" s="277">
        <f t="shared" si="49"/>
        <v>8.8763382248207954</v>
      </c>
      <c r="AN471" s="277">
        <f t="shared" si="49"/>
        <v>8.9724597511644877</v>
      </c>
      <c r="AO471" s="277">
        <f t="shared" si="49"/>
        <v>9.06858127750818</v>
      </c>
      <c r="AP471" s="277">
        <f t="shared" si="49"/>
        <v>9.1647028038518723</v>
      </c>
      <c r="AQ471" s="277">
        <f t="shared" si="49"/>
        <v>9.2608243301955646</v>
      </c>
      <c r="AR471" s="277">
        <f t="shared" si="49"/>
        <v>9.3569458565392569</v>
      </c>
      <c r="AS471" s="277">
        <f t="shared" si="49"/>
        <v>9.4530673828829492</v>
      </c>
      <c r="AT471" s="277">
        <f t="shared" si="49"/>
        <v>9.5491889092266415</v>
      </c>
      <c r="AU471" s="277">
        <f t="shared" si="49"/>
        <v>9.6453104355703339</v>
      </c>
      <c r="AV471" s="277">
        <f t="shared" si="49"/>
        <v>9.7414319619140262</v>
      </c>
      <c r="AW471" s="277">
        <f t="shared" si="49"/>
        <v>9.8375534882577185</v>
      </c>
      <c r="AX471" s="278">
        <f>AI471*$B$742</f>
        <v>9.9336750146014001</v>
      </c>
      <c r="AY471" s="277">
        <f>AX471+($BM$471-$AX$471)/15</f>
        <v>10.032035813725209</v>
      </c>
      <c r="AZ471" s="277">
        <f t="shared" ref="AZ471:BL471" si="50">AY471+($BM$471-$AX$471)/15</f>
        <v>10.130396612849017</v>
      </c>
      <c r="BA471" s="277">
        <f t="shared" si="50"/>
        <v>10.228757411972826</v>
      </c>
      <c r="BB471" s="277">
        <f t="shared" si="50"/>
        <v>10.327118211096634</v>
      </c>
      <c r="BC471" s="277">
        <f t="shared" si="50"/>
        <v>10.425479010220442</v>
      </c>
      <c r="BD471" s="277">
        <f t="shared" si="50"/>
        <v>10.523839809344251</v>
      </c>
      <c r="BE471" s="277">
        <f t="shared" si="50"/>
        <v>10.622200608468059</v>
      </c>
      <c r="BF471" s="277">
        <f t="shared" si="50"/>
        <v>10.720561407591868</v>
      </c>
      <c r="BG471" s="277">
        <f t="shared" si="50"/>
        <v>10.818922206715676</v>
      </c>
      <c r="BH471" s="277">
        <f t="shared" si="50"/>
        <v>10.917283005839485</v>
      </c>
      <c r="BI471" s="277">
        <f t="shared" si="50"/>
        <v>11.015643804963293</v>
      </c>
      <c r="BJ471" s="277">
        <f t="shared" si="50"/>
        <v>11.114004604087102</v>
      </c>
      <c r="BK471" s="277">
        <f t="shared" si="50"/>
        <v>11.21236540321091</v>
      </c>
      <c r="BL471" s="277">
        <f t="shared" si="50"/>
        <v>11.310726202334719</v>
      </c>
      <c r="BM471" s="278">
        <f>AX471*$C$742</f>
        <v>11.409087001458516</v>
      </c>
      <c r="BN471" s="277">
        <f>BM471+($BR$471-$BM$471)/5</f>
        <v>11.522056966057418</v>
      </c>
      <c r="BO471" s="277">
        <f>BN471+($BR$471-$BM$471)/5</f>
        <v>11.63502693065632</v>
      </c>
      <c r="BP471" s="277">
        <f>BO471+($BR$471-$BM$471)/5</f>
        <v>11.747996895255222</v>
      </c>
      <c r="BQ471" s="277">
        <f>BP471+($BR$471-$BM$471)/5</f>
        <v>11.860966859854123</v>
      </c>
      <c r="BR471" s="278">
        <f>BM471*$D$742</f>
        <v>11.973936824453022</v>
      </c>
    </row>
    <row r="472" spans="1:70" ht="13.8" thickBot="1" x14ac:dyDescent="0.3">
      <c r="A472" s="300" t="s">
        <v>615</v>
      </c>
      <c r="B472" s="300"/>
      <c r="C472" s="300"/>
      <c r="D472" s="300"/>
      <c r="E472" s="300"/>
      <c r="F472" s="300"/>
      <c r="G472" s="300"/>
      <c r="H472" s="300"/>
      <c r="I472" s="300"/>
      <c r="J472" s="300"/>
      <c r="K472" s="300"/>
      <c r="L472" s="300"/>
      <c r="M472" s="300"/>
      <c r="N472" s="300"/>
      <c r="O472" s="300"/>
      <c r="P472" s="300"/>
      <c r="Q472" s="300"/>
      <c r="R472" s="300"/>
      <c r="S472" s="300"/>
      <c r="T472" s="300"/>
      <c r="U472" s="300"/>
      <c r="V472" s="300"/>
      <c r="W472" s="300"/>
      <c r="X472" s="300"/>
      <c r="Y472" s="300"/>
      <c r="Z472" s="300"/>
      <c r="AA472" s="279">
        <f>Z642+($AI$472-$Y$642)/10</f>
        <v>22.490795032640289</v>
      </c>
      <c r="AB472" s="279">
        <f t="shared" ref="AB472:AH472" si="51">AA472+($AI$472-$Y$642)/10</f>
        <v>22.394891584604984</v>
      </c>
      <c r="AC472" s="279">
        <f t="shared" si="51"/>
        <v>22.29898813656968</v>
      </c>
      <c r="AD472" s="279">
        <f t="shared" si="51"/>
        <v>22.203084688534375</v>
      </c>
      <c r="AE472" s="279">
        <f t="shared" si="51"/>
        <v>22.10718124049907</v>
      </c>
      <c r="AF472" s="279">
        <f t="shared" si="51"/>
        <v>22.011277792463765</v>
      </c>
      <c r="AG472" s="279">
        <f t="shared" si="51"/>
        <v>21.915374344428461</v>
      </c>
      <c r="AH472" s="279">
        <f t="shared" si="51"/>
        <v>21.819470896393156</v>
      </c>
      <c r="AI472" s="280">
        <f>T642*$E$745</f>
        <v>21.723567448357841</v>
      </c>
      <c r="AJ472" s="279">
        <f>AI472+($AX$472-$AI$472)/15</f>
        <v>21.715027463671497</v>
      </c>
      <c r="AK472" s="279">
        <f t="shared" ref="AK472:AW472" si="52">AJ472+($AX$472-$AI$472)/15</f>
        <v>21.706487478985153</v>
      </c>
      <c r="AL472" s="279">
        <f t="shared" si="52"/>
        <v>21.697947494298809</v>
      </c>
      <c r="AM472" s="279">
        <f t="shared" si="52"/>
        <v>21.689407509612465</v>
      </c>
      <c r="AN472" s="279">
        <f t="shared" si="52"/>
        <v>21.680867524926121</v>
      </c>
      <c r="AO472" s="279">
        <f t="shared" si="52"/>
        <v>21.672327540239777</v>
      </c>
      <c r="AP472" s="279">
        <f t="shared" si="52"/>
        <v>21.663787555553434</v>
      </c>
      <c r="AQ472" s="279">
        <f t="shared" si="52"/>
        <v>21.65524757086709</v>
      </c>
      <c r="AR472" s="279">
        <f t="shared" si="52"/>
        <v>21.646707586180746</v>
      </c>
      <c r="AS472" s="279">
        <f t="shared" si="52"/>
        <v>21.638167601494402</v>
      </c>
      <c r="AT472" s="279">
        <f t="shared" si="52"/>
        <v>21.629627616808058</v>
      </c>
      <c r="AU472" s="279">
        <f t="shared" si="52"/>
        <v>21.621087632121714</v>
      </c>
      <c r="AV472" s="279">
        <f t="shared" si="52"/>
        <v>21.61254764743537</v>
      </c>
      <c r="AW472" s="279">
        <f t="shared" si="52"/>
        <v>21.604007662749027</v>
      </c>
      <c r="AX472" s="280">
        <f>AI472*$B$745</f>
        <v>21.595467678062693</v>
      </c>
      <c r="AY472" s="279">
        <f>AX472+($BM$472-$AX$472)/15</f>
        <v>21.609186144316791</v>
      </c>
      <c r="AZ472" s="279">
        <f t="shared" ref="AZ472:BL472" si="53">AY472+($BM$472-$AX$472)/15</f>
        <v>21.622904610570888</v>
      </c>
      <c r="BA472" s="279">
        <f t="shared" si="53"/>
        <v>21.636623076824986</v>
      </c>
      <c r="BB472" s="279">
        <f t="shared" si="53"/>
        <v>21.650341543079083</v>
      </c>
      <c r="BC472" s="279">
        <f t="shared" si="53"/>
        <v>21.664060009333181</v>
      </c>
      <c r="BD472" s="279">
        <f t="shared" si="53"/>
        <v>21.677778475587278</v>
      </c>
      <c r="BE472" s="279">
        <f t="shared" si="53"/>
        <v>21.691496941841375</v>
      </c>
      <c r="BF472" s="279">
        <f t="shared" si="53"/>
        <v>21.705215408095473</v>
      </c>
      <c r="BG472" s="279">
        <f t="shared" si="53"/>
        <v>21.71893387434957</v>
      </c>
      <c r="BH472" s="279">
        <f t="shared" si="53"/>
        <v>21.732652340603668</v>
      </c>
      <c r="BI472" s="279">
        <f t="shared" si="53"/>
        <v>21.746370806857765</v>
      </c>
      <c r="BJ472" s="279">
        <f t="shared" si="53"/>
        <v>21.760089273111863</v>
      </c>
      <c r="BK472" s="279">
        <f t="shared" si="53"/>
        <v>21.77380773936596</v>
      </c>
      <c r="BL472" s="279">
        <f t="shared" si="53"/>
        <v>21.787526205620058</v>
      </c>
      <c r="BM472" s="280">
        <f>AX472*$C$745</f>
        <v>21.801244671874137</v>
      </c>
      <c r="BN472" s="279">
        <f>BM472+($BR$472-$BM$472)/5</f>
        <v>21.815093857443394</v>
      </c>
      <c r="BO472" s="279">
        <f>BN472+($BR$472-$BM$472)/5</f>
        <v>21.82894304301265</v>
      </c>
      <c r="BP472" s="279">
        <f>BO472+($BR$472-$BM$472)/5</f>
        <v>21.842792228581906</v>
      </c>
      <c r="BQ472" s="279">
        <f>BP472+($BR$472-$BM$472)/5</f>
        <v>21.856641414151163</v>
      </c>
      <c r="BR472" s="280">
        <f>BM472*$D$745</f>
        <v>21.870490599720426</v>
      </c>
    </row>
    <row r="473" spans="1:70" x14ac:dyDescent="0.25">
      <c r="A473" s="300" t="s">
        <v>616</v>
      </c>
      <c r="B473" s="300"/>
      <c r="C473" s="300"/>
      <c r="D473" s="300"/>
      <c r="E473" s="300"/>
      <c r="F473" s="300"/>
      <c r="G473" s="300"/>
      <c r="H473" s="300"/>
      <c r="I473" s="300"/>
      <c r="J473" s="300"/>
      <c r="K473" s="300"/>
      <c r="L473" s="300"/>
      <c r="M473" s="300"/>
      <c r="N473" s="300"/>
      <c r="O473" s="300"/>
      <c r="P473" s="300"/>
      <c r="Q473" s="300"/>
      <c r="R473" s="300"/>
      <c r="S473" s="300"/>
      <c r="T473" s="300"/>
      <c r="U473" s="300"/>
      <c r="V473" s="300"/>
      <c r="W473" s="300"/>
      <c r="X473" s="300"/>
      <c r="Y473" s="300"/>
      <c r="Z473" s="300"/>
    </row>
    <row r="474" spans="1:70" x14ac:dyDescent="0.25">
      <c r="A474" s="300" t="s">
        <v>617</v>
      </c>
      <c r="B474" s="300"/>
      <c r="C474" s="300"/>
      <c r="D474" s="300"/>
      <c r="E474" s="300"/>
      <c r="F474" s="300"/>
      <c r="G474" s="300"/>
      <c r="H474" s="300"/>
      <c r="I474" s="300"/>
      <c r="J474" s="300"/>
      <c r="K474" s="300"/>
      <c r="L474" s="300"/>
      <c r="M474" s="300"/>
      <c r="N474" s="300"/>
      <c r="O474" s="300"/>
      <c r="P474" s="300"/>
      <c r="Q474" s="300"/>
      <c r="R474" s="300"/>
      <c r="S474" s="300"/>
      <c r="T474" s="300"/>
      <c r="U474" s="300"/>
      <c r="V474" s="300"/>
      <c r="W474" s="300"/>
      <c r="X474" s="300"/>
      <c r="Y474" s="300"/>
      <c r="Z474" s="300"/>
    </row>
    <row r="475" spans="1:70" x14ac:dyDescent="0.25">
      <c r="A475" s="300" t="s">
        <v>633</v>
      </c>
      <c r="B475" s="300"/>
      <c r="C475" s="300"/>
      <c r="D475" s="300"/>
      <c r="E475" s="300"/>
      <c r="F475" s="300"/>
      <c r="G475" s="300"/>
      <c r="H475" s="300"/>
      <c r="I475" s="300"/>
      <c r="J475" s="300"/>
      <c r="K475" s="300"/>
      <c r="L475" s="300"/>
      <c r="M475" s="300"/>
      <c r="N475" s="300"/>
      <c r="O475" s="300"/>
      <c r="P475" s="300"/>
      <c r="Q475" s="300"/>
      <c r="R475" s="300"/>
      <c r="S475" s="300"/>
      <c r="T475" s="300"/>
      <c r="U475" s="300"/>
      <c r="V475" s="300"/>
      <c r="W475" s="300"/>
      <c r="X475" s="300"/>
      <c r="Y475" s="300"/>
      <c r="Z475" s="300"/>
    </row>
    <row r="476" spans="1:70" x14ac:dyDescent="0.25">
      <c r="A476" s="300" t="s">
        <v>528</v>
      </c>
      <c r="B476" s="300"/>
      <c r="C476" s="300"/>
      <c r="D476" s="300"/>
      <c r="E476" s="300"/>
      <c r="F476" s="300"/>
      <c r="G476" s="300"/>
      <c r="H476" s="300"/>
      <c r="I476" s="300"/>
      <c r="J476" s="300"/>
      <c r="K476" s="300"/>
      <c r="L476" s="300"/>
      <c r="M476" s="300"/>
      <c r="N476" s="300"/>
      <c r="O476" s="300"/>
      <c r="P476" s="300"/>
      <c r="Q476" s="300"/>
      <c r="R476" s="300"/>
      <c r="S476" s="300"/>
      <c r="T476" s="300"/>
      <c r="U476" s="300"/>
      <c r="V476" s="300"/>
      <c r="W476" s="300"/>
      <c r="X476" s="300"/>
      <c r="Y476" s="300"/>
      <c r="Z476" s="300"/>
    </row>
    <row r="477" spans="1:70" ht="52.5" customHeight="1" x14ac:dyDescent="0.25">
      <c r="A477" s="300" t="s">
        <v>634</v>
      </c>
      <c r="B477" s="300"/>
      <c r="C477" s="300"/>
      <c r="D477" s="300"/>
      <c r="E477" s="300"/>
      <c r="F477" s="300"/>
      <c r="G477" s="300"/>
      <c r="H477" s="300"/>
      <c r="I477" s="300"/>
      <c r="J477" s="300"/>
      <c r="K477" s="300"/>
      <c r="L477" s="300"/>
      <c r="M477" s="300"/>
      <c r="N477" s="300"/>
      <c r="O477" s="300"/>
      <c r="P477" s="300"/>
      <c r="Q477" s="300"/>
      <c r="R477" s="300"/>
      <c r="S477" s="300"/>
      <c r="T477" s="300"/>
      <c r="U477" s="300"/>
      <c r="V477" s="300"/>
      <c r="W477" s="300"/>
      <c r="X477" s="300"/>
      <c r="Y477" s="300"/>
      <c r="Z477" s="300"/>
    </row>
    <row r="478" spans="1:70" x14ac:dyDescent="0.25">
      <c r="A478" s="300" t="s">
        <v>635</v>
      </c>
      <c r="B478" s="300"/>
      <c r="C478" s="300"/>
      <c r="D478" s="300"/>
      <c r="E478" s="300"/>
      <c r="F478" s="300"/>
      <c r="G478" s="300"/>
      <c r="H478" s="300"/>
      <c r="I478" s="300"/>
      <c r="J478" s="300"/>
      <c r="K478" s="300"/>
      <c r="L478" s="300"/>
      <c r="M478" s="300"/>
      <c r="N478" s="300"/>
      <c r="O478" s="300"/>
      <c r="P478" s="300"/>
      <c r="Q478" s="300"/>
      <c r="R478" s="300"/>
      <c r="S478" s="300"/>
      <c r="T478" s="300"/>
      <c r="U478" s="300"/>
      <c r="V478" s="300"/>
      <c r="W478" s="300"/>
      <c r="X478" s="300"/>
      <c r="Y478" s="300"/>
      <c r="Z478" s="300"/>
    </row>
    <row r="479" spans="1:70" ht="13.8" thickBot="1" x14ac:dyDescent="0.3">
      <c r="A479" s="300" t="s">
        <v>636</v>
      </c>
      <c r="B479" s="300"/>
      <c r="C479" s="300"/>
      <c r="D479" s="300"/>
      <c r="E479" s="300"/>
      <c r="F479" s="300"/>
      <c r="G479" s="300"/>
      <c r="H479" s="300"/>
      <c r="I479" s="300"/>
      <c r="J479" s="300"/>
      <c r="K479" s="300"/>
      <c r="L479" s="300"/>
      <c r="M479" s="300"/>
      <c r="N479" s="300"/>
      <c r="O479" s="300"/>
      <c r="P479" s="300"/>
      <c r="Q479" s="300"/>
      <c r="R479" s="300"/>
      <c r="S479" s="300"/>
      <c r="T479" s="300"/>
      <c r="U479" s="300"/>
      <c r="V479" s="300"/>
      <c r="W479" s="300"/>
      <c r="X479" s="300"/>
      <c r="Y479" s="300"/>
      <c r="Z479" s="300"/>
    </row>
    <row r="480" spans="1:70" ht="13.8" thickBot="1" x14ac:dyDescent="0.3">
      <c r="A480" s="300" t="s">
        <v>637</v>
      </c>
      <c r="B480" s="300"/>
      <c r="C480" s="300"/>
      <c r="D480" s="300"/>
      <c r="E480" s="300"/>
      <c r="F480" s="300"/>
      <c r="G480" s="300"/>
      <c r="H480" s="300"/>
      <c r="I480" s="300"/>
      <c r="J480" s="300"/>
      <c r="K480" s="300"/>
      <c r="L480" s="300"/>
      <c r="M480" s="300"/>
      <c r="N480" s="300"/>
      <c r="O480" s="300"/>
      <c r="P480" s="300"/>
      <c r="Q480" s="300"/>
      <c r="R480" s="300"/>
      <c r="S480" s="300"/>
      <c r="T480" s="300"/>
      <c r="U480" s="300"/>
      <c r="V480" s="300"/>
      <c r="W480" s="300"/>
      <c r="X480" s="300"/>
      <c r="Y480" s="300"/>
      <c r="Z480" s="300"/>
      <c r="AA480" s="277">
        <f>Z650+($AI$480-$Y$650)/10</f>
        <v>5.5873463921161282</v>
      </c>
      <c r="AB480" s="277">
        <f t="shared" ref="AB480:AH480" si="54">AA480+($AI$480-$Y$650)/10</f>
        <v>5.6146233040707969</v>
      </c>
      <c r="AC480" s="277">
        <f t="shared" si="54"/>
        <v>5.6419002160254657</v>
      </c>
      <c r="AD480" s="277">
        <f t="shared" si="54"/>
        <v>5.6691771279801344</v>
      </c>
      <c r="AE480" s="277">
        <f t="shared" si="54"/>
        <v>5.6964540399348031</v>
      </c>
      <c r="AF480" s="277">
        <f t="shared" si="54"/>
        <v>5.7237309518894719</v>
      </c>
      <c r="AG480" s="277">
        <f t="shared" si="54"/>
        <v>5.7510078638441406</v>
      </c>
      <c r="AH480" s="277">
        <f t="shared" si="54"/>
        <v>5.7782847757988094</v>
      </c>
      <c r="AI480" s="278">
        <f>T650*$E$742</f>
        <v>5.8055616877534817</v>
      </c>
      <c r="AJ480" s="277">
        <f>AI480+($AX$480-$AI$480)/15</f>
        <v>5.8712763802445851</v>
      </c>
      <c r="AK480" s="277">
        <f t="shared" ref="AK480:AW480" si="55">AJ480+($AX$480-$AI$480)/15</f>
        <v>5.9369910727356885</v>
      </c>
      <c r="AL480" s="277">
        <f t="shared" si="55"/>
        <v>6.0027057652267919</v>
      </c>
      <c r="AM480" s="277">
        <f t="shared" si="55"/>
        <v>6.0684204577178953</v>
      </c>
      <c r="AN480" s="277">
        <f t="shared" si="55"/>
        <v>6.1341351502089987</v>
      </c>
      <c r="AO480" s="277">
        <f t="shared" si="55"/>
        <v>6.1998498427001021</v>
      </c>
      <c r="AP480" s="277">
        <f t="shared" si="55"/>
        <v>6.2655645351912055</v>
      </c>
      <c r="AQ480" s="277">
        <f t="shared" si="55"/>
        <v>6.3312792276823089</v>
      </c>
      <c r="AR480" s="277">
        <f t="shared" si="55"/>
        <v>6.3969939201734123</v>
      </c>
      <c r="AS480" s="277">
        <f t="shared" si="55"/>
        <v>6.4627086126645157</v>
      </c>
      <c r="AT480" s="277">
        <f t="shared" si="55"/>
        <v>6.5284233051556191</v>
      </c>
      <c r="AU480" s="277">
        <f t="shared" si="55"/>
        <v>6.5941379976467225</v>
      </c>
      <c r="AV480" s="277">
        <f t="shared" si="55"/>
        <v>6.6598526901378259</v>
      </c>
      <c r="AW480" s="277">
        <f t="shared" si="55"/>
        <v>6.7255673826289293</v>
      </c>
      <c r="AX480" s="278">
        <f>AI480*$B$742</f>
        <v>6.791282075120038</v>
      </c>
      <c r="AY480" s="277">
        <f>AX480+($BM$480-$AX$480)/15</f>
        <v>6.858527674659193</v>
      </c>
      <c r="AZ480" s="277">
        <f t="shared" ref="AZ480:BL480" si="56">AY480+($BM$480-$AX$480)/15</f>
        <v>6.925773274198348</v>
      </c>
      <c r="BA480" s="277">
        <f t="shared" si="56"/>
        <v>6.993018873737503</v>
      </c>
      <c r="BB480" s="277">
        <f t="shared" si="56"/>
        <v>7.060264473276658</v>
      </c>
      <c r="BC480" s="277">
        <f t="shared" si="56"/>
        <v>7.1275100728158129</v>
      </c>
      <c r="BD480" s="277">
        <f t="shared" si="56"/>
        <v>7.1947556723549679</v>
      </c>
      <c r="BE480" s="277">
        <f t="shared" si="56"/>
        <v>7.2620012718941229</v>
      </c>
      <c r="BF480" s="277">
        <f t="shared" si="56"/>
        <v>7.3292468714332779</v>
      </c>
      <c r="BG480" s="277">
        <f t="shared" si="56"/>
        <v>7.3964924709724329</v>
      </c>
      <c r="BH480" s="277">
        <f t="shared" si="56"/>
        <v>7.4637380705115879</v>
      </c>
      <c r="BI480" s="277">
        <f t="shared" si="56"/>
        <v>7.5309836700507429</v>
      </c>
      <c r="BJ480" s="277">
        <f t="shared" si="56"/>
        <v>7.5982292695898979</v>
      </c>
      <c r="BK480" s="277">
        <f t="shared" si="56"/>
        <v>7.6654748691290528</v>
      </c>
      <c r="BL480" s="277">
        <f t="shared" si="56"/>
        <v>7.7327204686682078</v>
      </c>
      <c r="BM480" s="278">
        <f>AX480*$C$742</f>
        <v>7.7999660682073682</v>
      </c>
      <c r="BN480" s="277">
        <f>BM480+($BR$480-$BM$480)/5</f>
        <v>7.8771994077800587</v>
      </c>
      <c r="BO480" s="277">
        <f>BN480+($BR$480-$BM$480)/5</f>
        <v>7.9544327473527492</v>
      </c>
      <c r="BP480" s="277">
        <f>BO480+($BR$480-$BM$480)/5</f>
        <v>8.0316660869254388</v>
      </c>
      <c r="BQ480" s="277">
        <f>BP480+($BR$480-$BM$480)/5</f>
        <v>8.1088994264981284</v>
      </c>
      <c r="BR480" s="278">
        <f>BM480*$D$742</f>
        <v>8.1861327660708199</v>
      </c>
    </row>
    <row r="481" spans="1:70" x14ac:dyDescent="0.25">
      <c r="A481" s="300" t="s">
        <v>638</v>
      </c>
      <c r="B481" s="300"/>
      <c r="C481" s="300"/>
      <c r="D481" s="300"/>
      <c r="E481" s="300"/>
      <c r="F481" s="300"/>
      <c r="G481" s="300"/>
      <c r="H481" s="300"/>
      <c r="I481" s="300"/>
      <c r="J481" s="300"/>
      <c r="K481" s="300"/>
      <c r="L481" s="300"/>
      <c r="M481" s="300"/>
      <c r="N481" s="300"/>
      <c r="O481" s="300"/>
      <c r="P481" s="300"/>
      <c r="Q481" s="300"/>
      <c r="R481" s="300"/>
      <c r="S481" s="300"/>
      <c r="T481" s="300"/>
      <c r="U481" s="300"/>
      <c r="V481" s="300"/>
      <c r="W481" s="300"/>
      <c r="X481" s="300"/>
      <c r="Y481" s="300"/>
      <c r="Z481" s="300"/>
    </row>
    <row r="482" spans="1:70" ht="13.8" thickBot="1" x14ac:dyDescent="0.3">
      <c r="A482" s="300" t="s">
        <v>639</v>
      </c>
      <c r="B482" s="300"/>
      <c r="C482" s="300"/>
      <c r="D482" s="300"/>
      <c r="E482" s="300"/>
      <c r="F482" s="300"/>
      <c r="G482" s="300"/>
      <c r="H482" s="300"/>
      <c r="I482" s="300"/>
      <c r="J482" s="300"/>
      <c r="K482" s="300"/>
      <c r="L482" s="300"/>
      <c r="M482" s="300"/>
      <c r="N482" s="300"/>
      <c r="O482" s="300"/>
      <c r="P482" s="300"/>
      <c r="Q482" s="300"/>
      <c r="R482" s="300"/>
      <c r="S482" s="300"/>
      <c r="T482" s="300"/>
      <c r="U482" s="300"/>
      <c r="V482" s="300"/>
      <c r="W482" s="300"/>
      <c r="X482" s="300"/>
      <c r="Y482" s="300"/>
      <c r="Z482" s="300"/>
    </row>
    <row r="483" spans="1:70" ht="13.8" thickBot="1" x14ac:dyDescent="0.3">
      <c r="A483" s="300" t="s">
        <v>531</v>
      </c>
      <c r="B483" s="300"/>
      <c r="C483" s="300"/>
      <c r="D483" s="300"/>
      <c r="E483" s="300"/>
      <c r="F483" s="300"/>
      <c r="G483" s="300"/>
      <c r="H483" s="300"/>
      <c r="I483" s="300"/>
      <c r="J483" s="300"/>
      <c r="K483" s="300"/>
      <c r="L483" s="300"/>
      <c r="M483" s="300"/>
      <c r="N483" s="300"/>
      <c r="O483" s="300"/>
      <c r="P483" s="300"/>
      <c r="Q483" s="300"/>
      <c r="R483" s="300"/>
      <c r="S483" s="300"/>
      <c r="T483" s="300"/>
      <c r="U483" s="300"/>
      <c r="V483" s="300"/>
      <c r="W483" s="300"/>
      <c r="X483" s="300"/>
      <c r="Y483" s="300"/>
      <c r="Z483" s="300"/>
      <c r="AA483" s="279">
        <f>Z653+($AI$483-$Y$653)/10</f>
        <v>15.747041087587585</v>
      </c>
      <c r="AB483" s="279">
        <f t="shared" ref="AB483:AH483" si="57">AA483+($AI$483-$Y$653)/10</f>
        <v>15.673905881106727</v>
      </c>
      <c r="AC483" s="279">
        <f t="shared" si="57"/>
        <v>15.600770674625869</v>
      </c>
      <c r="AD483" s="279">
        <f t="shared" si="57"/>
        <v>15.527635468145011</v>
      </c>
      <c r="AE483" s="279">
        <f t="shared" si="57"/>
        <v>15.454500261664153</v>
      </c>
      <c r="AF483" s="279">
        <f t="shared" si="57"/>
        <v>15.381365055183295</v>
      </c>
      <c r="AG483" s="279">
        <f t="shared" si="57"/>
        <v>15.308229848702437</v>
      </c>
      <c r="AH483" s="279">
        <f t="shared" si="57"/>
        <v>15.235094642221579</v>
      </c>
      <c r="AI483" s="280">
        <f>T653*$E$745</f>
        <v>15.161959435740725</v>
      </c>
      <c r="AJ483" s="279">
        <f>AI483+($AX$483-$AI$483)/15</f>
        <v>15.155998955184113</v>
      </c>
      <c r="AK483" s="279">
        <f t="shared" ref="AK483:AW483" si="58">AJ483+($AX$483-$AI$483)/15</f>
        <v>15.150038474627502</v>
      </c>
      <c r="AL483" s="279">
        <f t="shared" si="58"/>
        <v>15.144077994070891</v>
      </c>
      <c r="AM483" s="279">
        <f t="shared" si="58"/>
        <v>15.138117513514279</v>
      </c>
      <c r="AN483" s="279">
        <f t="shared" si="58"/>
        <v>15.132157032957668</v>
      </c>
      <c r="AO483" s="279">
        <f t="shared" si="58"/>
        <v>15.126196552401057</v>
      </c>
      <c r="AP483" s="279">
        <f t="shared" si="58"/>
        <v>15.120236071844445</v>
      </c>
      <c r="AQ483" s="279">
        <f t="shared" si="58"/>
        <v>15.114275591287834</v>
      </c>
      <c r="AR483" s="279">
        <f t="shared" si="58"/>
        <v>15.108315110731223</v>
      </c>
      <c r="AS483" s="279">
        <f t="shared" si="58"/>
        <v>15.102354630174611</v>
      </c>
      <c r="AT483" s="279">
        <f t="shared" si="58"/>
        <v>15.096394149618</v>
      </c>
      <c r="AU483" s="279">
        <f t="shared" si="58"/>
        <v>15.090433669061388</v>
      </c>
      <c r="AV483" s="279">
        <f t="shared" si="58"/>
        <v>15.084473188504777</v>
      </c>
      <c r="AW483" s="279">
        <f t="shared" si="58"/>
        <v>15.078512707948166</v>
      </c>
      <c r="AX483" s="280">
        <f>AI483*$B$745</f>
        <v>15.072552227391549</v>
      </c>
      <c r="AY483" s="279">
        <f>AX483+($BM$483-$AX$483)/15</f>
        <v>15.082127028094042</v>
      </c>
      <c r="AZ483" s="279">
        <f t="shared" ref="AZ483:BL483" si="59">AY483+($BM$483-$AX$483)/15</f>
        <v>15.091701828796536</v>
      </c>
      <c r="BA483" s="279">
        <f t="shared" si="59"/>
        <v>15.101276629499029</v>
      </c>
      <c r="BB483" s="279">
        <f t="shared" si="59"/>
        <v>15.110851430201523</v>
      </c>
      <c r="BC483" s="279">
        <f t="shared" si="59"/>
        <v>15.120426230904016</v>
      </c>
      <c r="BD483" s="279">
        <f t="shared" si="59"/>
        <v>15.130001031606509</v>
      </c>
      <c r="BE483" s="279">
        <f t="shared" si="59"/>
        <v>15.139575832309003</v>
      </c>
      <c r="BF483" s="279">
        <f t="shared" si="59"/>
        <v>15.149150633011496</v>
      </c>
      <c r="BG483" s="279">
        <f t="shared" si="59"/>
        <v>15.15872543371399</v>
      </c>
      <c r="BH483" s="279">
        <f t="shared" si="59"/>
        <v>15.168300234416483</v>
      </c>
      <c r="BI483" s="279">
        <f t="shared" si="59"/>
        <v>15.177875035118976</v>
      </c>
      <c r="BJ483" s="279">
        <f t="shared" si="59"/>
        <v>15.18744983582147</v>
      </c>
      <c r="BK483" s="279">
        <f t="shared" si="59"/>
        <v>15.197024636523963</v>
      </c>
      <c r="BL483" s="279">
        <f t="shared" si="59"/>
        <v>15.206599437226457</v>
      </c>
      <c r="BM483" s="280">
        <f>AX483*$C$745</f>
        <v>15.216174237928941</v>
      </c>
      <c r="BN483" s="279">
        <f>BM483+($BR$483-$BM$483)/5</f>
        <v>15.225840274150585</v>
      </c>
      <c r="BO483" s="279">
        <f>BN483+($BR$483-$BM$483)/5</f>
        <v>15.235506310372228</v>
      </c>
      <c r="BP483" s="279">
        <f>BO483+($BR$483-$BM$483)/5</f>
        <v>15.245172346593872</v>
      </c>
      <c r="BQ483" s="279">
        <f>BP483+($BR$483-$BM$483)/5</f>
        <v>15.254838382815516</v>
      </c>
      <c r="BR483" s="280">
        <f>BM483*$D$745</f>
        <v>15.264504419037157</v>
      </c>
    </row>
    <row r="484" spans="1:70" x14ac:dyDescent="0.25">
      <c r="A484" s="300" t="s">
        <v>640</v>
      </c>
      <c r="B484" s="300"/>
      <c r="C484" s="300"/>
      <c r="D484" s="300"/>
      <c r="E484" s="300"/>
      <c r="F484" s="300"/>
      <c r="G484" s="300"/>
      <c r="H484" s="300"/>
      <c r="I484" s="300"/>
      <c r="J484" s="300"/>
      <c r="K484" s="300"/>
      <c r="L484" s="300"/>
      <c r="M484" s="300"/>
      <c r="N484" s="300"/>
      <c r="O484" s="300"/>
      <c r="P484" s="300"/>
      <c r="Q484" s="300"/>
      <c r="R484" s="300"/>
      <c r="S484" s="300"/>
      <c r="T484" s="300"/>
      <c r="U484" s="300"/>
      <c r="V484" s="300"/>
      <c r="W484" s="300"/>
      <c r="X484" s="300"/>
      <c r="Y484" s="300"/>
      <c r="Z484" s="300"/>
    </row>
    <row r="485" spans="1:70" x14ac:dyDescent="0.25">
      <c r="A485" s="300" t="s">
        <v>641</v>
      </c>
      <c r="B485" s="300"/>
      <c r="C485" s="300"/>
      <c r="D485" s="300"/>
      <c r="E485" s="300"/>
      <c r="F485" s="300"/>
      <c r="G485" s="300"/>
      <c r="H485" s="300"/>
      <c r="I485" s="300"/>
      <c r="J485" s="300"/>
      <c r="K485" s="300"/>
      <c r="L485" s="300"/>
      <c r="M485" s="300"/>
      <c r="N485" s="300"/>
      <c r="O485" s="300"/>
      <c r="P485" s="300"/>
      <c r="Q485" s="300"/>
      <c r="R485" s="300"/>
      <c r="S485" s="300"/>
      <c r="T485" s="300"/>
      <c r="U485" s="300"/>
      <c r="V485" s="300"/>
      <c r="W485" s="300"/>
      <c r="X485" s="300"/>
      <c r="Y485" s="300"/>
      <c r="Z485" s="300"/>
    </row>
    <row r="486" spans="1:70" x14ac:dyDescent="0.25">
      <c r="A486" s="300" t="s">
        <v>642</v>
      </c>
      <c r="B486" s="300"/>
      <c r="C486" s="300"/>
      <c r="D486" s="300"/>
      <c r="E486" s="300"/>
      <c r="F486" s="300"/>
      <c r="G486" s="300"/>
      <c r="H486" s="300"/>
      <c r="I486" s="300"/>
      <c r="J486" s="300"/>
      <c r="K486" s="300"/>
      <c r="L486" s="300"/>
      <c r="M486" s="300"/>
      <c r="N486" s="300"/>
      <c r="O486" s="300"/>
      <c r="P486" s="300"/>
      <c r="Q486" s="300"/>
      <c r="R486" s="300"/>
      <c r="S486" s="300"/>
      <c r="T486" s="300"/>
      <c r="U486" s="300"/>
      <c r="V486" s="300"/>
      <c r="W486" s="300"/>
      <c r="X486" s="300"/>
      <c r="Y486" s="300"/>
      <c r="Z486" s="300"/>
    </row>
    <row r="487" spans="1:70" ht="13.8" thickBot="1" x14ac:dyDescent="0.3">
      <c r="A487" s="300" t="s">
        <v>643</v>
      </c>
      <c r="B487" s="300"/>
      <c r="C487" s="300"/>
      <c r="D487" s="300"/>
      <c r="E487" s="300"/>
      <c r="F487" s="300"/>
      <c r="G487" s="300"/>
      <c r="H487" s="300"/>
      <c r="I487" s="300"/>
      <c r="J487" s="300"/>
      <c r="K487" s="300"/>
      <c r="L487" s="300"/>
      <c r="M487" s="300"/>
      <c r="N487" s="300"/>
      <c r="O487" s="300"/>
      <c r="P487" s="300"/>
      <c r="Q487" s="300"/>
      <c r="R487" s="300"/>
      <c r="S487" s="300"/>
      <c r="T487" s="300"/>
      <c r="U487" s="300"/>
      <c r="V487" s="300"/>
      <c r="W487" s="300"/>
      <c r="X487" s="300"/>
      <c r="Y487" s="300"/>
      <c r="Z487" s="300"/>
    </row>
    <row r="488" spans="1:70" ht="13.8" thickBot="1" x14ac:dyDescent="0.3">
      <c r="A488" s="300" t="s">
        <v>644</v>
      </c>
      <c r="B488" s="300"/>
      <c r="C488" s="300"/>
      <c r="D488" s="300"/>
      <c r="E488" s="300"/>
      <c r="F488" s="300"/>
      <c r="G488" s="300"/>
      <c r="H488" s="300"/>
      <c r="I488" s="300"/>
      <c r="J488" s="300"/>
      <c r="K488" s="300"/>
      <c r="L488" s="300"/>
      <c r="M488" s="300"/>
      <c r="N488" s="300"/>
      <c r="O488" s="300"/>
      <c r="P488" s="300"/>
      <c r="Q488" s="300"/>
      <c r="R488" s="300"/>
      <c r="S488" s="300"/>
      <c r="T488" s="300"/>
      <c r="U488" s="300"/>
      <c r="V488" s="300"/>
      <c r="W488" s="300"/>
      <c r="X488" s="300"/>
      <c r="Y488" s="300"/>
      <c r="Z488" s="300"/>
      <c r="AA488" s="281">
        <f>Z658+($AI$488-$Y$658)/10</f>
        <v>13.224797394153365</v>
      </c>
      <c r="AB488" s="281">
        <f t="shared" ref="AB488:AH488" si="60">AA488+($AI$488-$Y$658)/10</f>
        <v>13.589441040570847</v>
      </c>
      <c r="AC488" s="281">
        <f t="shared" si="60"/>
        <v>13.954084686988329</v>
      </c>
      <c r="AD488" s="281">
        <f t="shared" si="60"/>
        <v>14.318728333405812</v>
      </c>
      <c r="AE488" s="281">
        <f t="shared" si="60"/>
        <v>14.683371979823294</v>
      </c>
      <c r="AF488" s="281">
        <f t="shared" si="60"/>
        <v>15.048015626240776</v>
      </c>
      <c r="AG488" s="281">
        <f t="shared" si="60"/>
        <v>15.412659272658258</v>
      </c>
      <c r="AH488" s="281">
        <f t="shared" si="60"/>
        <v>15.777302919075741</v>
      </c>
      <c r="AI488" s="282">
        <f>T658*$E$744</f>
        <v>16.141946565493228</v>
      </c>
      <c r="AJ488" s="281">
        <f>AI488+($AX$488-$AI$488)/15</f>
        <v>16.312798018423909</v>
      </c>
      <c r="AK488" s="281">
        <f t="shared" ref="AK488:AW488" si="61">AJ488+($AX$488-$AI$488)/15</f>
        <v>16.483649471354589</v>
      </c>
      <c r="AL488" s="281">
        <f t="shared" si="61"/>
        <v>16.654500924285269</v>
      </c>
      <c r="AM488" s="281">
        <f t="shared" si="61"/>
        <v>16.82535237721595</v>
      </c>
      <c r="AN488" s="281">
        <f t="shared" si="61"/>
        <v>16.99620383014663</v>
      </c>
      <c r="AO488" s="281">
        <f t="shared" si="61"/>
        <v>17.16705528307731</v>
      </c>
      <c r="AP488" s="281">
        <f t="shared" si="61"/>
        <v>17.337906736007991</v>
      </c>
      <c r="AQ488" s="281">
        <f t="shared" si="61"/>
        <v>17.508758188938671</v>
      </c>
      <c r="AR488" s="281">
        <f t="shared" si="61"/>
        <v>17.679609641869352</v>
      </c>
      <c r="AS488" s="281">
        <f t="shared" si="61"/>
        <v>17.850461094800032</v>
      </c>
      <c r="AT488" s="281">
        <f t="shared" si="61"/>
        <v>18.021312547730712</v>
      </c>
      <c r="AU488" s="281">
        <f t="shared" si="61"/>
        <v>18.192164000661393</v>
      </c>
      <c r="AV488" s="281">
        <f t="shared" si="61"/>
        <v>18.363015453592073</v>
      </c>
      <c r="AW488" s="281">
        <f t="shared" si="61"/>
        <v>18.533866906522753</v>
      </c>
      <c r="AX488" s="282">
        <f>AI488*$B$744</f>
        <v>18.704718359453445</v>
      </c>
      <c r="AY488" s="281">
        <f>AX488+($BM$488-$AX$488)/15</f>
        <v>18.811222625087144</v>
      </c>
      <c r="AZ488" s="281">
        <f t="shared" ref="AZ488:BL488" si="62">AY488+($BM$488-$AX$488)/15</f>
        <v>18.917726890720843</v>
      </c>
      <c r="BA488" s="281">
        <f t="shared" si="62"/>
        <v>19.024231156354542</v>
      </c>
      <c r="BB488" s="281">
        <f t="shared" si="62"/>
        <v>19.130735421988241</v>
      </c>
      <c r="BC488" s="281">
        <f t="shared" si="62"/>
        <v>19.23723968762194</v>
      </c>
      <c r="BD488" s="281">
        <f t="shared" si="62"/>
        <v>19.34374395325564</v>
      </c>
      <c r="BE488" s="281">
        <f t="shared" si="62"/>
        <v>19.450248218889339</v>
      </c>
      <c r="BF488" s="281">
        <f t="shared" si="62"/>
        <v>19.556752484523038</v>
      </c>
      <c r="BG488" s="281">
        <f t="shared" si="62"/>
        <v>19.663256750156737</v>
      </c>
      <c r="BH488" s="281">
        <f t="shared" si="62"/>
        <v>19.769761015790436</v>
      </c>
      <c r="BI488" s="281">
        <f t="shared" si="62"/>
        <v>19.876265281424136</v>
      </c>
      <c r="BJ488" s="281">
        <f t="shared" si="62"/>
        <v>19.982769547057835</v>
      </c>
      <c r="BK488" s="281">
        <f t="shared" si="62"/>
        <v>20.089273812691534</v>
      </c>
      <c r="BL488" s="281">
        <f t="shared" si="62"/>
        <v>20.195778078325233</v>
      </c>
      <c r="BM488" s="282">
        <f>AX488*$C$744</f>
        <v>20.302282343958908</v>
      </c>
      <c r="BN488" s="281">
        <f>BM488+($BR$488-$BM$488)/5</f>
        <v>20.417883104696291</v>
      </c>
      <c r="BO488" s="281">
        <f>BN488+($BR$488-$BM$488)/5</f>
        <v>20.533483865433674</v>
      </c>
      <c r="BP488" s="281">
        <f>BO488+($BR$488-$BM$488)/5</f>
        <v>20.649084626171057</v>
      </c>
      <c r="BQ488" s="281">
        <f>BP488+($BR$488-$BM$488)/5</f>
        <v>20.76468538690844</v>
      </c>
      <c r="BR488" s="282">
        <f>BM488*$D$744</f>
        <v>20.880286147645826</v>
      </c>
    </row>
    <row r="489" spans="1:70" ht="13.8" thickBot="1" x14ac:dyDescent="0.3">
      <c r="A489" s="300" t="s">
        <v>645</v>
      </c>
      <c r="B489" s="300"/>
      <c r="C489" s="300"/>
      <c r="D489" s="300"/>
      <c r="E489" s="300"/>
      <c r="F489" s="300"/>
      <c r="G489" s="300"/>
      <c r="H489" s="300"/>
      <c r="I489" s="300"/>
      <c r="J489" s="300"/>
      <c r="K489" s="300"/>
      <c r="L489" s="300"/>
      <c r="M489" s="300"/>
      <c r="N489" s="300"/>
      <c r="O489" s="300"/>
      <c r="P489" s="300"/>
      <c r="Q489" s="300"/>
      <c r="R489" s="300"/>
      <c r="S489" s="300"/>
      <c r="T489" s="300"/>
      <c r="U489" s="300"/>
      <c r="V489" s="300"/>
      <c r="W489" s="300"/>
      <c r="X489" s="300"/>
      <c r="Y489" s="300"/>
      <c r="Z489" s="300"/>
    </row>
    <row r="490" spans="1:70" ht="13.8" thickBot="1" x14ac:dyDescent="0.3">
      <c r="A490" s="300" t="s">
        <v>646</v>
      </c>
      <c r="B490" s="300"/>
      <c r="C490" s="300"/>
      <c r="D490" s="300"/>
      <c r="E490" s="300"/>
      <c r="F490" s="300"/>
      <c r="G490" s="300"/>
      <c r="H490" s="300"/>
      <c r="I490" s="300"/>
      <c r="J490" s="300"/>
      <c r="K490" s="300"/>
      <c r="L490" s="300"/>
      <c r="M490" s="300"/>
      <c r="N490" s="300"/>
      <c r="O490" s="300"/>
      <c r="P490" s="300"/>
      <c r="Q490" s="300"/>
      <c r="R490" s="300"/>
      <c r="S490" s="300"/>
      <c r="T490" s="300"/>
      <c r="U490" s="300"/>
      <c r="V490" s="300"/>
      <c r="W490" s="300"/>
      <c r="X490" s="300"/>
      <c r="Y490" s="300"/>
      <c r="Z490" s="300"/>
      <c r="AA490" s="281">
        <f>Z660+($AI$490-$Y$660)/10</f>
        <v>15.4577980437679</v>
      </c>
      <c r="AB490" s="281">
        <f t="shared" ref="AB490:AH490" si="63">AA490+($AI$490-$Y$660)/10</f>
        <v>15.88385635596555</v>
      </c>
      <c r="AC490" s="281">
        <f t="shared" si="63"/>
        <v>16.309914668163202</v>
      </c>
      <c r="AD490" s="281">
        <f t="shared" si="63"/>
        <v>16.735972980360852</v>
      </c>
      <c r="AE490" s="281">
        <f t="shared" si="63"/>
        <v>17.162031292558503</v>
      </c>
      <c r="AF490" s="281">
        <f t="shared" si="63"/>
        <v>17.588089604756153</v>
      </c>
      <c r="AG490" s="281">
        <f t="shared" si="63"/>
        <v>18.014147916953803</v>
      </c>
      <c r="AH490" s="281">
        <f t="shared" si="63"/>
        <v>18.440206229151453</v>
      </c>
      <c r="AI490" s="282">
        <f>T660*$E$744</f>
        <v>18.866264541349103</v>
      </c>
      <c r="AJ490" s="281">
        <f>AI490+($AX$490-$AI$490)/15</f>
        <v>19.065951034869943</v>
      </c>
      <c r="AK490" s="281">
        <f t="shared" ref="AK490:AW490" si="64">AJ490+($AX$490-$AI$490)/15</f>
        <v>19.265637528390783</v>
      </c>
      <c r="AL490" s="281">
        <f t="shared" si="64"/>
        <v>19.465324021911623</v>
      </c>
      <c r="AM490" s="281">
        <f t="shared" si="64"/>
        <v>19.665010515432463</v>
      </c>
      <c r="AN490" s="281">
        <f t="shared" si="64"/>
        <v>19.864697008953303</v>
      </c>
      <c r="AO490" s="281">
        <f t="shared" si="64"/>
        <v>20.064383502474143</v>
      </c>
      <c r="AP490" s="281">
        <f t="shared" si="64"/>
        <v>20.264069995994983</v>
      </c>
      <c r="AQ490" s="281">
        <f t="shared" si="64"/>
        <v>20.463756489515823</v>
      </c>
      <c r="AR490" s="281">
        <f t="shared" si="64"/>
        <v>20.663442983036663</v>
      </c>
      <c r="AS490" s="281">
        <f t="shared" si="64"/>
        <v>20.863129476557503</v>
      </c>
      <c r="AT490" s="281">
        <f t="shared" si="64"/>
        <v>21.062815970078343</v>
      </c>
      <c r="AU490" s="281">
        <f t="shared" si="64"/>
        <v>21.262502463599183</v>
      </c>
      <c r="AV490" s="281">
        <f t="shared" si="64"/>
        <v>21.462188957120024</v>
      </c>
      <c r="AW490" s="281">
        <f t="shared" si="64"/>
        <v>21.661875450640864</v>
      </c>
      <c r="AX490" s="282">
        <f>AI490*$B$744</f>
        <v>21.861561944161682</v>
      </c>
      <c r="AY490" s="281">
        <f>AX490+($BM$490-$AX$490)/15</f>
        <v>21.986041209538687</v>
      </c>
      <c r="AZ490" s="281">
        <f t="shared" ref="AZ490:BL490" si="65">AY490+($BM$490-$AX$490)/15</f>
        <v>22.110520474915692</v>
      </c>
      <c r="BA490" s="281">
        <f t="shared" si="65"/>
        <v>22.234999740292697</v>
      </c>
      <c r="BB490" s="281">
        <f t="shared" si="65"/>
        <v>22.359479005669701</v>
      </c>
      <c r="BC490" s="281">
        <f t="shared" si="65"/>
        <v>22.483958271046706</v>
      </c>
      <c r="BD490" s="281">
        <f t="shared" si="65"/>
        <v>22.608437536423711</v>
      </c>
      <c r="BE490" s="281">
        <f t="shared" si="65"/>
        <v>22.732916801800716</v>
      </c>
      <c r="BF490" s="281">
        <f t="shared" si="65"/>
        <v>22.857396067177721</v>
      </c>
      <c r="BG490" s="281">
        <f t="shared" si="65"/>
        <v>22.981875332554726</v>
      </c>
      <c r="BH490" s="281">
        <f t="shared" si="65"/>
        <v>23.10635459793173</v>
      </c>
      <c r="BI490" s="281">
        <f t="shared" si="65"/>
        <v>23.230833863308735</v>
      </c>
      <c r="BJ490" s="281">
        <f t="shared" si="65"/>
        <v>23.35531312868574</v>
      </c>
      <c r="BK490" s="281">
        <f t="shared" si="65"/>
        <v>23.479792394062745</v>
      </c>
      <c r="BL490" s="281">
        <f t="shared" si="65"/>
        <v>23.60427165943975</v>
      </c>
      <c r="BM490" s="282">
        <f>AX490*$C$744</f>
        <v>23.728750924816747</v>
      </c>
      <c r="BN490" s="281">
        <f>BM490+($BR$490-$BM$490)/5</f>
        <v>23.863861924249427</v>
      </c>
      <c r="BO490" s="281">
        <f>BN490+($BR$490-$BM$490)/5</f>
        <v>23.998972923682107</v>
      </c>
      <c r="BP490" s="281">
        <f>BO490+($BR$490-$BM$490)/5</f>
        <v>24.134083923114787</v>
      </c>
      <c r="BQ490" s="281">
        <f>BP490+($BR$490-$BM$490)/5</f>
        <v>24.269194922547467</v>
      </c>
      <c r="BR490" s="282">
        <f>BM490*$D$744</f>
        <v>24.404305921980139</v>
      </c>
    </row>
    <row r="491" spans="1:70" x14ac:dyDescent="0.25">
      <c r="A491" s="300" t="s">
        <v>648</v>
      </c>
      <c r="B491" s="300"/>
      <c r="C491" s="300"/>
      <c r="D491" s="300"/>
      <c r="E491" s="300"/>
      <c r="F491" s="300"/>
      <c r="G491" s="300"/>
      <c r="H491" s="300"/>
      <c r="I491" s="300"/>
      <c r="J491" s="300"/>
      <c r="K491" s="300"/>
      <c r="L491" s="300"/>
      <c r="M491" s="300"/>
      <c r="N491" s="300"/>
      <c r="O491" s="300"/>
      <c r="P491" s="300"/>
      <c r="Q491" s="300"/>
      <c r="R491" s="300"/>
      <c r="S491" s="300"/>
      <c r="T491" s="300"/>
      <c r="U491" s="300"/>
      <c r="V491" s="300"/>
      <c r="W491" s="300"/>
      <c r="X491" s="300"/>
      <c r="Y491" s="300"/>
      <c r="Z491" s="300"/>
    </row>
    <row r="492" spans="1:70" x14ac:dyDescent="0.25">
      <c r="A492" s="300" t="s">
        <v>905</v>
      </c>
      <c r="B492" s="300"/>
      <c r="C492" s="300"/>
      <c r="D492" s="300"/>
      <c r="E492" s="300"/>
      <c r="F492" s="300"/>
      <c r="G492" s="300"/>
      <c r="H492" s="300"/>
      <c r="I492" s="300"/>
      <c r="J492" s="300"/>
      <c r="K492" s="300"/>
      <c r="L492" s="300"/>
      <c r="M492" s="300"/>
      <c r="N492" s="300"/>
      <c r="O492" s="300"/>
      <c r="P492" s="300"/>
      <c r="Q492" s="300"/>
      <c r="R492" s="300"/>
      <c r="S492" s="300"/>
      <c r="T492" s="300"/>
      <c r="U492" s="300"/>
      <c r="V492" s="300"/>
      <c r="W492" s="300"/>
      <c r="X492" s="300"/>
      <c r="Y492" s="300"/>
      <c r="Z492" s="300"/>
    </row>
    <row r="493" spans="1:70" ht="13.8" thickBot="1" x14ac:dyDescent="0.3">
      <c r="A493" s="300" t="s">
        <v>906</v>
      </c>
      <c r="B493" s="300"/>
      <c r="C493" s="300"/>
      <c r="D493" s="300"/>
      <c r="E493" s="300"/>
      <c r="F493" s="300"/>
      <c r="G493" s="300"/>
      <c r="H493" s="300"/>
      <c r="I493" s="300"/>
      <c r="J493" s="300"/>
      <c r="K493" s="300"/>
      <c r="L493" s="300"/>
      <c r="M493" s="300"/>
      <c r="N493" s="300"/>
      <c r="O493" s="300"/>
      <c r="P493" s="300"/>
      <c r="Q493" s="300"/>
      <c r="R493" s="300"/>
      <c r="S493" s="300"/>
      <c r="T493" s="300"/>
      <c r="U493" s="300"/>
      <c r="V493" s="300"/>
      <c r="W493" s="300"/>
      <c r="X493" s="300"/>
      <c r="Y493" s="300"/>
      <c r="Z493" s="300"/>
    </row>
    <row r="494" spans="1:70" ht="13.8" thickBot="1" x14ac:dyDescent="0.3">
      <c r="A494" s="300" t="s">
        <v>928</v>
      </c>
      <c r="B494" s="300"/>
      <c r="C494" s="300"/>
      <c r="D494" s="300"/>
      <c r="E494" s="300"/>
      <c r="F494" s="300"/>
      <c r="G494" s="300"/>
      <c r="H494" s="300"/>
      <c r="I494" s="300"/>
      <c r="J494" s="300"/>
      <c r="K494" s="300"/>
      <c r="L494" s="300"/>
      <c r="M494" s="300"/>
      <c r="N494" s="300"/>
      <c r="O494" s="300"/>
      <c r="P494" s="300"/>
      <c r="Q494" s="300"/>
      <c r="R494" s="300"/>
      <c r="S494" s="300"/>
      <c r="T494" s="300"/>
      <c r="U494" s="300"/>
      <c r="V494" s="300"/>
      <c r="W494" s="300"/>
      <c r="X494" s="300"/>
      <c r="Y494" s="300"/>
      <c r="Z494" s="300"/>
      <c r="AA494" s="283">
        <f>Z664+($AI$494-$Y$664)/10</f>
        <v>19.493346965415647</v>
      </c>
      <c r="AB494" s="283">
        <f t="shared" ref="AB494:AH494" si="66">AA494+($AI$494-$Y$664)/10</f>
        <v>19.39274662152437</v>
      </c>
      <c r="AC494" s="283">
        <f t="shared" si="66"/>
        <v>19.292146277633094</v>
      </c>
      <c r="AD494" s="283">
        <f t="shared" si="66"/>
        <v>19.191545933741818</v>
      </c>
      <c r="AE494" s="283">
        <f t="shared" si="66"/>
        <v>19.090945589850541</v>
      </c>
      <c r="AF494" s="283">
        <f t="shared" si="66"/>
        <v>18.990345245959265</v>
      </c>
      <c r="AG494" s="283">
        <f t="shared" si="66"/>
        <v>18.889744902067989</v>
      </c>
      <c r="AH494" s="283">
        <f t="shared" si="66"/>
        <v>18.789144558176712</v>
      </c>
      <c r="AI494" s="284">
        <f>T664*$E$747</f>
        <v>18.68854421428545</v>
      </c>
      <c r="AJ494" s="283">
        <f>AI494+($AX$494-$AI$494)/15</f>
        <v>18.700972398006513</v>
      </c>
      <c r="AK494" s="283">
        <f t="shared" ref="AK494:AW494" si="67">AJ494+($AX$494-$AI$494)/15</f>
        <v>18.713400581727576</v>
      </c>
      <c r="AL494" s="283">
        <f t="shared" si="67"/>
        <v>18.72582876544864</v>
      </c>
      <c r="AM494" s="283">
        <f t="shared" si="67"/>
        <v>18.738256949169703</v>
      </c>
      <c r="AN494" s="283">
        <f t="shared" si="67"/>
        <v>18.750685132890766</v>
      </c>
      <c r="AO494" s="283">
        <f t="shared" si="67"/>
        <v>18.763113316611829</v>
      </c>
      <c r="AP494" s="283">
        <f t="shared" si="67"/>
        <v>18.775541500332892</v>
      </c>
      <c r="AQ494" s="283">
        <f t="shared" si="67"/>
        <v>18.787969684053955</v>
      </c>
      <c r="AR494" s="283">
        <f t="shared" si="67"/>
        <v>18.800397867775018</v>
      </c>
      <c r="AS494" s="283">
        <f t="shared" si="67"/>
        <v>18.812826051496081</v>
      </c>
      <c r="AT494" s="283">
        <f t="shared" si="67"/>
        <v>18.825254235217145</v>
      </c>
      <c r="AU494" s="283">
        <f t="shared" si="67"/>
        <v>18.837682418938208</v>
      </c>
      <c r="AV494" s="283">
        <f t="shared" si="67"/>
        <v>18.850110602659271</v>
      </c>
      <c r="AW494" s="283">
        <f t="shared" si="67"/>
        <v>18.862538786380334</v>
      </c>
      <c r="AX494" s="284">
        <f>AI494*$B$747</f>
        <v>18.874966970101411</v>
      </c>
      <c r="AY494" s="283">
        <f>AX494+($BM$494-$AX$494)/15</f>
        <v>18.881381252955478</v>
      </c>
      <c r="AZ494" s="283">
        <f t="shared" ref="AZ494:BL494" si="68">AY494+($BM$494-$AX$494)/15</f>
        <v>18.887795535809545</v>
      </c>
      <c r="BA494" s="283">
        <f t="shared" si="68"/>
        <v>18.894209818663612</v>
      </c>
      <c r="BB494" s="283">
        <f t="shared" si="68"/>
        <v>18.900624101517678</v>
      </c>
      <c r="BC494" s="283">
        <f t="shared" si="68"/>
        <v>18.907038384371745</v>
      </c>
      <c r="BD494" s="283">
        <f t="shared" si="68"/>
        <v>18.913452667225812</v>
      </c>
      <c r="BE494" s="283">
        <f t="shared" si="68"/>
        <v>18.919866950079879</v>
      </c>
      <c r="BF494" s="283">
        <f t="shared" si="68"/>
        <v>18.926281232933945</v>
      </c>
      <c r="BG494" s="283">
        <f t="shared" si="68"/>
        <v>18.932695515788012</v>
      </c>
      <c r="BH494" s="283">
        <f t="shared" si="68"/>
        <v>18.939109798642079</v>
      </c>
      <c r="BI494" s="283">
        <f t="shared" si="68"/>
        <v>18.945524081496146</v>
      </c>
      <c r="BJ494" s="283">
        <f t="shared" si="68"/>
        <v>18.951938364350212</v>
      </c>
      <c r="BK494" s="283">
        <f t="shared" si="68"/>
        <v>18.958352647204279</v>
      </c>
      <c r="BL494" s="283">
        <f t="shared" si="68"/>
        <v>18.964766930058346</v>
      </c>
      <c r="BM494" s="284">
        <f>AX494*$C$747</f>
        <v>18.971181212912409</v>
      </c>
      <c r="BN494" s="283">
        <f>BM494+($BR$494-$BM$494)/5</f>
        <v>18.97762819226703</v>
      </c>
      <c r="BO494" s="283">
        <f>BN494+($BR$494-$BM$494)/5</f>
        <v>18.984075171621651</v>
      </c>
      <c r="BP494" s="283">
        <f>BO494+($BR$494-$BM$494)/5</f>
        <v>18.990522150976272</v>
      </c>
      <c r="BQ494" s="283">
        <f>BP494+($BR$494-$BM$494)/5</f>
        <v>18.996969130330893</v>
      </c>
      <c r="BR494" s="284">
        <f>BM494*$D$747</f>
        <v>19.003416109685507</v>
      </c>
    </row>
    <row r="495" spans="1:70" x14ac:dyDescent="0.25">
      <c r="A495" s="300" t="s">
        <v>929</v>
      </c>
      <c r="B495" s="300"/>
      <c r="C495" s="300"/>
      <c r="D495" s="300"/>
      <c r="E495" s="300"/>
      <c r="F495" s="300"/>
      <c r="G495" s="300"/>
      <c r="H495" s="300"/>
      <c r="I495" s="300"/>
      <c r="J495" s="300"/>
      <c r="K495" s="300"/>
      <c r="L495" s="300"/>
      <c r="M495" s="300"/>
      <c r="N495" s="300"/>
      <c r="O495" s="300"/>
      <c r="P495" s="300"/>
      <c r="Q495" s="300"/>
      <c r="R495" s="300"/>
      <c r="S495" s="300"/>
      <c r="T495" s="300"/>
      <c r="U495" s="300"/>
      <c r="V495" s="300"/>
      <c r="W495" s="300"/>
      <c r="X495" s="300"/>
      <c r="Y495" s="300"/>
      <c r="Z495" s="300"/>
    </row>
    <row r="496" spans="1:70" x14ac:dyDescent="0.25">
      <c r="A496" s="300" t="s">
        <v>950</v>
      </c>
      <c r="B496" s="300"/>
      <c r="C496" s="300"/>
      <c r="D496" s="300"/>
      <c r="E496" s="300"/>
      <c r="F496" s="300"/>
      <c r="G496" s="300"/>
      <c r="H496" s="300"/>
      <c r="I496" s="300"/>
      <c r="J496" s="300"/>
      <c r="K496" s="300"/>
      <c r="L496" s="300"/>
      <c r="M496" s="300"/>
      <c r="N496" s="300"/>
      <c r="O496" s="300"/>
      <c r="P496" s="300"/>
      <c r="Q496" s="300"/>
      <c r="R496" s="300"/>
      <c r="S496" s="300"/>
      <c r="T496" s="300"/>
      <c r="U496" s="300"/>
      <c r="V496" s="300"/>
      <c r="W496" s="300"/>
      <c r="X496" s="300"/>
      <c r="Y496" s="300"/>
      <c r="Z496" s="300"/>
    </row>
    <row r="499" spans="1:70" ht="13.8" thickBot="1" x14ac:dyDescent="0.3"/>
    <row r="500" spans="1:70" x14ac:dyDescent="0.25">
      <c r="A500" s="240" t="s">
        <v>428</v>
      </c>
      <c r="B500" s="241"/>
      <c r="C500" s="241"/>
      <c r="D500" s="242"/>
      <c r="E500" s="241"/>
      <c r="F500" s="241"/>
      <c r="G500" s="241"/>
      <c r="H500" s="241"/>
      <c r="I500" s="241"/>
      <c r="J500" s="241"/>
      <c r="K500" s="241"/>
      <c r="L500" s="241"/>
      <c r="M500" s="241"/>
      <c r="N500" s="241"/>
      <c r="O500" s="241"/>
      <c r="P500" s="241"/>
      <c r="Q500" s="241"/>
      <c r="R500" s="241"/>
      <c r="S500" s="241"/>
      <c r="T500" s="241"/>
      <c r="U500" s="241"/>
      <c r="V500" s="241"/>
      <c r="W500" s="241"/>
      <c r="X500" s="241"/>
      <c r="Y500" s="241"/>
    </row>
    <row r="501" spans="1:70" x14ac:dyDescent="0.25">
      <c r="A501" s="243" t="s">
        <v>429</v>
      </c>
      <c r="B501" s="244"/>
      <c r="C501" s="244"/>
      <c r="D501" s="244"/>
      <c r="E501" s="244"/>
      <c r="F501" s="244"/>
      <c r="G501" s="244"/>
      <c r="H501" s="244"/>
      <c r="I501" s="244"/>
      <c r="J501" s="244"/>
      <c r="K501" s="244"/>
      <c r="L501" s="244"/>
      <c r="M501" s="244"/>
      <c r="N501" s="244"/>
      <c r="O501" s="244"/>
      <c r="P501" s="244"/>
      <c r="Q501" s="244"/>
      <c r="R501" s="244"/>
      <c r="S501" s="244"/>
      <c r="T501" s="244"/>
      <c r="U501" s="244"/>
      <c r="V501" s="244"/>
      <c r="W501" s="244"/>
      <c r="X501" s="244"/>
      <c r="Y501" s="244"/>
    </row>
    <row r="502" spans="1:70" x14ac:dyDescent="0.25">
      <c r="A502" s="243" t="s">
        <v>838</v>
      </c>
      <c r="B502" s="244"/>
      <c r="C502" s="244"/>
      <c r="D502" s="244"/>
      <c r="E502" s="244"/>
      <c r="F502" s="244"/>
      <c r="G502" s="244"/>
      <c r="H502" s="244"/>
      <c r="I502" s="244"/>
      <c r="J502" s="244"/>
      <c r="K502" s="244"/>
      <c r="L502" s="244"/>
      <c r="M502" s="244"/>
      <c r="N502" s="244"/>
      <c r="O502" s="244"/>
      <c r="P502" s="244"/>
      <c r="Q502" s="244"/>
      <c r="R502" s="244"/>
      <c r="S502" s="244"/>
      <c r="T502" s="244"/>
      <c r="U502" s="244"/>
      <c r="V502" s="244"/>
      <c r="W502" s="244"/>
      <c r="X502" s="244"/>
      <c r="Y502" s="244"/>
    </row>
    <row r="503" spans="1:70" x14ac:dyDescent="0.25">
      <c r="A503" s="243" t="s">
        <v>839</v>
      </c>
      <c r="B503" s="244"/>
      <c r="C503" s="244"/>
      <c r="D503" s="244"/>
      <c r="E503" s="244"/>
      <c r="F503" s="244"/>
      <c r="G503" s="244"/>
      <c r="H503" s="244"/>
      <c r="I503" s="244"/>
      <c r="J503" s="244"/>
      <c r="K503" s="244"/>
      <c r="L503" s="244"/>
      <c r="M503" s="244"/>
      <c r="N503" s="244"/>
      <c r="O503" s="244"/>
      <c r="P503" s="244"/>
      <c r="Q503" s="244"/>
      <c r="R503" s="244"/>
      <c r="S503" s="244"/>
      <c r="T503" s="244"/>
      <c r="U503" s="244"/>
      <c r="V503" s="244"/>
      <c r="W503" s="244"/>
      <c r="X503" s="244"/>
      <c r="Y503" s="244"/>
    </row>
    <row r="504" spans="1:70" x14ac:dyDescent="0.25">
      <c r="A504" s="243" t="s">
        <v>430</v>
      </c>
      <c r="B504" s="244"/>
      <c r="C504" s="244"/>
      <c r="D504" s="244"/>
      <c r="E504" s="244"/>
      <c r="F504" s="244"/>
      <c r="G504" s="244"/>
      <c r="H504" s="244"/>
      <c r="I504" s="244"/>
      <c r="J504" s="244"/>
      <c r="K504" s="244"/>
      <c r="L504" s="244"/>
      <c r="M504" s="244"/>
      <c r="N504" s="244"/>
      <c r="O504" s="244"/>
      <c r="P504" s="244"/>
      <c r="Q504" s="244"/>
      <c r="R504" s="244"/>
      <c r="S504" s="244"/>
      <c r="T504" s="244"/>
      <c r="U504" s="244"/>
      <c r="V504" s="244"/>
      <c r="W504" s="244"/>
      <c r="X504" s="244"/>
      <c r="Y504" s="244"/>
    </row>
    <row r="505" spans="1:70" ht="13.8" thickBot="1" x14ac:dyDescent="0.3">
      <c r="A505" s="243" t="s">
        <v>431</v>
      </c>
      <c r="B505" s="244"/>
      <c r="C505" s="244"/>
      <c r="D505" s="244"/>
      <c r="E505" s="244"/>
      <c r="F505" s="244"/>
      <c r="G505" s="244"/>
      <c r="H505" s="244"/>
      <c r="I505" s="244"/>
      <c r="J505" s="244"/>
      <c r="K505" s="244"/>
      <c r="L505" s="244"/>
      <c r="M505" s="244"/>
      <c r="N505" s="244"/>
      <c r="O505" s="244"/>
      <c r="P505" s="244"/>
      <c r="Q505" s="244"/>
      <c r="R505" s="244"/>
      <c r="S505" s="244"/>
      <c r="T505" s="244"/>
      <c r="U505" s="244"/>
      <c r="V505" s="244"/>
      <c r="W505" s="244"/>
      <c r="X505" s="244"/>
      <c r="Y505" s="244"/>
    </row>
    <row r="506" spans="1:70" ht="13.8" thickBot="1" x14ac:dyDescent="0.3">
      <c r="A506" s="245" t="s">
        <v>432</v>
      </c>
      <c r="B506" s="244"/>
      <c r="C506" s="244"/>
      <c r="D506" s="244"/>
      <c r="E506" s="244"/>
      <c r="F506" s="244"/>
      <c r="G506" s="244"/>
      <c r="H506" s="244"/>
      <c r="I506" s="244"/>
      <c r="J506" s="244"/>
      <c r="K506" s="244"/>
      <c r="L506" s="244"/>
      <c r="M506" s="244"/>
      <c r="N506" s="244"/>
      <c r="O506" s="244"/>
      <c r="P506" s="244"/>
      <c r="Q506" s="244"/>
      <c r="R506" s="244"/>
      <c r="S506" s="244"/>
      <c r="T506" s="244"/>
      <c r="U506" s="244"/>
      <c r="V506" s="244"/>
      <c r="W506" s="244"/>
      <c r="X506" s="244"/>
      <c r="Y506" s="244"/>
      <c r="AA506" s="277">
        <f>Z676+($AI$506-$Y$676)/10</f>
        <v>5.5529965108452508</v>
      </c>
      <c r="AB506" s="277">
        <f t="shared" ref="AB506:AH506" si="69">AA506+($AI$506-$Y$676)/10</f>
        <v>5.5809474506703411</v>
      </c>
      <c r="AC506" s="277">
        <f t="shared" si="69"/>
        <v>5.6088983904954315</v>
      </c>
      <c r="AD506" s="277">
        <f t="shared" si="69"/>
        <v>5.6368493303205218</v>
      </c>
      <c r="AE506" s="277">
        <f t="shared" si="69"/>
        <v>5.6648002701456122</v>
      </c>
      <c r="AF506" s="277">
        <f t="shared" si="69"/>
        <v>5.6927512099707025</v>
      </c>
      <c r="AG506" s="277">
        <f t="shared" si="69"/>
        <v>5.7207021497957928</v>
      </c>
      <c r="AH506" s="277">
        <f t="shared" si="69"/>
        <v>5.7486530896208832</v>
      </c>
      <c r="AI506" s="278">
        <f>T676*$E$742</f>
        <v>5.77660402944597</v>
      </c>
      <c r="AJ506" s="277">
        <f>AI506+($AX$506-$AI$506)/15</f>
        <v>5.8419909425225587</v>
      </c>
      <c r="AK506" s="277">
        <f t="shared" ref="AK506:AW506" si="70">AJ506+($AX$506-$AI$506)/15</f>
        <v>5.9073778555991474</v>
      </c>
      <c r="AL506" s="277">
        <f t="shared" si="70"/>
        <v>5.9727647686757361</v>
      </c>
      <c r="AM506" s="277">
        <f t="shared" si="70"/>
        <v>6.0381516817523249</v>
      </c>
      <c r="AN506" s="277">
        <f t="shared" si="70"/>
        <v>6.1035385948289136</v>
      </c>
      <c r="AO506" s="277">
        <f t="shared" si="70"/>
        <v>6.1689255079055023</v>
      </c>
      <c r="AP506" s="277">
        <f t="shared" si="70"/>
        <v>6.234312420982091</v>
      </c>
      <c r="AQ506" s="277">
        <f t="shared" si="70"/>
        <v>6.2996993340586798</v>
      </c>
      <c r="AR506" s="277">
        <f t="shared" si="70"/>
        <v>6.3650862471352685</v>
      </c>
      <c r="AS506" s="277">
        <f t="shared" si="70"/>
        <v>6.4304731602118572</v>
      </c>
      <c r="AT506" s="277">
        <f t="shared" si="70"/>
        <v>6.4958600732884459</v>
      </c>
      <c r="AU506" s="277">
        <f t="shared" si="70"/>
        <v>6.5612469863650347</v>
      </c>
      <c r="AV506" s="277">
        <f t="shared" si="70"/>
        <v>6.6266338994416234</v>
      </c>
      <c r="AW506" s="277">
        <f t="shared" si="70"/>
        <v>6.6920208125182121</v>
      </c>
      <c r="AX506" s="278">
        <f>AI506*$B$742</f>
        <v>6.7574077255948062</v>
      </c>
      <c r="AY506" s="277">
        <f>AX506+($BM$506-$AX$506)/15</f>
        <v>6.8243179096825601</v>
      </c>
      <c r="AZ506" s="277">
        <f t="shared" ref="AZ506:BL506" si="71">AY506+($BM$506-$AX$506)/15</f>
        <v>6.8912280937703141</v>
      </c>
      <c r="BA506" s="277">
        <f t="shared" si="71"/>
        <v>6.958138277858068</v>
      </c>
      <c r="BB506" s="277">
        <f t="shared" si="71"/>
        <v>7.025048461945822</v>
      </c>
      <c r="BC506" s="277">
        <f t="shared" si="71"/>
        <v>7.091958646033576</v>
      </c>
      <c r="BD506" s="277">
        <f t="shared" si="71"/>
        <v>7.1588688301213299</v>
      </c>
      <c r="BE506" s="277">
        <f t="shared" si="71"/>
        <v>7.2257790142090839</v>
      </c>
      <c r="BF506" s="277">
        <f t="shared" si="71"/>
        <v>7.2926891982968378</v>
      </c>
      <c r="BG506" s="277">
        <f t="shared" si="71"/>
        <v>7.3595993823845918</v>
      </c>
      <c r="BH506" s="277">
        <f t="shared" si="71"/>
        <v>7.4265095664723457</v>
      </c>
      <c r="BI506" s="277">
        <f t="shared" si="71"/>
        <v>7.4934197505600997</v>
      </c>
      <c r="BJ506" s="277">
        <f t="shared" si="71"/>
        <v>7.5603299346478536</v>
      </c>
      <c r="BK506" s="277">
        <f t="shared" si="71"/>
        <v>7.6272401187356076</v>
      </c>
      <c r="BL506" s="277">
        <f t="shared" si="71"/>
        <v>7.6941503028233615</v>
      </c>
      <c r="BM506" s="278">
        <f>AX506*$C$742</f>
        <v>7.7610604869111093</v>
      </c>
      <c r="BN506" s="277">
        <f>BM506+($BR$506-$BM$506)/5</f>
        <v>7.8379085930167243</v>
      </c>
      <c r="BO506" s="277">
        <f>BN506+($BR$506-$BM$506)/5</f>
        <v>7.9147566991223393</v>
      </c>
      <c r="BP506" s="277">
        <f>BO506+($BR$506-$BM$506)/5</f>
        <v>7.9916048052279542</v>
      </c>
      <c r="BQ506" s="277">
        <f>BP506+($BR$506-$BM$506)/5</f>
        <v>8.0684529113335692</v>
      </c>
      <c r="BR506" s="278">
        <f>BM506*$D$742</f>
        <v>8.1453010174391842</v>
      </c>
    </row>
    <row r="507" spans="1:70" ht="13.8" thickBot="1" x14ac:dyDescent="0.3">
      <c r="A507" s="243"/>
      <c r="B507" s="244"/>
      <c r="C507" s="244"/>
      <c r="D507" s="244"/>
      <c r="E507" s="244"/>
      <c r="F507" s="244"/>
      <c r="G507" s="244"/>
      <c r="H507" s="244"/>
      <c r="I507" s="244"/>
      <c r="J507" s="244"/>
      <c r="K507" s="244"/>
      <c r="L507" s="244"/>
      <c r="M507" s="244"/>
      <c r="N507" s="244"/>
      <c r="O507" s="244"/>
      <c r="P507" s="244"/>
      <c r="Q507" s="244"/>
      <c r="R507" s="244"/>
      <c r="S507" s="244"/>
      <c r="T507" s="244"/>
      <c r="U507" s="244"/>
      <c r="V507" s="244"/>
      <c r="W507" s="244"/>
      <c r="X507" s="244"/>
      <c r="Y507" s="244"/>
      <c r="AA507" s="285">
        <f>Z677+($AI$507-$Y$677)/10</f>
        <v>1.3364941226202385</v>
      </c>
      <c r="AB507" s="285">
        <f t="shared" ref="AB507:AH507" si="72">AA507+($AI$507-$Y$677)/10</f>
        <v>1.3402060190972878</v>
      </c>
      <c r="AC507" s="285">
        <f t="shared" si="72"/>
        <v>1.343917915574337</v>
      </c>
      <c r="AD507" s="285">
        <f t="shared" si="72"/>
        <v>1.3476298120513863</v>
      </c>
      <c r="AE507" s="285">
        <f t="shared" si="72"/>
        <v>1.3513417085284356</v>
      </c>
      <c r="AF507" s="285">
        <f t="shared" si="72"/>
        <v>1.3550536050054849</v>
      </c>
      <c r="AG507" s="285">
        <f t="shared" si="72"/>
        <v>1.3587655014825342</v>
      </c>
      <c r="AH507" s="285">
        <f t="shared" si="72"/>
        <v>1.3624773979595834</v>
      </c>
      <c r="AI507" s="286">
        <f>T677*$E$740</f>
        <v>1.3661892944366323</v>
      </c>
      <c r="AJ507" s="285">
        <f>AI507+($AX$507-$AI$507)/15</f>
        <v>1.3701947313799723</v>
      </c>
      <c r="AK507" s="285">
        <f t="shared" ref="AK507:AW507" si="73">AJ507+($AX$507-$AI$507)/15</f>
        <v>1.3742001683233123</v>
      </c>
      <c r="AL507" s="285">
        <f t="shared" si="73"/>
        <v>1.3782056052666523</v>
      </c>
      <c r="AM507" s="285">
        <f t="shared" si="73"/>
        <v>1.3822110422099922</v>
      </c>
      <c r="AN507" s="285">
        <f t="shared" si="73"/>
        <v>1.3862164791533322</v>
      </c>
      <c r="AO507" s="285">
        <f t="shared" si="73"/>
        <v>1.3902219160966722</v>
      </c>
      <c r="AP507" s="285">
        <f t="shared" si="73"/>
        <v>1.3942273530400122</v>
      </c>
      <c r="AQ507" s="285">
        <f t="shared" si="73"/>
        <v>1.3982327899833522</v>
      </c>
      <c r="AR507" s="285">
        <f t="shared" si="73"/>
        <v>1.4022382269266922</v>
      </c>
      <c r="AS507" s="285">
        <f t="shared" si="73"/>
        <v>1.4062436638700322</v>
      </c>
      <c r="AT507" s="285">
        <f t="shared" si="73"/>
        <v>1.4102491008133722</v>
      </c>
      <c r="AU507" s="285">
        <f t="shared" si="73"/>
        <v>1.4142545377567122</v>
      </c>
      <c r="AV507" s="285">
        <f t="shared" si="73"/>
        <v>1.4182599747000522</v>
      </c>
      <c r="AW507" s="285">
        <f t="shared" si="73"/>
        <v>1.4222654116433922</v>
      </c>
      <c r="AX507" s="286">
        <f>AI507*$B$740</f>
        <v>1.4262708485867317</v>
      </c>
      <c r="AY507" s="285">
        <f>AX507+($BM$507-$AX$507)/15</f>
        <v>1.428975877834666</v>
      </c>
      <c r="AZ507" s="285">
        <f t="shared" ref="AZ507:BL507" si="74">AY507+($BM$507-$AX$507)/15</f>
        <v>1.4316809070826002</v>
      </c>
      <c r="BA507" s="285">
        <f t="shared" si="74"/>
        <v>1.4343859363305345</v>
      </c>
      <c r="BB507" s="285">
        <f t="shared" si="74"/>
        <v>1.4370909655784687</v>
      </c>
      <c r="BC507" s="285">
        <f t="shared" si="74"/>
        <v>1.439795994826403</v>
      </c>
      <c r="BD507" s="285">
        <f t="shared" si="74"/>
        <v>1.4425010240743372</v>
      </c>
      <c r="BE507" s="285">
        <f t="shared" si="74"/>
        <v>1.4452060533222715</v>
      </c>
      <c r="BF507" s="285">
        <f t="shared" si="74"/>
        <v>1.4479110825702057</v>
      </c>
      <c r="BG507" s="285">
        <f t="shared" si="74"/>
        <v>1.45061611181814</v>
      </c>
      <c r="BH507" s="285">
        <f t="shared" si="74"/>
        <v>1.4533211410660742</v>
      </c>
      <c r="BI507" s="285">
        <f t="shared" si="74"/>
        <v>1.4560261703140085</v>
      </c>
      <c r="BJ507" s="285">
        <f t="shared" si="74"/>
        <v>1.4587311995619427</v>
      </c>
      <c r="BK507" s="285">
        <f t="shared" si="74"/>
        <v>1.461436228809877</v>
      </c>
      <c r="BL507" s="285">
        <f t="shared" si="74"/>
        <v>1.4641412580578113</v>
      </c>
      <c r="BM507" s="286">
        <f>AX507*$C$740</f>
        <v>1.4668462873057471</v>
      </c>
      <c r="BN507" s="285">
        <f>BM507+($BR$507-$BM$507)/5</f>
        <v>1.4696282709053681</v>
      </c>
      <c r="BO507" s="285">
        <f>BN507+($BR$507-$BM$507)/5</f>
        <v>1.4724102545049891</v>
      </c>
      <c r="BP507" s="285">
        <f>BO507+($BR$507-$BM$507)/5</f>
        <v>1.4751922381046101</v>
      </c>
      <c r="BQ507" s="285">
        <f>BP507+($BR$507-$BM$507)/5</f>
        <v>1.4779742217042311</v>
      </c>
      <c r="BR507" s="286">
        <f>BM507*$D$740</f>
        <v>1.4807562053038525</v>
      </c>
    </row>
    <row r="508" spans="1:70" x14ac:dyDescent="0.25">
      <c r="A508" s="246" t="s">
        <v>433</v>
      </c>
      <c r="B508" s="244"/>
      <c r="C508" s="244"/>
      <c r="D508" s="244"/>
      <c r="E508" s="244"/>
      <c r="F508" s="244"/>
      <c r="G508" s="244"/>
      <c r="H508" s="244"/>
      <c r="I508" s="244"/>
      <c r="J508" s="244"/>
      <c r="K508" s="244"/>
      <c r="L508" s="244"/>
      <c r="M508" s="244"/>
      <c r="N508" s="244"/>
      <c r="O508" s="244"/>
      <c r="P508" s="244"/>
      <c r="Q508" s="244"/>
      <c r="R508" s="244"/>
      <c r="S508" s="244"/>
      <c r="T508" s="244"/>
      <c r="U508" s="244"/>
      <c r="V508" s="244"/>
      <c r="W508" s="244"/>
      <c r="X508" s="244"/>
      <c r="Y508" s="244"/>
    </row>
    <row r="509" spans="1:70" x14ac:dyDescent="0.25">
      <c r="A509" s="246" t="s">
        <v>434</v>
      </c>
      <c r="B509" s="244"/>
      <c r="C509" s="244"/>
      <c r="D509" s="244"/>
      <c r="E509" s="244"/>
      <c r="F509" s="244"/>
      <c r="G509" s="244"/>
      <c r="H509" s="244"/>
      <c r="I509" s="244"/>
      <c r="J509" s="244"/>
      <c r="K509" s="244"/>
      <c r="L509" s="244"/>
      <c r="M509" s="244"/>
      <c r="N509" s="244"/>
      <c r="O509" s="244"/>
      <c r="P509" s="244"/>
      <c r="Q509" s="244"/>
      <c r="R509" s="244"/>
      <c r="S509" s="244"/>
      <c r="T509" s="244"/>
      <c r="U509" s="244"/>
      <c r="V509" s="244"/>
      <c r="W509" s="244"/>
      <c r="X509" s="244"/>
      <c r="Y509" s="244"/>
    </row>
    <row r="510" spans="1:70" x14ac:dyDescent="0.25">
      <c r="A510" s="246"/>
      <c r="B510" s="244"/>
      <c r="C510" s="244"/>
      <c r="D510" s="244"/>
      <c r="E510" s="244"/>
      <c r="F510" s="244"/>
      <c r="G510" s="244"/>
      <c r="H510" s="244"/>
      <c r="I510" s="244"/>
      <c r="J510" s="244"/>
      <c r="K510" s="244"/>
      <c r="L510" s="244"/>
      <c r="M510" s="244"/>
      <c r="N510" s="244"/>
      <c r="O510" s="244"/>
      <c r="P510" s="244"/>
      <c r="Q510" s="244"/>
      <c r="R510" s="244"/>
      <c r="S510" s="244"/>
      <c r="T510" s="244"/>
      <c r="U510" s="244"/>
      <c r="V510" s="244"/>
      <c r="W510" s="244"/>
      <c r="X510" s="244"/>
      <c r="Y510" s="244"/>
    </row>
    <row r="511" spans="1:70" x14ac:dyDescent="0.25">
      <c r="A511" s="243" t="s">
        <v>426</v>
      </c>
      <c r="B511" s="244" t="s">
        <v>435</v>
      </c>
      <c r="C511" s="244" t="s">
        <v>436</v>
      </c>
      <c r="D511" s="244" t="s">
        <v>437</v>
      </c>
      <c r="E511" s="244" t="s">
        <v>438</v>
      </c>
      <c r="F511" s="244" t="s">
        <v>439</v>
      </c>
      <c r="G511" s="244" t="s">
        <v>440</v>
      </c>
      <c r="H511" s="244" t="s">
        <v>441</v>
      </c>
      <c r="I511" s="244" t="s">
        <v>442</v>
      </c>
      <c r="J511" s="244" t="s">
        <v>443</v>
      </c>
      <c r="K511" s="244" t="s">
        <v>444</v>
      </c>
      <c r="L511" s="244" t="s">
        <v>445</v>
      </c>
      <c r="M511" s="244" t="s">
        <v>446</v>
      </c>
      <c r="N511" s="244" t="s">
        <v>447</v>
      </c>
      <c r="O511" s="244" t="s">
        <v>448</v>
      </c>
      <c r="P511" s="244" t="s">
        <v>449</v>
      </c>
      <c r="Q511" s="244" t="s">
        <v>450</v>
      </c>
      <c r="R511" s="244" t="s">
        <v>451</v>
      </c>
      <c r="S511" s="244" t="s">
        <v>452</v>
      </c>
      <c r="T511" s="244" t="s">
        <v>453</v>
      </c>
      <c r="U511" s="244" t="s">
        <v>454</v>
      </c>
      <c r="V511" s="244" t="s">
        <v>455</v>
      </c>
      <c r="W511" s="244" t="s">
        <v>456</v>
      </c>
      <c r="X511" s="244" t="s">
        <v>457</v>
      </c>
      <c r="Y511" s="244" t="s">
        <v>458</v>
      </c>
      <c r="Z511">
        <v>2026</v>
      </c>
    </row>
    <row r="512" spans="1:70" x14ac:dyDescent="0.25">
      <c r="A512" s="243" t="s">
        <v>426</v>
      </c>
      <c r="B512" s="244" t="s">
        <v>426</v>
      </c>
      <c r="C512" s="244" t="s">
        <v>426</v>
      </c>
      <c r="D512" s="244" t="s">
        <v>426</v>
      </c>
      <c r="E512" s="244" t="s">
        <v>426</v>
      </c>
      <c r="F512" s="244" t="s">
        <v>426</v>
      </c>
      <c r="G512" s="244" t="s">
        <v>426</v>
      </c>
      <c r="H512" s="244" t="s">
        <v>426</v>
      </c>
      <c r="I512" s="244" t="s">
        <v>426</v>
      </c>
      <c r="J512" s="244" t="s">
        <v>426</v>
      </c>
      <c r="K512" s="244" t="s">
        <v>426</v>
      </c>
      <c r="L512" s="244" t="s">
        <v>426</v>
      </c>
      <c r="M512" s="244" t="s">
        <v>426</v>
      </c>
      <c r="N512" s="244" t="s">
        <v>426</v>
      </c>
      <c r="O512" s="244" t="s">
        <v>426</v>
      </c>
      <c r="P512" s="244" t="s">
        <v>426</v>
      </c>
      <c r="Q512" s="244" t="s">
        <v>426</v>
      </c>
      <c r="R512" s="244" t="s">
        <v>426</v>
      </c>
      <c r="S512" s="244" t="s">
        <v>426</v>
      </c>
      <c r="T512" s="244" t="s">
        <v>426</v>
      </c>
      <c r="U512" s="244" t="s">
        <v>426</v>
      </c>
      <c r="V512" s="244" t="s">
        <v>426</v>
      </c>
      <c r="W512" s="244" t="s">
        <v>426</v>
      </c>
      <c r="X512" s="244" t="s">
        <v>426</v>
      </c>
      <c r="Y512" s="244" t="s">
        <v>426</v>
      </c>
    </row>
    <row r="513" spans="1:26" x14ac:dyDescent="0.25">
      <c r="A513" s="243" t="s">
        <v>426</v>
      </c>
      <c r="B513" s="244" t="s">
        <v>426</v>
      </c>
      <c r="C513" s="244" t="s">
        <v>426</v>
      </c>
      <c r="D513" s="244" t="s">
        <v>426</v>
      </c>
      <c r="E513" s="244" t="s">
        <v>426</v>
      </c>
      <c r="F513" s="244" t="s">
        <v>426</v>
      </c>
      <c r="G513" s="244" t="s">
        <v>426</v>
      </c>
      <c r="H513" s="244" t="s">
        <v>426</v>
      </c>
      <c r="I513" s="244" t="s">
        <v>426</v>
      </c>
      <c r="J513" s="244" t="s">
        <v>426</v>
      </c>
      <c r="K513" s="244" t="s">
        <v>426</v>
      </c>
      <c r="L513" s="244" t="s">
        <v>426</v>
      </c>
      <c r="M513" s="244" t="s">
        <v>426</v>
      </c>
      <c r="N513" s="244" t="s">
        <v>426</v>
      </c>
      <c r="O513" s="244" t="s">
        <v>426</v>
      </c>
      <c r="P513" s="244" t="s">
        <v>426</v>
      </c>
      <c r="Q513" s="244" t="s">
        <v>426</v>
      </c>
      <c r="R513" s="244" t="s">
        <v>426</v>
      </c>
      <c r="S513" s="244" t="s">
        <v>426</v>
      </c>
      <c r="T513" s="244" t="s">
        <v>426</v>
      </c>
      <c r="U513" s="244" t="s">
        <v>426</v>
      </c>
      <c r="V513" s="244" t="s">
        <v>426</v>
      </c>
      <c r="W513" s="244" t="s">
        <v>426</v>
      </c>
      <c r="X513" s="244" t="s">
        <v>426</v>
      </c>
      <c r="Y513" s="244" t="s">
        <v>426</v>
      </c>
    </row>
    <row r="514" spans="1:26" x14ac:dyDescent="0.25">
      <c r="A514" s="243" t="s">
        <v>459</v>
      </c>
      <c r="B514" s="247">
        <v>15.0220499038696</v>
      </c>
      <c r="C514" s="247">
        <v>15.811363220214799</v>
      </c>
      <c r="D514" s="247">
        <v>16.4251308441162</v>
      </c>
      <c r="E514" s="247">
        <v>16.464759826660199</v>
      </c>
      <c r="F514" s="247">
        <v>15.680528640747101</v>
      </c>
      <c r="G514" s="247">
        <v>15.0112085342407</v>
      </c>
      <c r="H514" s="247">
        <v>14.5817928314209</v>
      </c>
      <c r="I514" s="247">
        <v>14.458288192749</v>
      </c>
      <c r="J514" s="247">
        <v>14.326377868652299</v>
      </c>
      <c r="K514" s="247">
        <v>14.293612480163601</v>
      </c>
      <c r="L514" s="247">
        <v>14.4205980300903</v>
      </c>
      <c r="M514" s="247">
        <v>14.6031141281128</v>
      </c>
      <c r="N514" s="247">
        <v>14.8352861404419</v>
      </c>
      <c r="O514" s="247">
        <v>14.979790687561</v>
      </c>
      <c r="P514" s="247">
        <v>15.0010738372803</v>
      </c>
      <c r="Q514" s="247">
        <v>15.073490142822299</v>
      </c>
      <c r="R514" s="247">
        <v>15.2468109130859</v>
      </c>
      <c r="S514" s="247">
        <v>15.482013702392599</v>
      </c>
      <c r="T514" s="247">
        <v>15.6422672271729</v>
      </c>
      <c r="U514" s="247">
        <v>15.809124946594199</v>
      </c>
      <c r="V514" s="247">
        <v>15.869408607482899</v>
      </c>
      <c r="W514" s="247">
        <v>15.910493850708001</v>
      </c>
      <c r="X514" s="247">
        <v>16.000511169433601</v>
      </c>
      <c r="Y514" s="247">
        <v>16.127393722534201</v>
      </c>
    </row>
    <row r="515" spans="1:26" x14ac:dyDescent="0.25">
      <c r="A515" s="243" t="s">
        <v>460</v>
      </c>
      <c r="B515" s="247">
        <v>8.3285751342773402</v>
      </c>
      <c r="C515" s="247">
        <v>9.67810153961182</v>
      </c>
      <c r="D515" s="247">
        <v>10.6516561508179</v>
      </c>
      <c r="E515" s="247">
        <v>10.5737972259521</v>
      </c>
      <c r="F515" s="247">
        <v>9.7301187515258807</v>
      </c>
      <c r="G515" s="247">
        <v>9.2126417160034197</v>
      </c>
      <c r="H515" s="247">
        <v>8.7946681976318395</v>
      </c>
      <c r="I515" s="247">
        <v>8.5506849288940394</v>
      </c>
      <c r="J515" s="247">
        <v>8.3542766571044904</v>
      </c>
      <c r="K515" s="247">
        <v>8.2684001922607404</v>
      </c>
      <c r="L515" s="247">
        <v>8.3419942855834996</v>
      </c>
      <c r="M515" s="247">
        <v>8.4596767425537092</v>
      </c>
      <c r="N515" s="247">
        <v>8.6078786849975604</v>
      </c>
      <c r="O515" s="247">
        <v>8.7398357391357404</v>
      </c>
      <c r="P515" s="247">
        <v>8.7483062744140607</v>
      </c>
      <c r="Q515" s="247">
        <v>8.7686567306518608</v>
      </c>
      <c r="R515" s="247">
        <v>8.8867673873901403</v>
      </c>
      <c r="S515" s="247">
        <v>9.0631914138793892</v>
      </c>
      <c r="T515" s="247">
        <v>9.2055320739746094</v>
      </c>
      <c r="U515" s="247">
        <v>9.3421277999877894</v>
      </c>
      <c r="V515" s="247">
        <v>9.4150266647338903</v>
      </c>
      <c r="W515" s="247">
        <v>9.4582109451293892</v>
      </c>
      <c r="X515" s="247">
        <v>9.5390539169311506</v>
      </c>
      <c r="Y515" s="247">
        <v>9.6245632171630895</v>
      </c>
    </row>
    <row r="516" spans="1:26" x14ac:dyDescent="0.25">
      <c r="A516" s="243" t="s">
        <v>461</v>
      </c>
      <c r="B516" s="247">
        <v>10.0436496734619</v>
      </c>
      <c r="C516" s="247">
        <v>11.266843795776399</v>
      </c>
      <c r="D516" s="247">
        <v>13.0600261688232</v>
      </c>
      <c r="E516" s="247">
        <v>12.5262813568115</v>
      </c>
      <c r="F516" s="247">
        <v>11.260459899902299</v>
      </c>
      <c r="G516" s="247">
        <v>10.814398765564</v>
      </c>
      <c r="H516" s="247">
        <v>10.6458578109741</v>
      </c>
      <c r="I516" s="247">
        <v>10.453662872314499</v>
      </c>
      <c r="J516" s="247">
        <v>10.443992614746101</v>
      </c>
      <c r="K516" s="247">
        <v>10.420529365539601</v>
      </c>
      <c r="L516" s="247">
        <v>10.4911556243896</v>
      </c>
      <c r="M516" s="247">
        <v>10.5971431732178</v>
      </c>
      <c r="N516" s="247">
        <v>10.650529861450201</v>
      </c>
      <c r="O516" s="247">
        <v>10.7566242218018</v>
      </c>
      <c r="P516" s="247">
        <v>10.8697347640991</v>
      </c>
      <c r="Q516" s="247">
        <v>10.955939292907701</v>
      </c>
      <c r="R516" s="247">
        <v>11.0780487060547</v>
      </c>
      <c r="S516" s="247">
        <v>11.222780227661101</v>
      </c>
      <c r="T516" s="247">
        <v>11.364427566528301</v>
      </c>
      <c r="U516" s="247">
        <v>11.5109758377075</v>
      </c>
      <c r="V516" s="247">
        <v>11.6184797286987</v>
      </c>
      <c r="W516" s="247">
        <v>11.7467203140259</v>
      </c>
      <c r="X516" s="247">
        <v>11.8437652587891</v>
      </c>
      <c r="Y516" s="247">
        <v>11.9311771392822</v>
      </c>
    </row>
    <row r="517" spans="1:26" x14ac:dyDescent="0.25">
      <c r="A517" s="243" t="s">
        <v>462</v>
      </c>
      <c r="B517" s="247">
        <v>8.3698368072509801</v>
      </c>
      <c r="C517" s="247">
        <v>9.5702075958252006</v>
      </c>
      <c r="D517" s="247">
        <v>10.537187576293899</v>
      </c>
      <c r="E517" s="247">
        <v>10.120927810668899</v>
      </c>
      <c r="F517" s="247">
        <v>9.0704116821289098</v>
      </c>
      <c r="G517" s="247">
        <v>8.6811342239379901</v>
      </c>
      <c r="H517" s="247">
        <v>8.4951152801513707</v>
      </c>
      <c r="I517" s="247">
        <v>8.3145399093627894</v>
      </c>
      <c r="J517" s="247">
        <v>8.2864685058593803</v>
      </c>
      <c r="K517" s="247">
        <v>8.2537784576415998</v>
      </c>
      <c r="L517" s="247">
        <v>8.2966070175170898</v>
      </c>
      <c r="M517" s="247">
        <v>8.3739995956420898</v>
      </c>
      <c r="N517" s="247">
        <v>8.4385089874267596</v>
      </c>
      <c r="O517" s="247">
        <v>8.4884243011474592</v>
      </c>
      <c r="P517" s="247">
        <v>8.5346355438232404</v>
      </c>
      <c r="Q517" s="247">
        <v>8.5863618850708008</v>
      </c>
      <c r="R517" s="247">
        <v>8.7058753967285192</v>
      </c>
      <c r="S517" s="247">
        <v>8.7835302352905291</v>
      </c>
      <c r="T517" s="247">
        <v>8.8462095260620099</v>
      </c>
      <c r="U517" s="247">
        <v>8.9105930328369105</v>
      </c>
      <c r="V517" s="247">
        <v>8.9716310501098597</v>
      </c>
      <c r="W517" s="247">
        <v>9.0270709991455096</v>
      </c>
      <c r="X517" s="247">
        <v>9.0740833282470703</v>
      </c>
      <c r="Y517" s="247">
        <v>9.1169166564941406</v>
      </c>
    </row>
    <row r="518" spans="1:26" x14ac:dyDescent="0.25">
      <c r="A518" s="243" t="s">
        <v>463</v>
      </c>
      <c r="B518" s="247">
        <v>12.976583480835</v>
      </c>
      <c r="C518" s="247">
        <v>14.582922935485801</v>
      </c>
      <c r="D518" s="247">
        <v>17.5701904296875</v>
      </c>
      <c r="E518" s="247">
        <v>17.073207855224599</v>
      </c>
      <c r="F518" s="247">
        <v>15.3619232177734</v>
      </c>
      <c r="G518" s="247">
        <v>14.740796089172401</v>
      </c>
      <c r="H518" s="247">
        <v>14.555371284484901</v>
      </c>
      <c r="I518" s="247">
        <v>14.281338691711399</v>
      </c>
      <c r="J518" s="247">
        <v>14.253823280334499</v>
      </c>
      <c r="K518" s="247">
        <v>14.190848350524901</v>
      </c>
      <c r="L518" s="247">
        <v>14.252662658691399</v>
      </c>
      <c r="M518" s="247">
        <v>14.348473548889199</v>
      </c>
      <c r="N518" s="247">
        <v>14.316626548767101</v>
      </c>
      <c r="O518" s="247">
        <v>14.447472572326699</v>
      </c>
      <c r="P518" s="247">
        <v>14.6025552749634</v>
      </c>
      <c r="Q518" s="247">
        <v>14.6705665588379</v>
      </c>
      <c r="R518" s="247">
        <v>14.712552070617701</v>
      </c>
      <c r="S518" s="247">
        <v>14.8757133483887</v>
      </c>
      <c r="T518" s="247">
        <v>15.056845664978001</v>
      </c>
      <c r="U518" s="247">
        <v>15.2477731704712</v>
      </c>
      <c r="V518" s="247">
        <v>15.3445425033569</v>
      </c>
      <c r="W518" s="247">
        <v>15.4947566986084</v>
      </c>
      <c r="X518" s="247">
        <v>15.580441474914601</v>
      </c>
      <c r="Y518" s="247">
        <v>15.645468711853001</v>
      </c>
    </row>
    <row r="519" spans="1:26" x14ac:dyDescent="0.25">
      <c r="A519" s="243" t="s">
        <v>464</v>
      </c>
      <c r="B519" s="247">
        <v>7.8179483413696298</v>
      </c>
      <c r="C519" s="247">
        <v>9.2187824249267596</v>
      </c>
      <c r="D519" s="247">
        <v>9.9373922348022496</v>
      </c>
      <c r="E519" s="247">
        <v>10.0359506607056</v>
      </c>
      <c r="F519" s="247">
        <v>9.3121318817138707</v>
      </c>
      <c r="G519" s="247">
        <v>8.7750911712646502</v>
      </c>
      <c r="H519" s="247">
        <v>8.2899227142334002</v>
      </c>
      <c r="I519" s="247">
        <v>8.0357856750488299</v>
      </c>
      <c r="J519" s="247">
        <v>7.7935147285461399</v>
      </c>
      <c r="K519" s="247">
        <v>7.6957306861877397</v>
      </c>
      <c r="L519" s="247">
        <v>7.7737927436828604</v>
      </c>
      <c r="M519" s="247">
        <v>7.89709520339966</v>
      </c>
      <c r="N519" s="247">
        <v>8.0722961425781303</v>
      </c>
      <c r="O519" s="247">
        <v>8.21258449554443</v>
      </c>
      <c r="P519" s="247">
        <v>8.1957035064697301</v>
      </c>
      <c r="Q519" s="247">
        <v>8.2030982971191406</v>
      </c>
      <c r="R519" s="247">
        <v>8.3247480392456108</v>
      </c>
      <c r="S519" s="247">
        <v>8.5131444931030291</v>
      </c>
      <c r="T519" s="247">
        <v>8.6595201492309606</v>
      </c>
      <c r="U519" s="247">
        <v>8.7975921630859393</v>
      </c>
      <c r="V519" s="247">
        <v>8.8660669326782209</v>
      </c>
      <c r="W519" s="247">
        <v>8.8930187225341797</v>
      </c>
      <c r="X519" s="247">
        <v>8.9751634597778303</v>
      </c>
      <c r="Y519" s="247">
        <v>9.0651559829711896</v>
      </c>
    </row>
    <row r="520" spans="1:26" x14ac:dyDescent="0.25">
      <c r="A520" s="243" t="s">
        <v>465</v>
      </c>
      <c r="B520" s="247">
        <v>25.222642898559599</v>
      </c>
      <c r="C520" s="247">
        <v>25.415189743041999</v>
      </c>
      <c r="D520" s="247">
        <v>25.1893119812012</v>
      </c>
      <c r="E520" s="247">
        <v>25.147850036621101</v>
      </c>
      <c r="F520" s="247">
        <v>24.3894958496094</v>
      </c>
      <c r="G520" s="247">
        <v>23.460399627685501</v>
      </c>
      <c r="H520" s="247">
        <v>22.990982055664102</v>
      </c>
      <c r="I520" s="247">
        <v>23.018142700195298</v>
      </c>
      <c r="J520" s="247">
        <v>22.960025787353501</v>
      </c>
      <c r="K520" s="247">
        <v>22.974227905273398</v>
      </c>
      <c r="L520" s="247">
        <v>23.1215305328369</v>
      </c>
      <c r="M520" s="247">
        <v>23.312740325927699</v>
      </c>
      <c r="N520" s="247">
        <v>23.5714206695557</v>
      </c>
      <c r="O520" s="247">
        <v>23.632020950317401</v>
      </c>
      <c r="P520" s="247">
        <v>23.589054107666001</v>
      </c>
      <c r="Q520" s="247">
        <v>23.650138854980501</v>
      </c>
      <c r="R520" s="247">
        <v>23.8146667480469</v>
      </c>
      <c r="S520" s="247">
        <v>24.0346794128418</v>
      </c>
      <c r="T520" s="247">
        <v>24.122148513793899</v>
      </c>
      <c r="U520" s="247">
        <v>24.230636596679702</v>
      </c>
      <c r="V520" s="247">
        <v>24.181154251098601</v>
      </c>
      <c r="W520" s="247">
        <v>24.130558013916001</v>
      </c>
      <c r="X520" s="247">
        <v>24.148235321044901</v>
      </c>
      <c r="Y520" s="247">
        <v>24.238166809081999</v>
      </c>
    </row>
    <row r="521" spans="1:26" x14ac:dyDescent="0.25">
      <c r="A521" s="243" t="s">
        <v>426</v>
      </c>
      <c r="B521" s="247" t="s">
        <v>426</v>
      </c>
      <c r="C521" s="247" t="s">
        <v>426</v>
      </c>
      <c r="D521" s="247" t="s">
        <v>426</v>
      </c>
      <c r="E521" s="247" t="s">
        <v>426</v>
      </c>
      <c r="F521" s="247" t="s">
        <v>426</v>
      </c>
      <c r="G521" s="247" t="s">
        <v>426</v>
      </c>
      <c r="H521" s="247" t="s">
        <v>426</v>
      </c>
      <c r="I521" s="247" t="s">
        <v>426</v>
      </c>
      <c r="J521" s="247" t="s">
        <v>426</v>
      </c>
      <c r="K521" s="247" t="s">
        <v>426</v>
      </c>
      <c r="L521" s="247" t="s">
        <v>426</v>
      </c>
      <c r="M521" s="247" t="s">
        <v>426</v>
      </c>
      <c r="N521" s="247" t="s">
        <v>426</v>
      </c>
      <c r="O521" s="247" t="s">
        <v>426</v>
      </c>
      <c r="P521" s="247" t="s">
        <v>426</v>
      </c>
      <c r="Q521" s="247" t="s">
        <v>426</v>
      </c>
      <c r="R521" s="247" t="s">
        <v>426</v>
      </c>
      <c r="S521" s="247" t="s">
        <v>426</v>
      </c>
      <c r="T521" s="247" t="s">
        <v>426</v>
      </c>
      <c r="U521" s="247" t="s">
        <v>426</v>
      </c>
      <c r="V521" s="247" t="s">
        <v>426</v>
      </c>
      <c r="W521" s="247" t="s">
        <v>426</v>
      </c>
      <c r="X521" s="247" t="s">
        <v>426</v>
      </c>
      <c r="Y521" s="247" t="s">
        <v>426</v>
      </c>
    </row>
    <row r="522" spans="1:26" x14ac:dyDescent="0.25">
      <c r="A522" s="243" t="s">
        <v>466</v>
      </c>
      <c r="B522" s="247">
        <v>15.064169883728001</v>
      </c>
      <c r="C522" s="247">
        <v>15.629265785217299</v>
      </c>
      <c r="D522" s="247">
        <v>15.835299491882299</v>
      </c>
      <c r="E522" s="247">
        <v>15.918291091918899</v>
      </c>
      <c r="F522" s="247">
        <v>15.0829524993896</v>
      </c>
      <c r="G522" s="247">
        <v>14.3196773529053</v>
      </c>
      <c r="H522" s="247">
        <v>13.910519599914601</v>
      </c>
      <c r="I522" s="247">
        <v>13.8424997329712</v>
      </c>
      <c r="J522" s="247">
        <v>13.762632369995099</v>
      </c>
      <c r="K522" s="247">
        <v>13.8186712265015</v>
      </c>
      <c r="L522" s="247">
        <v>14.058515548706101</v>
      </c>
      <c r="M522" s="247">
        <v>14.316973686218301</v>
      </c>
      <c r="N522" s="247">
        <v>14.661353111267101</v>
      </c>
      <c r="O522" s="247">
        <v>14.869439125061</v>
      </c>
      <c r="P522" s="247">
        <v>14.9301090240479</v>
      </c>
      <c r="Q522" s="247">
        <v>15.044508934021</v>
      </c>
      <c r="R522" s="247">
        <v>15.2485342025757</v>
      </c>
      <c r="S522" s="247">
        <v>15.517853736877401</v>
      </c>
      <c r="T522" s="247">
        <v>15.7009220123291</v>
      </c>
      <c r="U522" s="247">
        <v>15.889198303222701</v>
      </c>
      <c r="V522" s="247">
        <v>15.933961868286101</v>
      </c>
      <c r="W522" s="247">
        <v>15.975202560424799</v>
      </c>
      <c r="X522" s="247">
        <v>16.0630493164063</v>
      </c>
      <c r="Y522" s="247">
        <v>16.195989608764599</v>
      </c>
    </row>
    <row r="523" spans="1:26" x14ac:dyDescent="0.25">
      <c r="A523" s="243" t="s">
        <v>460</v>
      </c>
      <c r="B523" s="247">
        <v>6.5697088241577104</v>
      </c>
      <c r="C523" s="247">
        <v>7.9157042503356898</v>
      </c>
      <c r="D523" s="247">
        <v>8.3734645843505895</v>
      </c>
      <c r="E523" s="247">
        <v>8.3683490753173793</v>
      </c>
      <c r="F523" s="247">
        <v>7.7444124221801802</v>
      </c>
      <c r="G523" s="247">
        <v>7.3380589485168501</v>
      </c>
      <c r="H523" s="247">
        <v>7.0368156433105504</v>
      </c>
      <c r="I523" s="247">
        <v>6.9020848274231001</v>
      </c>
      <c r="J523" s="247">
        <v>6.8100509643554696</v>
      </c>
      <c r="K523" s="247">
        <v>6.84179735183716</v>
      </c>
      <c r="L523" s="247">
        <v>6.8974781036376998</v>
      </c>
      <c r="M523" s="247">
        <v>6.9808845520019496</v>
      </c>
      <c r="N523" s="247">
        <v>7.1057710647582999</v>
      </c>
      <c r="O523" s="247">
        <v>7.20139837265015</v>
      </c>
      <c r="P523" s="247">
        <v>7.18692874908447</v>
      </c>
      <c r="Q523" s="247">
        <v>7.1932849884033203</v>
      </c>
      <c r="R523" s="247">
        <v>7.2944316864013699</v>
      </c>
      <c r="S523" s="247">
        <v>7.4377117156982404</v>
      </c>
      <c r="T523" s="247">
        <v>7.5399260520935103</v>
      </c>
      <c r="U523" s="247">
        <v>7.6392593383789098</v>
      </c>
      <c r="V523" s="247">
        <v>7.6873850822448704</v>
      </c>
      <c r="W523" s="247">
        <v>7.6958703994751003</v>
      </c>
      <c r="X523" s="247">
        <v>7.7559337615966797</v>
      </c>
      <c r="Y523" s="247">
        <v>7.8220491409301802</v>
      </c>
    </row>
    <row r="524" spans="1:26" x14ac:dyDescent="0.25">
      <c r="A524" s="243" t="s">
        <v>461</v>
      </c>
      <c r="B524" s="247">
        <v>6.9482707977294904</v>
      </c>
      <c r="C524" s="247">
        <v>8.0266513824462908</v>
      </c>
      <c r="D524" s="247">
        <v>8.9197750091552699</v>
      </c>
      <c r="E524" s="247">
        <v>8.6532449722290004</v>
      </c>
      <c r="F524" s="247">
        <v>7.9109911918640101</v>
      </c>
      <c r="G524" s="247">
        <v>7.48618364334106</v>
      </c>
      <c r="H524" s="247">
        <v>7.32971286773682</v>
      </c>
      <c r="I524" s="247">
        <v>7.1282916069030797</v>
      </c>
      <c r="J524" s="247">
        <v>7.1344366073608398</v>
      </c>
      <c r="K524" s="247">
        <v>7.2035880088806197</v>
      </c>
      <c r="L524" s="247">
        <v>7.21549415588379</v>
      </c>
      <c r="M524" s="247">
        <v>7.2433881759643599</v>
      </c>
      <c r="N524" s="247">
        <v>7.2548027038574201</v>
      </c>
      <c r="O524" s="247">
        <v>7.2826437950134304</v>
      </c>
      <c r="P524" s="247">
        <v>7.3254833221435502</v>
      </c>
      <c r="Q524" s="247">
        <v>7.3667011260986301</v>
      </c>
      <c r="R524" s="247">
        <v>7.4382300376892099</v>
      </c>
      <c r="S524" s="247">
        <v>7.5099358558654803</v>
      </c>
      <c r="T524" s="247">
        <v>7.5474686622619602</v>
      </c>
      <c r="U524" s="247">
        <v>7.6315479278564498</v>
      </c>
      <c r="V524" s="247">
        <v>7.69354152679443</v>
      </c>
      <c r="W524" s="247">
        <v>7.7161302566528303</v>
      </c>
      <c r="X524" s="247">
        <v>7.7569241523742702</v>
      </c>
      <c r="Y524" s="247">
        <v>7.8363184928893999</v>
      </c>
    </row>
    <row r="525" spans="1:26" x14ac:dyDescent="0.25">
      <c r="A525" s="243" t="s">
        <v>462</v>
      </c>
      <c r="B525" s="247">
        <v>6.1493649482727104</v>
      </c>
      <c r="C525" s="247">
        <v>7.03082323074341</v>
      </c>
      <c r="D525" s="247">
        <v>7.7272844314575204</v>
      </c>
      <c r="E525" s="247">
        <v>7.4210705757141104</v>
      </c>
      <c r="F525" s="247">
        <v>6.8826036453247097</v>
      </c>
      <c r="G525" s="247">
        <v>6.5409913063049299</v>
      </c>
      <c r="H525" s="247">
        <v>6.4167842864990199</v>
      </c>
      <c r="I525" s="247">
        <v>6.2535924911498997</v>
      </c>
      <c r="J525" s="247">
        <v>6.2965154647827104</v>
      </c>
      <c r="K525" s="247">
        <v>6.4007697105407697</v>
      </c>
      <c r="L525" s="247">
        <v>6.4218788146972701</v>
      </c>
      <c r="M525" s="247">
        <v>6.4483299255371103</v>
      </c>
      <c r="N525" s="247">
        <v>6.4679012298584002</v>
      </c>
      <c r="O525" s="247">
        <v>6.4912290573120099</v>
      </c>
      <c r="P525" s="247">
        <v>6.52826023101807</v>
      </c>
      <c r="Q525" s="247">
        <v>6.5738272666931197</v>
      </c>
      <c r="R525" s="247">
        <v>6.6604804992675799</v>
      </c>
      <c r="S525" s="247">
        <v>6.7330570220947301</v>
      </c>
      <c r="T525" s="247">
        <v>6.75683689117432</v>
      </c>
      <c r="U525" s="247">
        <v>6.8434348106384304</v>
      </c>
      <c r="V525" s="247">
        <v>6.9099073410034197</v>
      </c>
      <c r="W525" s="247">
        <v>6.9186587333679199</v>
      </c>
      <c r="X525" s="247">
        <v>6.9633812904357901</v>
      </c>
      <c r="Y525" s="247">
        <v>7.0585165023803702</v>
      </c>
    </row>
    <row r="526" spans="1:26" x14ac:dyDescent="0.25">
      <c r="A526" s="243" t="s">
        <v>467</v>
      </c>
      <c r="B526" s="247">
        <v>4.2683343887329102</v>
      </c>
      <c r="C526" s="247">
        <v>4.9646224975585902</v>
      </c>
      <c r="D526" s="247">
        <v>5.0606441497802699</v>
      </c>
      <c r="E526" s="247">
        <v>5.3499689102172896</v>
      </c>
      <c r="F526" s="247">
        <v>5.0606269836425799</v>
      </c>
      <c r="G526" s="247">
        <v>4.6454811096191397</v>
      </c>
      <c r="H526" s="247">
        <v>4.44089698791504</v>
      </c>
      <c r="I526" s="247">
        <v>4.3064308166503897</v>
      </c>
      <c r="J526" s="247">
        <v>4.2577414512634304</v>
      </c>
      <c r="K526" s="247">
        <v>4.3118896484375</v>
      </c>
      <c r="L526" s="247">
        <v>4.3638815879821804</v>
      </c>
      <c r="M526" s="247">
        <v>4.4166550636291504</v>
      </c>
      <c r="N526" s="247">
        <v>4.4711151123046902</v>
      </c>
      <c r="O526" s="247">
        <v>4.5238728523254403</v>
      </c>
      <c r="P526" s="247">
        <v>4.5756058692932102</v>
      </c>
      <c r="Q526" s="247">
        <v>4.6275658607482901</v>
      </c>
      <c r="R526" s="247">
        <v>4.6890521049499503</v>
      </c>
      <c r="S526" s="247">
        <v>4.7516570091247603</v>
      </c>
      <c r="T526" s="247">
        <v>4.8052668571472203</v>
      </c>
      <c r="U526" s="247">
        <v>4.8599562644958496</v>
      </c>
      <c r="V526" s="247">
        <v>4.9139251708984402</v>
      </c>
      <c r="W526" s="247">
        <v>4.9674754142761204</v>
      </c>
      <c r="X526" s="247">
        <v>5.0218071937561</v>
      </c>
      <c r="Y526" s="247">
        <v>5.0773591995239302</v>
      </c>
    </row>
    <row r="527" spans="1:26" x14ac:dyDescent="0.25">
      <c r="A527" s="268" t="s">
        <v>464</v>
      </c>
      <c r="B527" s="247">
        <v>6.6170339584350604</v>
      </c>
      <c r="C527" s="247">
        <v>8.0769119262695295</v>
      </c>
      <c r="D527" s="247">
        <v>8.4474086761474592</v>
      </c>
      <c r="E527" s="247">
        <v>8.5042705535888707</v>
      </c>
      <c r="F527" s="247">
        <v>7.8856530189514196</v>
      </c>
      <c r="G527" s="247">
        <v>7.4673976898193404</v>
      </c>
      <c r="H527" s="247">
        <v>7.1177520751953098</v>
      </c>
      <c r="I527" s="247">
        <v>6.9923906326293901</v>
      </c>
      <c r="J527" s="247">
        <v>6.8716683387756303</v>
      </c>
      <c r="K527" s="247">
        <v>6.8934268951415998</v>
      </c>
      <c r="L527" s="247">
        <v>6.9598770141601598</v>
      </c>
      <c r="M527" s="247">
        <v>7.0576272010803196</v>
      </c>
      <c r="N527" s="247">
        <v>7.21203565597534</v>
      </c>
      <c r="O527" s="247">
        <v>7.32529544830322</v>
      </c>
      <c r="P527" s="247">
        <v>7.2944836616516104</v>
      </c>
      <c r="Q527" s="247">
        <v>7.2903637886047399</v>
      </c>
      <c r="R527" s="247">
        <v>7.3995337486267099</v>
      </c>
      <c r="S527" s="247">
        <v>7.56237888336182</v>
      </c>
      <c r="T527" s="247">
        <v>7.6814393997192401</v>
      </c>
      <c r="U527" s="247">
        <v>7.78521823883057</v>
      </c>
      <c r="V527" s="247">
        <v>7.8287162780761701</v>
      </c>
      <c r="W527" s="247">
        <v>7.8313083648681596</v>
      </c>
      <c r="X527" s="247">
        <v>7.8953433036804199</v>
      </c>
      <c r="Y527" s="247">
        <v>7.9576945304870597</v>
      </c>
      <c r="Z527" s="277">
        <f>Y527+($AI$357-$Y$527)/10</f>
        <v>8.0099991534203383</v>
      </c>
    </row>
    <row r="528" spans="1:26" x14ac:dyDescent="0.25">
      <c r="A528" s="270" t="s">
        <v>465</v>
      </c>
      <c r="B528" s="247">
        <v>23.353584289550799</v>
      </c>
      <c r="C528" s="247">
        <v>23.2374382019043</v>
      </c>
      <c r="D528" s="247">
        <v>23.0415229797363</v>
      </c>
      <c r="E528" s="247">
        <v>22.938554763793899</v>
      </c>
      <c r="F528" s="247">
        <v>21.8424968719482</v>
      </c>
      <c r="G528" s="247">
        <v>20.6924953460693</v>
      </c>
      <c r="H528" s="247">
        <v>20.1292018890381</v>
      </c>
      <c r="I528" s="247">
        <v>20.063879013061499</v>
      </c>
      <c r="J528" s="247">
        <v>19.9343872070313</v>
      </c>
      <c r="K528" s="247">
        <v>19.938108444213899</v>
      </c>
      <c r="L528" s="247">
        <v>20.262083053588899</v>
      </c>
      <c r="M528" s="247">
        <v>20.589830398559599</v>
      </c>
      <c r="N528" s="247">
        <v>21.038742065429702</v>
      </c>
      <c r="O528" s="247">
        <v>21.2544975280762</v>
      </c>
      <c r="P528" s="247">
        <v>21.300868988037099</v>
      </c>
      <c r="Q528" s="247">
        <v>21.4323215484619</v>
      </c>
      <c r="R528" s="247">
        <v>21.647081375122099</v>
      </c>
      <c r="S528" s="247">
        <v>21.937980651855501</v>
      </c>
      <c r="T528" s="247">
        <v>22.104045867919901</v>
      </c>
      <c r="U528" s="247">
        <v>22.281753540039102</v>
      </c>
      <c r="V528" s="247">
        <v>22.24875831604</v>
      </c>
      <c r="W528" s="247">
        <v>22.2471523284912</v>
      </c>
      <c r="X528" s="247">
        <v>22.287950515747099</v>
      </c>
      <c r="Y528" s="247">
        <v>22.4030246734619</v>
      </c>
      <c r="Z528" s="279">
        <f>Y528+($AI$358-$Y$528)/10</f>
        <v>22.313820934181763</v>
      </c>
    </row>
    <row r="529" spans="1:71" x14ac:dyDescent="0.25">
      <c r="A529" s="243" t="s">
        <v>426</v>
      </c>
      <c r="B529" s="247" t="s">
        <v>426</v>
      </c>
      <c r="C529" s="247" t="s">
        <v>426</v>
      </c>
      <c r="D529" s="247" t="s">
        <v>426</v>
      </c>
      <c r="E529" s="247" t="s">
        <v>426</v>
      </c>
      <c r="F529" s="247" t="s">
        <v>426</v>
      </c>
      <c r="G529" s="247" t="s">
        <v>426</v>
      </c>
      <c r="H529" s="247" t="s">
        <v>426</v>
      </c>
      <c r="I529" s="247" t="s">
        <v>426</v>
      </c>
      <c r="J529" s="247" t="s">
        <v>426</v>
      </c>
      <c r="K529" s="247" t="s">
        <v>426</v>
      </c>
      <c r="L529" s="247" t="s">
        <v>426</v>
      </c>
      <c r="M529" s="247" t="s">
        <v>426</v>
      </c>
      <c r="N529" s="247" t="s">
        <v>426</v>
      </c>
      <c r="O529" s="247" t="s">
        <v>426</v>
      </c>
      <c r="P529" s="247" t="s">
        <v>426</v>
      </c>
      <c r="Q529" s="247" t="s">
        <v>426</v>
      </c>
      <c r="R529" s="247" t="s">
        <v>426</v>
      </c>
      <c r="S529" s="247" t="s">
        <v>426</v>
      </c>
      <c r="T529" s="247" t="s">
        <v>426</v>
      </c>
      <c r="U529" s="247" t="s">
        <v>426</v>
      </c>
      <c r="V529" s="247" t="s">
        <v>426</v>
      </c>
      <c r="W529" s="247" t="s">
        <v>426</v>
      </c>
      <c r="X529" s="247" t="s">
        <v>426</v>
      </c>
      <c r="Y529" s="247" t="s">
        <v>426</v>
      </c>
    </row>
    <row r="530" spans="1:71" ht="13.8" thickBot="1" x14ac:dyDescent="0.3">
      <c r="A530" s="243" t="s">
        <v>468</v>
      </c>
      <c r="B530" s="247">
        <v>6.3922061920165998</v>
      </c>
      <c r="C530" s="247">
        <v>7.7839651107788104</v>
      </c>
      <c r="D530" s="247">
        <v>8.7301359176635707</v>
      </c>
      <c r="E530" s="247">
        <v>8.5276689529418892</v>
      </c>
      <c r="F530" s="247">
        <v>7.7321057319641104</v>
      </c>
      <c r="G530" s="247">
        <v>7.2916359901428196</v>
      </c>
      <c r="H530" s="247">
        <v>7.0938224792480504</v>
      </c>
      <c r="I530" s="247">
        <v>6.9649901390075701</v>
      </c>
      <c r="J530" s="247">
        <v>6.8520793914794904</v>
      </c>
      <c r="K530" s="247">
        <v>6.8315567970275897</v>
      </c>
      <c r="L530" s="247">
        <v>6.8953166007995597</v>
      </c>
      <c r="M530" s="247">
        <v>6.99013376235962</v>
      </c>
      <c r="N530" s="247">
        <v>7.1103782653808603</v>
      </c>
      <c r="O530" s="247">
        <v>7.2379879951477104</v>
      </c>
      <c r="P530" s="247">
        <v>7.276611328125</v>
      </c>
      <c r="Q530" s="247">
        <v>7.3343372344970703</v>
      </c>
      <c r="R530" s="247">
        <v>7.4634890556335396</v>
      </c>
      <c r="S530" s="247">
        <v>7.6215224266052202</v>
      </c>
      <c r="T530" s="247">
        <v>7.7529444694518999</v>
      </c>
      <c r="U530" s="247">
        <v>7.8803434371948198</v>
      </c>
      <c r="V530" s="247">
        <v>7.9471721649169904</v>
      </c>
      <c r="W530" s="247">
        <v>7.99715328216553</v>
      </c>
      <c r="X530" s="247">
        <v>8.05676174163818</v>
      </c>
      <c r="Y530" s="247">
        <v>8.1260271072387695</v>
      </c>
    </row>
    <row r="531" spans="1:71" ht="13.8" thickBot="1" x14ac:dyDescent="0.3">
      <c r="A531" s="243" t="s">
        <v>469</v>
      </c>
      <c r="B531" s="247">
        <v>4.9298634529113796</v>
      </c>
      <c r="C531" s="247">
        <v>6.4939708709716797</v>
      </c>
      <c r="D531" s="247">
        <v>7.4592456817626998</v>
      </c>
      <c r="E531" s="247">
        <v>7.2321572303771999</v>
      </c>
      <c r="F531" s="247">
        <v>6.3973078727722203</v>
      </c>
      <c r="G531" s="247">
        <v>5.9808039665222203</v>
      </c>
      <c r="H531" s="247">
        <v>5.7940292358398402</v>
      </c>
      <c r="I531" s="247">
        <v>5.64864206314087</v>
      </c>
      <c r="J531" s="247">
        <v>5.54791307449341</v>
      </c>
      <c r="K531" s="247">
        <v>5.5448842048645002</v>
      </c>
      <c r="L531" s="247">
        <v>5.5862631797790501</v>
      </c>
      <c r="M531" s="247">
        <v>5.6484580039978001</v>
      </c>
      <c r="N531" s="247">
        <v>5.7157526016235396</v>
      </c>
      <c r="O531" s="247">
        <v>5.8273496627807599</v>
      </c>
      <c r="P531" s="247">
        <v>5.8644676208496103</v>
      </c>
      <c r="Q531" s="247">
        <v>5.9049983024597203</v>
      </c>
      <c r="R531" s="247">
        <v>6.0105843544006303</v>
      </c>
      <c r="S531" s="247">
        <v>6.1420850753784197</v>
      </c>
      <c r="T531" s="247">
        <v>6.2661328315734899</v>
      </c>
      <c r="U531" s="247">
        <v>6.3902029991149902</v>
      </c>
      <c r="V531" s="247">
        <v>6.4639844894409197</v>
      </c>
      <c r="W531" s="247">
        <v>6.5222811698913601</v>
      </c>
      <c r="X531" s="247">
        <v>6.5781168937683097</v>
      </c>
      <c r="Y531" s="247">
        <v>6.6401424407959002</v>
      </c>
      <c r="AA531" s="290">
        <f>Z701+($AI$531-$Y$701)/10</f>
        <v>1.6707610713595051</v>
      </c>
      <c r="AB531" s="290">
        <f t="shared" ref="AB531:AH531" si="75">AA531+($AI$531-$Y$701)/10</f>
        <v>1.7872284374395671</v>
      </c>
      <c r="AC531" s="290">
        <f t="shared" si="75"/>
        <v>1.903695803519629</v>
      </c>
      <c r="AD531" s="290">
        <f t="shared" si="75"/>
        <v>2.0201631695996909</v>
      </c>
      <c r="AE531" s="290">
        <f t="shared" si="75"/>
        <v>2.1366305356797528</v>
      </c>
      <c r="AF531" s="290">
        <f t="shared" si="75"/>
        <v>2.2530979017598147</v>
      </c>
      <c r="AG531" s="290">
        <f t="shared" si="75"/>
        <v>2.3695652678398766</v>
      </c>
      <c r="AH531" s="290">
        <f t="shared" si="75"/>
        <v>2.4860326339199386</v>
      </c>
      <c r="AI531" s="295">
        <v>2.6025</v>
      </c>
      <c r="AJ531" s="290">
        <f>AI531+($BM$531-$AI$531)/30</f>
        <v>2.6824166666666667</v>
      </c>
      <c r="AK531" s="290">
        <f t="shared" ref="AK531:BR531" si="76">AJ531+($BM$531-$AI$531)/30</f>
        <v>2.7623333333333333</v>
      </c>
      <c r="AL531" s="290">
        <f t="shared" si="76"/>
        <v>2.8422499999999999</v>
      </c>
      <c r="AM531" s="290">
        <f t="shared" si="76"/>
        <v>2.9221666666666666</v>
      </c>
      <c r="AN531" s="290">
        <f t="shared" si="76"/>
        <v>3.0020833333333332</v>
      </c>
      <c r="AO531" s="290">
        <f t="shared" si="76"/>
        <v>3.0819999999999999</v>
      </c>
      <c r="AP531" s="290">
        <f t="shared" si="76"/>
        <v>3.1619166666666665</v>
      </c>
      <c r="AQ531" s="290">
        <f t="shared" si="76"/>
        <v>3.2418333333333331</v>
      </c>
      <c r="AR531" s="290">
        <f t="shared" si="76"/>
        <v>3.3217499999999998</v>
      </c>
      <c r="AS531" s="290">
        <f t="shared" si="76"/>
        <v>3.4016666666666664</v>
      </c>
      <c r="AT531" s="290">
        <f t="shared" si="76"/>
        <v>3.481583333333333</v>
      </c>
      <c r="AU531" s="290">
        <f t="shared" si="76"/>
        <v>3.5614999999999997</v>
      </c>
      <c r="AV531" s="290">
        <f t="shared" si="76"/>
        <v>3.6414166666666663</v>
      </c>
      <c r="AW531" s="290">
        <f t="shared" si="76"/>
        <v>3.7213333333333329</v>
      </c>
      <c r="AX531" s="290">
        <f t="shared" si="76"/>
        <v>3.8012499999999996</v>
      </c>
      <c r="AY531" s="290">
        <f t="shared" si="76"/>
        <v>3.8811666666666662</v>
      </c>
      <c r="AZ531" s="290">
        <f t="shared" si="76"/>
        <v>3.9610833333333328</v>
      </c>
      <c r="BA531" s="290">
        <f t="shared" si="76"/>
        <v>4.0409999999999995</v>
      </c>
      <c r="BB531" s="290">
        <f t="shared" si="76"/>
        <v>4.1209166666666661</v>
      </c>
      <c r="BC531" s="290">
        <f t="shared" si="76"/>
        <v>4.2008333333333328</v>
      </c>
      <c r="BD531" s="290">
        <f t="shared" si="76"/>
        <v>4.2807499999999994</v>
      </c>
      <c r="BE531" s="290">
        <f t="shared" si="76"/>
        <v>4.360666666666666</v>
      </c>
      <c r="BF531" s="290">
        <f t="shared" si="76"/>
        <v>4.4405833333333327</v>
      </c>
      <c r="BG531" s="290">
        <f t="shared" si="76"/>
        <v>4.5204999999999993</v>
      </c>
      <c r="BH531" s="290">
        <f t="shared" si="76"/>
        <v>4.6004166666666659</v>
      </c>
      <c r="BI531" s="290">
        <f t="shared" si="76"/>
        <v>4.6803333333333326</v>
      </c>
      <c r="BJ531" s="290">
        <f t="shared" si="76"/>
        <v>4.7602499999999992</v>
      </c>
      <c r="BK531" s="290">
        <f t="shared" si="76"/>
        <v>4.8401666666666658</v>
      </c>
      <c r="BL531" s="290">
        <f t="shared" si="76"/>
        <v>4.9200833333333325</v>
      </c>
      <c r="BM531" s="293">
        <v>5</v>
      </c>
      <c r="BN531" s="290">
        <f t="shared" si="76"/>
        <v>5.0799166666666666</v>
      </c>
      <c r="BO531" s="290">
        <f t="shared" si="76"/>
        <v>5.1598333333333333</v>
      </c>
      <c r="BP531" s="290">
        <f t="shared" si="76"/>
        <v>5.2397499999999999</v>
      </c>
      <c r="BQ531" s="290">
        <f t="shared" si="76"/>
        <v>5.3196666666666665</v>
      </c>
      <c r="BR531" s="290">
        <f t="shared" si="76"/>
        <v>5.3995833333333332</v>
      </c>
    </row>
    <row r="532" spans="1:71" x14ac:dyDescent="0.25">
      <c r="A532" s="243" t="s">
        <v>461</v>
      </c>
      <c r="B532" s="247">
        <v>6.5291514396667498</v>
      </c>
      <c r="C532" s="247">
        <v>8.2850980758666992</v>
      </c>
      <c r="D532" s="247">
        <v>9.8001232147216797</v>
      </c>
      <c r="E532" s="247">
        <v>9.3072748184204102</v>
      </c>
      <c r="F532" s="247">
        <v>8.1255960464477504</v>
      </c>
      <c r="G532" s="247">
        <v>7.6394152641296396</v>
      </c>
      <c r="H532" s="247">
        <v>7.5353851318359402</v>
      </c>
      <c r="I532" s="247">
        <v>7.29905128479004</v>
      </c>
      <c r="J532" s="247">
        <v>7.2437157630920401</v>
      </c>
      <c r="K532" s="247">
        <v>7.2615475654602104</v>
      </c>
      <c r="L532" s="247">
        <v>7.28952884674072</v>
      </c>
      <c r="M532" s="247">
        <v>7.3323044776916504</v>
      </c>
      <c r="N532" s="247">
        <v>7.3129158020019496</v>
      </c>
      <c r="O532" s="247">
        <v>7.4180650711059597</v>
      </c>
      <c r="P532" s="247">
        <v>7.5101509094238299</v>
      </c>
      <c r="Q532" s="247">
        <v>7.5518846511840803</v>
      </c>
      <c r="R532" s="247">
        <v>7.6326026916503897</v>
      </c>
      <c r="S532" s="247">
        <v>7.7444272041320801</v>
      </c>
      <c r="T532" s="247">
        <v>7.8752341270446804</v>
      </c>
      <c r="U532" s="247">
        <v>8.0334920883178693</v>
      </c>
      <c r="V532" s="247">
        <v>8.1469945907592791</v>
      </c>
      <c r="W532" s="247">
        <v>8.2539978027343803</v>
      </c>
      <c r="X532" s="247">
        <v>8.3047761917114293</v>
      </c>
      <c r="Y532" s="247">
        <v>8.3638219833374006</v>
      </c>
      <c r="AA532" s="293">
        <v>8.7353999999999985</v>
      </c>
      <c r="AB532" s="293">
        <v>8.7353999999999985</v>
      </c>
      <c r="AC532" s="293">
        <v>8.7353999999999985</v>
      </c>
      <c r="AD532" s="293">
        <v>8.7353999999999985</v>
      </c>
      <c r="AE532" s="293">
        <v>8.7353999999999985</v>
      </c>
      <c r="AF532" s="293">
        <v>8.7353999999999985</v>
      </c>
      <c r="AG532" s="293">
        <v>8.7353999999999985</v>
      </c>
      <c r="AH532" s="293">
        <v>8.2799999999999994</v>
      </c>
      <c r="AI532" s="293">
        <v>8.2799999999999994</v>
      </c>
      <c r="AJ532" s="283">
        <f>AI532+($AX$532-$AI$532)/15</f>
        <v>8.2855063337213686</v>
      </c>
      <c r="AK532" s="283">
        <f t="shared" ref="AK532:AW532" si="77">AJ532+($AX$532-$AI$532)/15</f>
        <v>8.2910126674427378</v>
      </c>
      <c r="AL532" s="283">
        <f t="shared" si="77"/>
        <v>8.296519001164107</v>
      </c>
      <c r="AM532" s="283">
        <f t="shared" si="77"/>
        <v>8.3020253348854762</v>
      </c>
      <c r="AN532" s="283">
        <f t="shared" si="77"/>
        <v>8.3075316686068454</v>
      </c>
      <c r="AO532" s="283">
        <f t="shared" si="77"/>
        <v>8.3130380023282147</v>
      </c>
      <c r="AP532" s="283">
        <f t="shared" si="77"/>
        <v>8.3185443360495839</v>
      </c>
      <c r="AQ532" s="283">
        <f t="shared" si="77"/>
        <v>8.3240506697709531</v>
      </c>
      <c r="AR532" s="283">
        <f t="shared" si="77"/>
        <v>8.3295570034923223</v>
      </c>
      <c r="AS532" s="283">
        <f t="shared" si="77"/>
        <v>8.3350633372136915</v>
      </c>
      <c r="AT532" s="283">
        <f t="shared" si="77"/>
        <v>8.3405696709350607</v>
      </c>
      <c r="AU532" s="283">
        <f t="shared" si="77"/>
        <v>8.34607600465643</v>
      </c>
      <c r="AV532" s="283">
        <f t="shared" si="77"/>
        <v>8.3515823383777992</v>
      </c>
      <c r="AW532" s="283">
        <f t="shared" si="77"/>
        <v>8.3570886720991684</v>
      </c>
      <c r="AX532" s="288">
        <f>AI532*$B$747</f>
        <v>8.3625950058205305</v>
      </c>
      <c r="AY532" s="283">
        <f>AX532+($BM$532-$AX$532)/15</f>
        <v>8.3654368677345836</v>
      </c>
      <c r="AZ532" s="283">
        <f t="shared" ref="AZ532:BL532" si="78">AY532+($BM$532-$AX$532)/15</f>
        <v>8.3682787296486367</v>
      </c>
      <c r="BA532" s="283">
        <f t="shared" si="78"/>
        <v>8.3711205915626898</v>
      </c>
      <c r="BB532" s="283">
        <f t="shared" si="78"/>
        <v>8.373962453476743</v>
      </c>
      <c r="BC532" s="283">
        <f t="shared" si="78"/>
        <v>8.3768043153907961</v>
      </c>
      <c r="BD532" s="283">
        <f t="shared" si="78"/>
        <v>8.3796461773048492</v>
      </c>
      <c r="BE532" s="283">
        <f t="shared" si="78"/>
        <v>8.3824880392189023</v>
      </c>
      <c r="BF532" s="283">
        <f t="shared" si="78"/>
        <v>8.3853299011329554</v>
      </c>
      <c r="BG532" s="283">
        <f t="shared" si="78"/>
        <v>8.3881717630470085</v>
      </c>
      <c r="BH532" s="283">
        <f t="shared" si="78"/>
        <v>8.3910136249610616</v>
      </c>
      <c r="BI532" s="283">
        <f t="shared" si="78"/>
        <v>8.3938554868751147</v>
      </c>
      <c r="BJ532" s="283">
        <f t="shared" si="78"/>
        <v>8.3966973487891678</v>
      </c>
      <c r="BK532" s="283">
        <f t="shared" si="78"/>
        <v>8.399539210703221</v>
      </c>
      <c r="BL532" s="283">
        <f t="shared" si="78"/>
        <v>8.4023810726172741</v>
      </c>
      <c r="BM532" s="288">
        <f>AX532*$C$747</f>
        <v>8.4052229345313236</v>
      </c>
      <c r="BN532" s="283">
        <f>BM532+($BR$532-$BM$532)/5</f>
        <v>8.4080792827007791</v>
      </c>
      <c r="BO532" s="283">
        <f>BN532+($BR$532-$BM$532)/5</f>
        <v>8.4109356308702345</v>
      </c>
      <c r="BP532" s="283">
        <f>BO532+($BR$532-$BM$532)/5</f>
        <v>8.41379197903969</v>
      </c>
      <c r="BQ532" s="283">
        <f>BP532+($BR$532-$BM$532)/5</f>
        <v>8.4166483272091455</v>
      </c>
      <c r="BR532" s="288">
        <f>BM532*$D$747</f>
        <v>8.4195046753785974</v>
      </c>
    </row>
    <row r="533" spans="1:71" x14ac:dyDescent="0.25">
      <c r="A533" s="243" t="s">
        <v>462</v>
      </c>
      <c r="B533" s="247">
        <v>6.3323707580566397</v>
      </c>
      <c r="C533" s="247">
        <v>7.2384452819824201</v>
      </c>
      <c r="D533" s="247">
        <v>7.96527099609375</v>
      </c>
      <c r="E533" s="247">
        <v>7.6527137756347701</v>
      </c>
      <c r="F533" s="247">
        <v>7.15256595611572</v>
      </c>
      <c r="G533" s="247">
        <v>6.8207654953002903</v>
      </c>
      <c r="H533" s="247">
        <v>6.8779778480529803</v>
      </c>
      <c r="I533" s="247">
        <v>6.7174663543701199</v>
      </c>
      <c r="J533" s="247">
        <v>6.78255271911621</v>
      </c>
      <c r="K533" s="247">
        <v>7.1339807510376003</v>
      </c>
      <c r="L533" s="247">
        <v>7.1601362228393599</v>
      </c>
      <c r="M533" s="247">
        <v>7.1876134872436497</v>
      </c>
      <c r="N533" s="247">
        <v>7.1760501861572301</v>
      </c>
      <c r="O533" s="247">
        <v>7.19400835037231</v>
      </c>
      <c r="P533" s="247">
        <v>7.2192950248718297</v>
      </c>
      <c r="Q533" s="247">
        <v>7.2771706581115696</v>
      </c>
      <c r="R533" s="247">
        <v>7.32332468032837</v>
      </c>
      <c r="S533" s="247">
        <v>7.37906789779663</v>
      </c>
      <c r="T533" s="247">
        <v>7.3721222877502397</v>
      </c>
      <c r="U533" s="247">
        <v>7.4461221694946298</v>
      </c>
      <c r="V533" s="247">
        <v>7.5145907402038601</v>
      </c>
      <c r="W533" s="247">
        <v>7.4954967498779297</v>
      </c>
      <c r="X533" s="247">
        <v>7.5633401870727504</v>
      </c>
      <c r="Y533" s="247">
        <v>7.7325506210327104</v>
      </c>
      <c r="AA533" s="294">
        <v>4.78</v>
      </c>
      <c r="AB533" s="294">
        <v>4.78</v>
      </c>
      <c r="AC533" s="294">
        <v>4.78</v>
      </c>
      <c r="AD533" s="294">
        <v>4.78</v>
      </c>
      <c r="AE533" s="294">
        <v>4.78</v>
      </c>
      <c r="AF533" s="294">
        <v>4.78</v>
      </c>
      <c r="AG533" s="294">
        <v>4.78</v>
      </c>
      <c r="AH533" s="294">
        <v>4.78</v>
      </c>
      <c r="AI533" s="294">
        <v>4.78</v>
      </c>
      <c r="AJ533" s="294">
        <v>4.78</v>
      </c>
      <c r="AK533" s="294">
        <v>4.78</v>
      </c>
      <c r="AL533" s="294">
        <v>4.78</v>
      </c>
      <c r="AM533" s="294">
        <v>4.78</v>
      </c>
      <c r="AN533" s="294">
        <v>4.78</v>
      </c>
      <c r="AO533" s="294">
        <v>4.78</v>
      </c>
      <c r="AP533" s="294">
        <v>4.78</v>
      </c>
      <c r="AQ533" s="294">
        <v>4.78</v>
      </c>
      <c r="AR533" s="294">
        <v>4.78</v>
      </c>
      <c r="AS533" s="294">
        <v>4.78</v>
      </c>
      <c r="AT533" s="294">
        <v>4.78</v>
      </c>
      <c r="AU533" s="294">
        <v>4.78</v>
      </c>
      <c r="AV533" s="294">
        <v>4.78</v>
      </c>
      <c r="AW533" s="294">
        <v>4.78</v>
      </c>
      <c r="AX533" s="294">
        <v>4.78</v>
      </c>
      <c r="AY533" s="294">
        <v>4.78</v>
      </c>
      <c r="AZ533" s="294">
        <v>4.78</v>
      </c>
      <c r="BA533" s="294">
        <v>4.78</v>
      </c>
      <c r="BB533" s="294">
        <v>4.78</v>
      </c>
      <c r="BC533" s="294">
        <v>4.78</v>
      </c>
      <c r="BD533" s="294">
        <v>4.78</v>
      </c>
      <c r="BE533" s="294">
        <v>4.78</v>
      </c>
      <c r="BF533" s="294">
        <v>4.78</v>
      </c>
      <c r="BG533" s="294">
        <v>4.78</v>
      </c>
      <c r="BH533" s="294">
        <v>4.78</v>
      </c>
      <c r="BI533" s="294">
        <v>4.78</v>
      </c>
      <c r="BJ533" s="294">
        <v>4.78</v>
      </c>
      <c r="BK533" s="294">
        <v>4.78</v>
      </c>
      <c r="BL533" s="294">
        <v>4.78</v>
      </c>
      <c r="BM533" s="294">
        <v>4.78</v>
      </c>
      <c r="BN533" s="294">
        <v>4.78</v>
      </c>
      <c r="BO533" s="294">
        <v>4.78</v>
      </c>
      <c r="BP533" s="294">
        <v>4.78</v>
      </c>
      <c r="BQ533" s="294">
        <v>4.78</v>
      </c>
      <c r="BR533" s="294">
        <v>4.78</v>
      </c>
      <c r="BS533" s="220"/>
    </row>
    <row r="534" spans="1:71" x14ac:dyDescent="0.25">
      <c r="A534" s="243" t="s">
        <v>463</v>
      </c>
      <c r="B534" s="247">
        <v>8.4833917617797905</v>
      </c>
      <c r="C534" s="247">
        <v>12.566796302795399</v>
      </c>
      <c r="D534" s="247">
        <v>15.1470994949341</v>
      </c>
      <c r="E534" s="247">
        <v>13.2375335693359</v>
      </c>
      <c r="F534" s="247">
        <v>11.1595468521118</v>
      </c>
      <c r="G534" s="247">
        <v>10.509430885314901</v>
      </c>
      <c r="H534" s="247">
        <v>10.3245944976807</v>
      </c>
      <c r="I534" s="247">
        <v>10.044970512390099</v>
      </c>
      <c r="J534" s="247">
        <v>10.0157480239868</v>
      </c>
      <c r="K534" s="247">
        <v>9.9449577331543004</v>
      </c>
      <c r="L534" s="247">
        <v>10.002993583679199</v>
      </c>
      <c r="M534" s="247">
        <v>10.097089767456101</v>
      </c>
      <c r="N534" s="247">
        <v>10.020875930786101</v>
      </c>
      <c r="O534" s="247">
        <v>10.2241611480713</v>
      </c>
      <c r="P534" s="247">
        <v>10.3367824554443</v>
      </c>
      <c r="Q534" s="247">
        <v>10.319104194641101</v>
      </c>
      <c r="R534" s="247">
        <v>10.409514427185099</v>
      </c>
      <c r="S534" s="247">
        <v>10.552604675293001</v>
      </c>
      <c r="T534" s="247">
        <v>10.737306594848601</v>
      </c>
      <c r="U534" s="247">
        <v>10.9299325942993</v>
      </c>
      <c r="V534" s="247">
        <v>11.0452260971069</v>
      </c>
      <c r="W534" s="247">
        <v>11.198148727416999</v>
      </c>
      <c r="X534" s="247">
        <v>11.303442955017101</v>
      </c>
      <c r="Y534" s="247">
        <v>11.352322578430201</v>
      </c>
      <c r="AA534" s="293" t="e">
        <f t="shared" ref="AA534:AG534" si="79">AA533*GJ_p_MMBtu</f>
        <v>#NAME?</v>
      </c>
      <c r="AB534" s="293" t="e">
        <f t="shared" si="79"/>
        <v>#NAME?</v>
      </c>
      <c r="AC534" s="293" t="e">
        <f t="shared" si="79"/>
        <v>#NAME?</v>
      </c>
      <c r="AD534" s="293" t="e">
        <f t="shared" si="79"/>
        <v>#NAME?</v>
      </c>
      <c r="AE534" s="293" t="e">
        <f t="shared" si="79"/>
        <v>#NAME?</v>
      </c>
      <c r="AF534" s="293" t="e">
        <f t="shared" si="79"/>
        <v>#NAME?</v>
      </c>
      <c r="AG534" s="293" t="e">
        <f t="shared" si="79"/>
        <v>#NAME?</v>
      </c>
      <c r="AH534" s="293" t="e">
        <f t="shared" ref="AH534:BM534" si="80">AH533*GJ_p_MMBtu</f>
        <v>#NAME?</v>
      </c>
      <c r="AI534" s="293" t="e">
        <f t="shared" si="80"/>
        <v>#NAME?</v>
      </c>
      <c r="AJ534" s="293" t="e">
        <f t="shared" si="80"/>
        <v>#NAME?</v>
      </c>
      <c r="AK534" s="293" t="e">
        <f t="shared" si="80"/>
        <v>#NAME?</v>
      </c>
      <c r="AL534" s="293" t="e">
        <f t="shared" si="80"/>
        <v>#NAME?</v>
      </c>
      <c r="AM534" s="293" t="e">
        <f t="shared" si="80"/>
        <v>#NAME?</v>
      </c>
      <c r="AN534" s="293" t="e">
        <f t="shared" si="80"/>
        <v>#NAME?</v>
      </c>
      <c r="AO534" s="293" t="e">
        <f t="shared" si="80"/>
        <v>#NAME?</v>
      </c>
      <c r="AP534" s="293" t="e">
        <f t="shared" si="80"/>
        <v>#NAME?</v>
      </c>
      <c r="AQ534" s="293" t="e">
        <f t="shared" si="80"/>
        <v>#NAME?</v>
      </c>
      <c r="AR534" s="293" t="e">
        <f t="shared" si="80"/>
        <v>#NAME?</v>
      </c>
      <c r="AS534" s="293" t="e">
        <f t="shared" si="80"/>
        <v>#NAME?</v>
      </c>
      <c r="AT534" s="293" t="e">
        <f t="shared" si="80"/>
        <v>#NAME?</v>
      </c>
      <c r="AU534" s="293" t="e">
        <f t="shared" si="80"/>
        <v>#NAME?</v>
      </c>
      <c r="AV534" s="293" t="e">
        <f t="shared" si="80"/>
        <v>#NAME?</v>
      </c>
      <c r="AW534" s="293" t="e">
        <f t="shared" si="80"/>
        <v>#NAME?</v>
      </c>
      <c r="AX534" s="293" t="e">
        <f t="shared" si="80"/>
        <v>#NAME?</v>
      </c>
      <c r="AY534" s="293" t="e">
        <f t="shared" si="80"/>
        <v>#NAME?</v>
      </c>
      <c r="AZ534" s="293" t="e">
        <f t="shared" si="80"/>
        <v>#NAME?</v>
      </c>
      <c r="BA534" s="293" t="e">
        <f t="shared" si="80"/>
        <v>#NAME?</v>
      </c>
      <c r="BB534" s="293" t="e">
        <f t="shared" si="80"/>
        <v>#NAME?</v>
      </c>
      <c r="BC534" s="293" t="e">
        <f t="shared" si="80"/>
        <v>#NAME?</v>
      </c>
      <c r="BD534" s="293" t="e">
        <f t="shared" si="80"/>
        <v>#NAME?</v>
      </c>
      <c r="BE534" s="293" t="e">
        <f t="shared" si="80"/>
        <v>#NAME?</v>
      </c>
      <c r="BF534" s="293" t="e">
        <f t="shared" si="80"/>
        <v>#NAME?</v>
      </c>
      <c r="BG534" s="293" t="e">
        <f t="shared" si="80"/>
        <v>#NAME?</v>
      </c>
      <c r="BH534" s="293" t="e">
        <f t="shared" si="80"/>
        <v>#NAME?</v>
      </c>
      <c r="BI534" s="293" t="e">
        <f t="shared" si="80"/>
        <v>#NAME?</v>
      </c>
      <c r="BJ534" s="293" t="e">
        <f t="shared" si="80"/>
        <v>#NAME?</v>
      </c>
      <c r="BK534" s="293" t="e">
        <f t="shared" si="80"/>
        <v>#NAME?</v>
      </c>
      <c r="BL534" s="293" t="e">
        <f t="shared" si="80"/>
        <v>#NAME?</v>
      </c>
      <c r="BM534" s="293" t="e">
        <f t="shared" si="80"/>
        <v>#NAME?</v>
      </c>
      <c r="BN534" s="293" t="e">
        <f>BN533*GJ_p_MMBtu</f>
        <v>#NAME?</v>
      </c>
      <c r="BO534" s="293" t="e">
        <f>BO533*GJ_p_MMBtu</f>
        <v>#NAME?</v>
      </c>
      <c r="BP534" s="293" t="e">
        <f>BP533*GJ_p_MMBtu</f>
        <v>#NAME?</v>
      </c>
      <c r="BQ534" s="293" t="e">
        <f>BQ533*GJ_p_MMBtu</f>
        <v>#NAME?</v>
      </c>
      <c r="BR534" s="293" t="e">
        <f>BR533*GJ_p_MMBtu</f>
        <v>#NAME?</v>
      </c>
    </row>
    <row r="535" spans="1:71" ht="51" customHeight="1" x14ac:dyDescent="0.25">
      <c r="A535" s="243" t="s">
        <v>467</v>
      </c>
      <c r="B535" s="247">
        <v>3.9384419918060298</v>
      </c>
      <c r="C535" s="247">
        <v>4.5867881774902299</v>
      </c>
      <c r="D535" s="247">
        <v>4.6800308227539098</v>
      </c>
      <c r="E535" s="247">
        <v>4.9388971328735396</v>
      </c>
      <c r="F535" s="247">
        <v>4.6724338531494096</v>
      </c>
      <c r="G535" s="247">
        <v>4.2573971748352104</v>
      </c>
      <c r="H535" s="247">
        <v>4.0660681724548304</v>
      </c>
      <c r="I535" s="247">
        <v>3.9201312065124498</v>
      </c>
      <c r="J535" s="247">
        <v>3.8699574470520002</v>
      </c>
      <c r="K535" s="247">
        <v>3.9242179393768302</v>
      </c>
      <c r="L535" s="247">
        <v>3.9701111316680899</v>
      </c>
      <c r="M535" s="247">
        <v>4.0123748779296902</v>
      </c>
      <c r="N535" s="247">
        <v>4.03127193450928</v>
      </c>
      <c r="O535" s="247">
        <v>4.0987625122070304</v>
      </c>
      <c r="P535" s="247">
        <v>4.1393604278564498</v>
      </c>
      <c r="Q535" s="247">
        <v>4.1877317428588903</v>
      </c>
      <c r="R535" s="247">
        <v>4.2278647422790501</v>
      </c>
      <c r="S535" s="247">
        <v>4.2813539505004901</v>
      </c>
      <c r="T535" s="247">
        <v>4.3376803398132298</v>
      </c>
      <c r="U535" s="247">
        <v>4.4096555709838903</v>
      </c>
      <c r="V535" s="247">
        <v>4.4638853073120099</v>
      </c>
      <c r="W535" s="247">
        <v>4.5156707763671902</v>
      </c>
      <c r="X535" s="247">
        <v>4.5648870468139604</v>
      </c>
      <c r="Y535" s="247">
        <v>4.6165790557861301</v>
      </c>
      <c r="AA535" s="247"/>
      <c r="AB535" s="247"/>
      <c r="AC535" s="247"/>
      <c r="AD535" s="247"/>
      <c r="AE535" s="247"/>
      <c r="AF535" s="247"/>
      <c r="AG535" s="247"/>
      <c r="AH535" s="247"/>
    </row>
    <row r="536" spans="1:71" x14ac:dyDescent="0.25">
      <c r="A536" s="268" t="s">
        <v>470</v>
      </c>
      <c r="B536" s="247">
        <v>3.88655662536621</v>
      </c>
      <c r="C536" s="247">
        <v>5.55936574935913</v>
      </c>
      <c r="D536" s="247">
        <v>6.0491561889648402</v>
      </c>
      <c r="E536" s="247">
        <v>6.0767245292663601</v>
      </c>
      <c r="F536" s="247">
        <v>5.4288315773010298</v>
      </c>
      <c r="G536" s="247">
        <v>4.9784579277038601</v>
      </c>
      <c r="H536" s="247">
        <v>4.6095819473266602</v>
      </c>
      <c r="I536" s="247">
        <v>4.5152282714843803</v>
      </c>
      <c r="J536" s="247">
        <v>4.3734540939331099</v>
      </c>
      <c r="K536" s="247">
        <v>4.3719940185546902</v>
      </c>
      <c r="L536" s="247">
        <v>4.4435229301452601</v>
      </c>
      <c r="M536" s="247">
        <v>4.5411396026611301</v>
      </c>
      <c r="N536" s="247">
        <v>4.7005810737609899</v>
      </c>
      <c r="O536" s="247">
        <v>4.81768798828125</v>
      </c>
      <c r="P536" s="247">
        <v>4.7900476455688503</v>
      </c>
      <c r="Q536" s="247">
        <v>4.8231658935546902</v>
      </c>
      <c r="R536" s="247">
        <v>4.9558763504028303</v>
      </c>
      <c r="S536" s="247">
        <v>5.1147346496581996</v>
      </c>
      <c r="T536" s="247">
        <v>5.2329874038696298</v>
      </c>
      <c r="U536" s="247">
        <v>5.3250308036804199</v>
      </c>
      <c r="V536" s="247">
        <v>5.3559622764587402</v>
      </c>
      <c r="W536" s="247">
        <v>5.3499736785888699</v>
      </c>
      <c r="X536" s="247">
        <v>5.4079699516296396</v>
      </c>
      <c r="Y536" s="247">
        <v>5.4724006652831996</v>
      </c>
      <c r="Z536" s="277">
        <f>Y536+($AI$366-$Y$536)/10</f>
        <v>5.502911815190215</v>
      </c>
    </row>
    <row r="537" spans="1:71" x14ac:dyDescent="0.25">
      <c r="A537" s="243" t="s">
        <v>471</v>
      </c>
      <c r="B537" s="247">
        <v>1.88388228416443</v>
      </c>
      <c r="C537" s="247">
        <v>1.8499996662139899</v>
      </c>
      <c r="D537" s="247">
        <v>1.9631321430206301</v>
      </c>
      <c r="E537" s="247">
        <v>1.9065624475479099</v>
      </c>
      <c r="F537" s="247">
        <v>1.8876701593398999</v>
      </c>
      <c r="G537" s="247">
        <v>1.8568421602249101</v>
      </c>
      <c r="H537" s="247">
        <v>1.8503668308258101</v>
      </c>
      <c r="I537" s="247">
        <v>1.8461718559265099</v>
      </c>
      <c r="J537" s="247">
        <v>1.81827020645142</v>
      </c>
      <c r="K537" s="247">
        <v>1.79229772090912</v>
      </c>
      <c r="L537" s="247">
        <v>1.7775920629501301</v>
      </c>
      <c r="M537" s="247">
        <v>1.7720992565155</v>
      </c>
      <c r="N537" s="247">
        <v>1.7673192024230999</v>
      </c>
      <c r="O537" s="247">
        <v>1.76388168334961</v>
      </c>
      <c r="P537" s="247">
        <v>1.7582092285156301</v>
      </c>
      <c r="Q537" s="247">
        <v>1.7531107664108301</v>
      </c>
      <c r="R537" s="247">
        <v>1.7537478208541899</v>
      </c>
      <c r="S537" s="247">
        <v>1.7550060749053999</v>
      </c>
      <c r="T537" s="247">
        <v>1.75110328197479</v>
      </c>
      <c r="U537" s="247">
        <v>1.741095662117</v>
      </c>
      <c r="V537" s="247">
        <v>1.72283828258514</v>
      </c>
      <c r="W537" s="247">
        <v>1.7066173553466799</v>
      </c>
      <c r="X537" s="247">
        <v>1.6973831653595</v>
      </c>
      <c r="Y537" s="247">
        <v>1.68216860294342</v>
      </c>
    </row>
    <row r="538" spans="1:71" x14ac:dyDescent="0.25">
      <c r="A538" s="243" t="s">
        <v>472</v>
      </c>
      <c r="B538" s="247">
        <v>1.5976041555404701</v>
      </c>
      <c r="C538" s="247">
        <v>1.5543407201767001</v>
      </c>
      <c r="D538" s="247">
        <v>1.5665656328201301</v>
      </c>
      <c r="E538" s="247">
        <v>1.6037170886993399</v>
      </c>
      <c r="F538" s="247">
        <v>1.59409379959106</v>
      </c>
      <c r="G538" s="247">
        <v>1.5766631364822401</v>
      </c>
      <c r="H538" s="247">
        <v>1.5775339603424099</v>
      </c>
      <c r="I538" s="247">
        <v>1.5708864927291899</v>
      </c>
      <c r="J538" s="247">
        <v>1.5649564266204801</v>
      </c>
      <c r="K538" s="247">
        <v>1.56413578987122</v>
      </c>
      <c r="L538" s="247">
        <v>1.5547889471054099</v>
      </c>
      <c r="M538" s="247">
        <v>1.54732978343964</v>
      </c>
      <c r="N538" s="247">
        <v>1.54787278175354</v>
      </c>
      <c r="O538" s="247">
        <v>1.5495419502258301</v>
      </c>
      <c r="P538" s="247">
        <v>1.5494637489318801</v>
      </c>
      <c r="Q538" s="247">
        <v>1.5568271875381501</v>
      </c>
      <c r="R538" s="247">
        <v>1.55967605113983</v>
      </c>
      <c r="S538" s="247">
        <v>1.5613601207733201</v>
      </c>
      <c r="T538" s="247">
        <v>1.5625598430633501</v>
      </c>
      <c r="U538" s="247">
        <v>1.5681461095809901</v>
      </c>
      <c r="V538" s="247">
        <v>1.5708984136581401</v>
      </c>
      <c r="W538" s="247">
        <v>1.6035954952239999</v>
      </c>
      <c r="X538" s="247">
        <v>1.60524129867554</v>
      </c>
      <c r="Y538" s="247">
        <v>1.6024739742279099</v>
      </c>
    </row>
    <row r="539" spans="1:71" x14ac:dyDescent="0.25">
      <c r="A539" s="270" t="s">
        <v>465</v>
      </c>
      <c r="B539" s="247">
        <v>14.734835624694799</v>
      </c>
      <c r="C539" s="247">
        <v>15.0261535644531</v>
      </c>
      <c r="D539" s="247">
        <v>15.7151737213135</v>
      </c>
      <c r="E539" s="247">
        <v>15.5977983474731</v>
      </c>
      <c r="F539" s="247">
        <v>15.0554456710815</v>
      </c>
      <c r="G539" s="247">
        <v>14.415571212768601</v>
      </c>
      <c r="H539" s="247">
        <v>14.123340606689499</v>
      </c>
      <c r="I539" s="247">
        <v>14.033378601074199</v>
      </c>
      <c r="J539" s="247">
        <v>13.8423414230347</v>
      </c>
      <c r="K539" s="247">
        <v>13.6992740631104</v>
      </c>
      <c r="L539" s="247">
        <v>13.8484916687012</v>
      </c>
      <c r="M539" s="247">
        <v>14.089280128479</v>
      </c>
      <c r="N539" s="247">
        <v>14.438159942626999</v>
      </c>
      <c r="O539" s="247">
        <v>14.622407913208001</v>
      </c>
      <c r="P539" s="247">
        <v>14.680962562561</v>
      </c>
      <c r="Q539" s="247">
        <v>14.817166328430201</v>
      </c>
      <c r="R539" s="247">
        <v>15.035754203796399</v>
      </c>
      <c r="S539" s="247">
        <v>15.3131446838379</v>
      </c>
      <c r="T539" s="247">
        <v>15.467190742492701</v>
      </c>
      <c r="U539" s="247">
        <v>15.608844757080099</v>
      </c>
      <c r="V539" s="247">
        <v>15.623446464538601</v>
      </c>
      <c r="W539" s="247">
        <v>15.6070909500122</v>
      </c>
      <c r="X539" s="247">
        <v>15.6627254486084</v>
      </c>
      <c r="Y539" s="247">
        <v>15.7515544891357</v>
      </c>
      <c r="Z539" s="279">
        <f>Y539+($AI$369-$Y$539)/10</f>
        <v>15.681619149325263</v>
      </c>
    </row>
    <row r="540" spans="1:71" x14ac:dyDescent="0.25">
      <c r="A540" s="243" t="s">
        <v>426</v>
      </c>
      <c r="B540" s="247" t="s">
        <v>426</v>
      </c>
      <c r="C540" s="247" t="s">
        <v>426</v>
      </c>
      <c r="D540" s="247" t="s">
        <v>426</v>
      </c>
      <c r="E540" s="247" t="s">
        <v>426</v>
      </c>
      <c r="F540" s="247" t="s">
        <v>426</v>
      </c>
      <c r="G540" s="247" t="s">
        <v>426</v>
      </c>
      <c r="H540" s="247" t="s">
        <v>426</v>
      </c>
      <c r="I540" s="247" t="s">
        <v>426</v>
      </c>
      <c r="J540" s="247" t="s">
        <v>426</v>
      </c>
      <c r="K540" s="247" t="s">
        <v>426</v>
      </c>
      <c r="L540" s="247" t="s">
        <v>426</v>
      </c>
      <c r="M540" s="247" t="s">
        <v>426</v>
      </c>
      <c r="N540" s="247" t="s">
        <v>426</v>
      </c>
      <c r="O540" s="247" t="s">
        <v>426</v>
      </c>
      <c r="P540" s="247" t="s">
        <v>426</v>
      </c>
      <c r="Q540" s="247" t="s">
        <v>426</v>
      </c>
      <c r="R540" s="247" t="s">
        <v>426</v>
      </c>
      <c r="S540" s="247" t="s">
        <v>426</v>
      </c>
      <c r="T540" s="247" t="s">
        <v>426</v>
      </c>
      <c r="U540" s="247" t="s">
        <v>426</v>
      </c>
      <c r="V540" s="247" t="s">
        <v>426</v>
      </c>
      <c r="W540" s="247" t="s">
        <v>426</v>
      </c>
      <c r="X540" s="247" t="s">
        <v>426</v>
      </c>
      <c r="Y540" s="247" t="s">
        <v>426</v>
      </c>
    </row>
    <row r="541" spans="1:71" x14ac:dyDescent="0.25">
      <c r="A541" s="243" t="s">
        <v>473</v>
      </c>
      <c r="B541" s="247">
        <v>10.068477630615201</v>
      </c>
      <c r="C541" s="247">
        <v>11.4567165374756</v>
      </c>
      <c r="D541" s="247">
        <v>12.984972000122101</v>
      </c>
      <c r="E541" s="247">
        <v>12.646059036254901</v>
      </c>
      <c r="F541" s="247">
        <v>12.0215864181519</v>
      </c>
      <c r="G541" s="247">
        <v>11.451254844665501</v>
      </c>
      <c r="H541" s="247">
        <v>11.2903280258179</v>
      </c>
      <c r="I541" s="247">
        <v>11.054517745971699</v>
      </c>
      <c r="J541" s="247">
        <v>10.953487396240201</v>
      </c>
      <c r="K541" s="247">
        <v>10.9616088867188</v>
      </c>
      <c r="L541" s="247">
        <v>10.9120273590088</v>
      </c>
      <c r="M541" s="247">
        <v>10.9370317459106</v>
      </c>
      <c r="N541" s="247">
        <v>10.932166099548301</v>
      </c>
      <c r="O541" s="247">
        <v>10.949841499328601</v>
      </c>
      <c r="P541" s="247">
        <v>10.9948740005493</v>
      </c>
      <c r="Q541" s="247">
        <v>11.046938896179199</v>
      </c>
      <c r="R541" s="247">
        <v>11.074780464172401</v>
      </c>
      <c r="S541" s="247">
        <v>11.117128372192401</v>
      </c>
      <c r="T541" s="247">
        <v>11.155697822570801</v>
      </c>
      <c r="U541" s="247">
        <v>11.209436416626</v>
      </c>
      <c r="V541" s="247">
        <v>11.2737817764282</v>
      </c>
      <c r="W541" s="247">
        <v>11.3331050872803</v>
      </c>
      <c r="X541" s="247">
        <v>11.350456237793001</v>
      </c>
      <c r="Y541" s="247">
        <v>11.462995529174799</v>
      </c>
    </row>
    <row r="542" spans="1:71" x14ac:dyDescent="0.25">
      <c r="A542" s="243" t="s">
        <v>469</v>
      </c>
      <c r="B542" s="247">
        <v>10.0396184921265</v>
      </c>
      <c r="C542" s="247">
        <v>11.4297380447388</v>
      </c>
      <c r="D542" s="247">
        <v>12.961000442504901</v>
      </c>
      <c r="E542" s="247">
        <v>12.6219329833984</v>
      </c>
      <c r="F542" s="247">
        <v>11.9984340667725</v>
      </c>
      <c r="G542" s="247">
        <v>11.4290685653687</v>
      </c>
      <c r="H542" s="247">
        <v>11.2685947418213</v>
      </c>
      <c r="I542" s="247">
        <v>11.0320892333984</v>
      </c>
      <c r="J542" s="247">
        <v>10.930870056152299</v>
      </c>
      <c r="K542" s="247">
        <v>10.938961982727101</v>
      </c>
      <c r="L542" s="247">
        <v>10.8886499404907</v>
      </c>
      <c r="M542" s="247">
        <v>10.913072586059601</v>
      </c>
      <c r="N542" s="247">
        <v>10.9073333740234</v>
      </c>
      <c r="O542" s="247">
        <v>10.9247722625732</v>
      </c>
      <c r="P542" s="247">
        <v>10.969937324523899</v>
      </c>
      <c r="Q542" s="247">
        <v>11.021965980529799</v>
      </c>
      <c r="R542" s="247">
        <v>11.049379348754901</v>
      </c>
      <c r="S542" s="247">
        <v>11.0911350250244</v>
      </c>
      <c r="T542" s="247">
        <v>11.129392623901399</v>
      </c>
      <c r="U542" s="247">
        <v>11.182910919189499</v>
      </c>
      <c r="V542" s="247">
        <v>11.247509956359901</v>
      </c>
      <c r="W542" s="247">
        <v>11.307147026061999</v>
      </c>
      <c r="X542" s="247">
        <v>11.324338912963899</v>
      </c>
      <c r="Y542" s="247">
        <v>11.436959266662599</v>
      </c>
    </row>
    <row r="543" spans="1:71" x14ac:dyDescent="0.25">
      <c r="A543" s="243" t="s">
        <v>461</v>
      </c>
      <c r="B543" s="247">
        <v>10.0409812927246</v>
      </c>
      <c r="C543" s="247">
        <v>11.431476593017599</v>
      </c>
      <c r="D543" s="247">
        <v>12.9638833999634</v>
      </c>
      <c r="E543" s="247">
        <v>12.6248769760132</v>
      </c>
      <c r="F543" s="247">
        <v>12.0015964508057</v>
      </c>
      <c r="G543" s="247">
        <v>11.432228088378899</v>
      </c>
      <c r="H543" s="247">
        <v>11.2722625732422</v>
      </c>
      <c r="I543" s="247">
        <v>11.0358724594116</v>
      </c>
      <c r="J543" s="247">
        <v>10.934929847717299</v>
      </c>
      <c r="K543" s="247">
        <v>10.9432172775269</v>
      </c>
      <c r="L543" s="247">
        <v>10.892875671386699</v>
      </c>
      <c r="M543" s="247">
        <v>10.9173030853271</v>
      </c>
      <c r="N543" s="247">
        <v>10.911340713501</v>
      </c>
      <c r="O543" s="247">
        <v>10.928663253784199</v>
      </c>
      <c r="P543" s="247">
        <v>10.9740562438965</v>
      </c>
      <c r="Q543" s="247">
        <v>11.026309967041</v>
      </c>
      <c r="R543" s="247">
        <v>11.0536193847656</v>
      </c>
      <c r="S543" s="247">
        <v>11.0952548980713</v>
      </c>
      <c r="T543" s="247">
        <v>11.1333513259888</v>
      </c>
      <c r="U543" s="247">
        <v>11.1867895126343</v>
      </c>
      <c r="V543" s="247">
        <v>11.251508712768601</v>
      </c>
      <c r="W543" s="247">
        <v>11.3113117218018</v>
      </c>
      <c r="X543" s="247">
        <v>11.328408241271999</v>
      </c>
      <c r="Y543" s="247">
        <v>11.4412240982056</v>
      </c>
    </row>
    <row r="544" spans="1:71" x14ac:dyDescent="0.25">
      <c r="A544" s="274" t="s">
        <v>474</v>
      </c>
      <c r="B544" s="247">
        <v>9.5535230636596697</v>
      </c>
      <c r="C544" s="247">
        <v>10.9202365875244</v>
      </c>
      <c r="D544" s="247">
        <v>12.0208587646484</v>
      </c>
      <c r="E544" s="247">
        <v>11.5461339950562</v>
      </c>
      <c r="F544" s="247">
        <v>11.286841392517101</v>
      </c>
      <c r="G544" s="247">
        <v>11.003821372985801</v>
      </c>
      <c r="H544" s="247">
        <v>10.8476676940918</v>
      </c>
      <c r="I544" s="247">
        <v>10.675346374511699</v>
      </c>
      <c r="J544" s="247">
        <v>10.7599039077759</v>
      </c>
      <c r="K544" s="247">
        <v>10.8244476318359</v>
      </c>
      <c r="L544" s="247">
        <v>10.807107925415</v>
      </c>
      <c r="M544" s="247">
        <v>10.788902282714799</v>
      </c>
      <c r="N544" s="247">
        <v>10.7359352111816</v>
      </c>
      <c r="O544" s="247">
        <v>10.7108716964722</v>
      </c>
      <c r="P544" s="247">
        <v>10.6978845596313</v>
      </c>
      <c r="Q544" s="247">
        <v>10.720422744751</v>
      </c>
      <c r="R544" s="247">
        <v>10.715018272399901</v>
      </c>
      <c r="S544" s="247">
        <v>10.7237329483032</v>
      </c>
      <c r="T544" s="247">
        <v>10.658562660217299</v>
      </c>
      <c r="U544" s="247">
        <v>10.6896152496338</v>
      </c>
      <c r="V544" s="247">
        <v>10.7133436203003</v>
      </c>
      <c r="W544" s="247">
        <v>10.6396188735962</v>
      </c>
      <c r="X544" s="247">
        <v>10.6814889907837</v>
      </c>
      <c r="Y544" s="247">
        <v>10.8466644287109</v>
      </c>
      <c r="Z544" s="281">
        <f>Y544+($AI$374-$Y$544)/10</f>
        <v>11.215393895691953</v>
      </c>
    </row>
    <row r="545" spans="1:26" x14ac:dyDescent="0.25">
      <c r="A545" s="243" t="s">
        <v>475</v>
      </c>
      <c r="B545" s="247">
        <v>6.0538434982299796</v>
      </c>
      <c r="C545" s="247">
        <v>6.4578518867492702</v>
      </c>
      <c r="D545" s="247">
        <v>8.1168746948242205</v>
      </c>
      <c r="E545" s="247">
        <v>7.6875572204589799</v>
      </c>
      <c r="F545" s="247">
        <v>7.0150871276855504</v>
      </c>
      <c r="G545" s="247">
        <v>6.5790328979492196</v>
      </c>
      <c r="H545" s="247">
        <v>6.5712537765502903</v>
      </c>
      <c r="I545" s="247">
        <v>6.42602443695068</v>
      </c>
      <c r="J545" s="247">
        <v>6.2476048469543501</v>
      </c>
      <c r="K545" s="247">
        <v>6.2184038162231401</v>
      </c>
      <c r="L545" s="247">
        <v>6.2436552047729501</v>
      </c>
      <c r="M545" s="247">
        <v>6.2858424186706499</v>
      </c>
      <c r="N545" s="247">
        <v>6.2737250328064</v>
      </c>
      <c r="O545" s="247">
        <v>6.2926135063171396</v>
      </c>
      <c r="P545" s="247">
        <v>6.3336305618286097</v>
      </c>
      <c r="Q545" s="247">
        <v>6.3623290061950701</v>
      </c>
      <c r="R545" s="247">
        <v>6.4419050216674796</v>
      </c>
      <c r="S545" s="247">
        <v>6.5377755165100098</v>
      </c>
      <c r="T545" s="247">
        <v>6.5789065361022896</v>
      </c>
      <c r="U545" s="247">
        <v>6.7034192085266104</v>
      </c>
      <c r="V545" s="247">
        <v>6.8036813735961896</v>
      </c>
      <c r="W545" s="247">
        <v>6.8691210746765101</v>
      </c>
      <c r="X545" s="247">
        <v>6.8930430412292498</v>
      </c>
      <c r="Y545" s="247">
        <v>6.9258189201354998</v>
      </c>
    </row>
    <row r="546" spans="1:26" x14ac:dyDescent="0.25">
      <c r="A546" s="274" t="s">
        <v>476</v>
      </c>
      <c r="B546" s="247">
        <v>11.3207235336304</v>
      </c>
      <c r="C546" s="247">
        <v>12.9284992218018</v>
      </c>
      <c r="D546" s="247">
        <v>14.6530704498291</v>
      </c>
      <c r="E546" s="247">
        <v>14.346965789794901</v>
      </c>
      <c r="F546" s="247">
        <v>13.634911537170399</v>
      </c>
      <c r="G546" s="247">
        <v>12.9354457855225</v>
      </c>
      <c r="H546" s="247">
        <v>12.7248182296753</v>
      </c>
      <c r="I546" s="247">
        <v>12.444727897644</v>
      </c>
      <c r="J546" s="247">
        <v>12.3216390609741</v>
      </c>
      <c r="K546" s="247">
        <v>12.333900451660201</v>
      </c>
      <c r="L546" s="247">
        <v>12.228641510009799</v>
      </c>
      <c r="M546" s="247">
        <v>12.2244319915771</v>
      </c>
      <c r="N546" s="247">
        <v>12.232741355896</v>
      </c>
      <c r="O546" s="247">
        <v>12.2594261169434</v>
      </c>
      <c r="P546" s="247">
        <v>12.3207359313965</v>
      </c>
      <c r="Q546" s="247">
        <v>12.3872022628784</v>
      </c>
      <c r="R546" s="247">
        <v>12.4125566482544</v>
      </c>
      <c r="S546" s="247">
        <v>12.451280593872101</v>
      </c>
      <c r="T546" s="247">
        <v>12.520702362060501</v>
      </c>
      <c r="U546" s="247">
        <v>12.5581102371216</v>
      </c>
      <c r="V546" s="247">
        <v>12.622034072876</v>
      </c>
      <c r="W546" s="247">
        <v>12.7203483581543</v>
      </c>
      <c r="X546" s="247">
        <v>12.7153625488281</v>
      </c>
      <c r="Y546" s="247">
        <v>12.8139133453369</v>
      </c>
      <c r="Z546" s="281">
        <f>Y546+($AI$376-$Y$546)/10</f>
        <v>13.239838295522954</v>
      </c>
    </row>
    <row r="547" spans="1:26" x14ac:dyDescent="0.25">
      <c r="A547" s="243" t="s">
        <v>467</v>
      </c>
      <c r="B547" s="247">
        <v>3.83150410652161</v>
      </c>
      <c r="C547" s="247">
        <v>4.4939312934875497</v>
      </c>
      <c r="D547" s="247">
        <v>4.5839381217956499</v>
      </c>
      <c r="E547" s="247">
        <v>4.8374905586242702</v>
      </c>
      <c r="F547" s="247">
        <v>4.5451078414917001</v>
      </c>
      <c r="G547" s="247">
        <v>4.1204147338867196</v>
      </c>
      <c r="H547" s="247">
        <v>3.9213058948516801</v>
      </c>
      <c r="I547" s="247">
        <v>3.7859048843383798</v>
      </c>
      <c r="J547" s="247">
        <v>3.7380118370056201</v>
      </c>
      <c r="K547" s="247">
        <v>3.79148626327515</v>
      </c>
      <c r="L547" s="247">
        <v>3.8454215526580802</v>
      </c>
      <c r="M547" s="247">
        <v>3.8996179103851301</v>
      </c>
      <c r="N547" s="247">
        <v>3.9557838439941402</v>
      </c>
      <c r="O547" s="247">
        <v>4.0096635818481401</v>
      </c>
      <c r="P547" s="247">
        <v>4.0587000846862802</v>
      </c>
      <c r="Q547" s="247">
        <v>4.1115031242370597</v>
      </c>
      <c r="R547" s="247">
        <v>4.1679596900939897</v>
      </c>
      <c r="S547" s="247">
        <v>4.2270021438598597</v>
      </c>
      <c r="T547" s="247">
        <v>4.2823433876037598</v>
      </c>
      <c r="U547" s="247">
        <v>4.3368558883667001</v>
      </c>
      <c r="V547" s="247">
        <v>4.3924484252929696</v>
      </c>
      <c r="W547" s="247">
        <v>4.4465680122375497</v>
      </c>
      <c r="X547" s="247">
        <v>4.5027370452880904</v>
      </c>
      <c r="Y547" s="247">
        <v>4.5619544982910201</v>
      </c>
    </row>
    <row r="548" spans="1:26" x14ac:dyDescent="0.25">
      <c r="A548" s="243" t="s">
        <v>477</v>
      </c>
      <c r="B548" s="247">
        <v>15.146578788757299</v>
      </c>
      <c r="C548" s="247">
        <v>16.654964447021499</v>
      </c>
      <c r="D548" s="247">
        <v>20.603065490722699</v>
      </c>
      <c r="E548" s="247">
        <v>20.419296264648398</v>
      </c>
      <c r="F548" s="247">
        <v>16.382719039916999</v>
      </c>
      <c r="G548" s="247">
        <v>15.8189392089844</v>
      </c>
      <c r="H548" s="247">
        <v>15.6014108657837</v>
      </c>
      <c r="I548" s="247">
        <v>15.311073303222701</v>
      </c>
      <c r="J548" s="247">
        <v>15.2448682785034</v>
      </c>
      <c r="K548" s="247">
        <v>15.179443359375</v>
      </c>
      <c r="L548" s="247">
        <v>15.2014074325562</v>
      </c>
      <c r="M548" s="247">
        <v>15.2481698989868</v>
      </c>
      <c r="N548" s="247">
        <v>15.181710243225099</v>
      </c>
      <c r="O548" s="247">
        <v>15.278540611267101</v>
      </c>
      <c r="P548" s="247">
        <v>15.3825387954712</v>
      </c>
      <c r="Q548" s="247">
        <v>15.370577812194799</v>
      </c>
      <c r="R548" s="247">
        <v>15.3893880844116</v>
      </c>
      <c r="S548" s="247">
        <v>15.510032653808601</v>
      </c>
      <c r="T548" s="247">
        <v>15.6597127914429</v>
      </c>
      <c r="U548" s="247">
        <v>15.774450302124</v>
      </c>
      <c r="V548" s="247">
        <v>15.847083091735801</v>
      </c>
      <c r="W548" s="247">
        <v>16.037206649780298</v>
      </c>
      <c r="X548" s="247">
        <v>16.107362747192401</v>
      </c>
      <c r="Y548" s="247">
        <v>16.244932174682599</v>
      </c>
    </row>
    <row r="549" spans="1:26" x14ac:dyDescent="0.25">
      <c r="A549" s="243" t="s">
        <v>478</v>
      </c>
      <c r="B549" s="247">
        <v>7.2317700386047399</v>
      </c>
      <c r="C549" s="247">
        <v>9.0444478988647496</v>
      </c>
      <c r="D549" s="247">
        <v>9.7142534255981392</v>
      </c>
      <c r="E549" s="247">
        <v>9.7951860427856392</v>
      </c>
      <c r="F549" s="247">
        <v>9.2951183319091797</v>
      </c>
      <c r="G549" s="247">
        <v>8.9833269119262695</v>
      </c>
      <c r="H549" s="247">
        <v>8.7195968627929705</v>
      </c>
      <c r="I549" s="247">
        <v>8.6326360702514595</v>
      </c>
      <c r="J549" s="247">
        <v>8.5613536834716797</v>
      </c>
      <c r="K549" s="247">
        <v>8.6190090179443395</v>
      </c>
      <c r="L549" s="247">
        <v>8.7080965042114293</v>
      </c>
      <c r="M549" s="247">
        <v>8.8271207809448207</v>
      </c>
      <c r="N549" s="247">
        <v>8.9910020828247106</v>
      </c>
      <c r="O549" s="247">
        <v>9.1132879257202095</v>
      </c>
      <c r="P549" s="247">
        <v>9.1042909622192401</v>
      </c>
      <c r="Q549" s="247">
        <v>9.1039905548095703</v>
      </c>
      <c r="R549" s="247">
        <v>9.2009325027465803</v>
      </c>
      <c r="S549" s="247">
        <v>9.3432521820068395</v>
      </c>
      <c r="T549" s="247">
        <v>9.4465293884277308</v>
      </c>
      <c r="U549" s="247">
        <v>9.5402717590331996</v>
      </c>
      <c r="V549" s="247">
        <v>9.5791873931884801</v>
      </c>
      <c r="W549" s="247">
        <v>9.5845136642456108</v>
      </c>
      <c r="X549" s="247">
        <v>9.6436891555786097</v>
      </c>
      <c r="Y549" s="247">
        <v>9.694091796875</v>
      </c>
    </row>
    <row r="550" spans="1:26" x14ac:dyDescent="0.25">
      <c r="A550" s="276" t="s">
        <v>483</v>
      </c>
      <c r="B550" s="247">
        <v>14.6543264389038</v>
      </c>
      <c r="C550" s="247">
        <v>16.232709884643601</v>
      </c>
      <c r="D550" s="247">
        <v>19.6646022796631</v>
      </c>
      <c r="E550" s="247">
        <v>19.5902194976807</v>
      </c>
      <c r="F550" s="247">
        <v>19.473403930664102</v>
      </c>
      <c r="G550" s="247">
        <v>18.312351226806602</v>
      </c>
      <c r="H550" s="247">
        <v>18.154972076416001</v>
      </c>
      <c r="I550" s="247">
        <v>17.744245529174801</v>
      </c>
      <c r="J550" s="247">
        <v>17.108533859252901</v>
      </c>
      <c r="K550" s="247">
        <v>16.985416412353501</v>
      </c>
      <c r="L550" s="247">
        <v>16.891477584838899</v>
      </c>
      <c r="M550" s="247">
        <v>17.106473922729499</v>
      </c>
      <c r="N550" s="247">
        <v>17.298709869384801</v>
      </c>
      <c r="O550" s="247">
        <v>17.370653152465799</v>
      </c>
      <c r="P550" s="247">
        <v>17.404756546020501</v>
      </c>
      <c r="Q550" s="247">
        <v>17.4316711425781</v>
      </c>
      <c r="R550" s="247">
        <v>17.495216369628899</v>
      </c>
      <c r="S550" s="247">
        <v>17.111986160278299</v>
      </c>
      <c r="T550" s="247">
        <v>17.221326828002901</v>
      </c>
      <c r="U550" s="247">
        <v>17.6731853485107</v>
      </c>
      <c r="V550" s="247">
        <v>17.676996231079102</v>
      </c>
      <c r="W550" s="247">
        <v>17.866504669189499</v>
      </c>
      <c r="X550" s="247">
        <v>17.993064880371101</v>
      </c>
      <c r="Y550" s="247">
        <v>18.128524780273398</v>
      </c>
      <c r="Z550" s="283">
        <f>Y550+($AI$380-$Y$550)/10</f>
        <v>18.036478922002154</v>
      </c>
    </row>
    <row r="551" spans="1:26" x14ac:dyDescent="0.25">
      <c r="A551" s="243" t="s">
        <v>465</v>
      </c>
      <c r="B551" s="247">
        <v>20.034517288208001</v>
      </c>
      <c r="C551" s="247">
        <v>20.636144638061499</v>
      </c>
      <c r="D551" s="247">
        <v>21.1998176574707</v>
      </c>
      <c r="E551" s="247">
        <v>20.923387527465799</v>
      </c>
      <c r="F551" s="247">
        <v>19.967187881469702</v>
      </c>
      <c r="G551" s="247">
        <v>19.089002609252901</v>
      </c>
      <c r="H551" s="247">
        <v>18.799640655517599</v>
      </c>
      <c r="I551" s="247">
        <v>18.828804016113299</v>
      </c>
      <c r="J551" s="247">
        <v>18.807792663574201</v>
      </c>
      <c r="K551" s="247">
        <v>18.831340789794901</v>
      </c>
      <c r="L551" s="247">
        <v>19.0241508483887</v>
      </c>
      <c r="M551" s="247">
        <v>19.232509613037099</v>
      </c>
      <c r="N551" s="247">
        <v>19.521226882934599</v>
      </c>
      <c r="O551" s="247">
        <v>19.590469360351602</v>
      </c>
      <c r="P551" s="247">
        <v>19.544775009155298</v>
      </c>
      <c r="Q551" s="247">
        <v>19.5792236328125</v>
      </c>
      <c r="R551" s="247">
        <v>19.706111907958999</v>
      </c>
      <c r="S551" s="247">
        <v>19.899772644043001</v>
      </c>
      <c r="T551" s="247">
        <v>19.988050460815401</v>
      </c>
      <c r="U551" s="247">
        <v>20.054973602294901</v>
      </c>
      <c r="V551" s="247">
        <v>19.979206085205099</v>
      </c>
      <c r="W551" s="247">
        <v>19.890190124511701</v>
      </c>
      <c r="X551" s="247">
        <v>19.9172687530518</v>
      </c>
      <c r="Y551" s="247">
        <v>19.9590148925781</v>
      </c>
    </row>
    <row r="552" spans="1:26" x14ac:dyDescent="0.25">
      <c r="A552" s="243" t="s">
        <v>426</v>
      </c>
      <c r="B552" s="247" t="s">
        <v>426</v>
      </c>
      <c r="C552" s="247" t="s">
        <v>426</v>
      </c>
      <c r="D552" s="247" t="s">
        <v>426</v>
      </c>
      <c r="E552" s="247" t="s">
        <v>426</v>
      </c>
      <c r="F552" s="247" t="s">
        <v>426</v>
      </c>
      <c r="G552" s="247" t="s">
        <v>426</v>
      </c>
      <c r="H552" s="247" t="s">
        <v>426</v>
      </c>
      <c r="I552" s="247" t="s">
        <v>426</v>
      </c>
      <c r="J552" s="247" t="s">
        <v>426</v>
      </c>
      <c r="K552" s="247" t="s">
        <v>426</v>
      </c>
      <c r="L552" s="247" t="s">
        <v>426</v>
      </c>
      <c r="M552" s="247" t="s">
        <v>426</v>
      </c>
      <c r="N552" s="247" t="s">
        <v>426</v>
      </c>
      <c r="O552" s="247" t="s">
        <v>426</v>
      </c>
      <c r="P552" s="247" t="s">
        <v>426</v>
      </c>
      <c r="Q552" s="247" t="s">
        <v>426</v>
      </c>
      <c r="R552" s="247" t="s">
        <v>426</v>
      </c>
      <c r="S552" s="247" t="s">
        <v>426</v>
      </c>
      <c r="T552" s="247" t="s">
        <v>426</v>
      </c>
      <c r="U552" s="247" t="s">
        <v>426</v>
      </c>
      <c r="V552" s="247" t="s">
        <v>426</v>
      </c>
      <c r="W552" s="247" t="s">
        <v>426</v>
      </c>
      <c r="X552" s="247" t="s">
        <v>426</v>
      </c>
      <c r="Y552" s="247" t="s">
        <v>426</v>
      </c>
    </row>
    <row r="553" spans="1:26" x14ac:dyDescent="0.25">
      <c r="A553" s="243" t="s">
        <v>484</v>
      </c>
      <c r="B553" s="247">
        <v>10.2607097625732</v>
      </c>
      <c r="C553" s="247">
        <v>11.4965677261353</v>
      </c>
      <c r="D553" s="247">
        <v>12.498481750488301</v>
      </c>
      <c r="E553" s="247">
        <v>12.3126974105835</v>
      </c>
      <c r="F553" s="247">
        <v>11.5857706069946</v>
      </c>
      <c r="G553" s="247">
        <v>11.0374755859375</v>
      </c>
      <c r="H553" s="247">
        <v>10.8027191162109</v>
      </c>
      <c r="I553" s="247">
        <v>10.6485815048218</v>
      </c>
      <c r="J553" s="247">
        <v>10.5555610656738</v>
      </c>
      <c r="K553" s="247">
        <v>10.564617156982401</v>
      </c>
      <c r="L553" s="247">
        <v>10.6249675750732</v>
      </c>
      <c r="M553" s="247">
        <v>10.7333173751831</v>
      </c>
      <c r="N553" s="247">
        <v>10.851320266723601</v>
      </c>
      <c r="O553" s="247">
        <v>10.9544372558594</v>
      </c>
      <c r="P553" s="247">
        <v>11.0046529769897</v>
      </c>
      <c r="Q553" s="247">
        <v>11.070010185241699</v>
      </c>
      <c r="R553" s="247">
        <v>11.175311088561999</v>
      </c>
      <c r="S553" s="247">
        <v>11.313448905944799</v>
      </c>
      <c r="T553" s="247">
        <v>11.4217777252197</v>
      </c>
      <c r="U553" s="247">
        <v>11.534593582153301</v>
      </c>
      <c r="V553" s="247">
        <v>11.6029949188232</v>
      </c>
      <c r="W553" s="247">
        <v>11.660957336425801</v>
      </c>
      <c r="X553" s="247">
        <v>11.7183265686035</v>
      </c>
      <c r="Y553" s="247">
        <v>11.827390670776399</v>
      </c>
    </row>
    <row r="554" spans="1:26" x14ac:dyDescent="0.25">
      <c r="A554" s="243" t="s">
        <v>469</v>
      </c>
      <c r="B554" s="247">
        <v>7.8488264083862296</v>
      </c>
      <c r="C554" s="247">
        <v>9.3171482086181605</v>
      </c>
      <c r="D554" s="247">
        <v>10.5270042419434</v>
      </c>
      <c r="E554" s="247">
        <v>10.2914838790894</v>
      </c>
      <c r="F554" s="247">
        <v>9.5772314071655291</v>
      </c>
      <c r="G554" s="247">
        <v>9.0944671630859393</v>
      </c>
      <c r="H554" s="247">
        <v>8.8957033157348597</v>
      </c>
      <c r="I554" s="247">
        <v>8.7092790603637695</v>
      </c>
      <c r="J554" s="247">
        <v>8.6138839721679705</v>
      </c>
      <c r="K554" s="247">
        <v>8.6225843429565394</v>
      </c>
      <c r="L554" s="247">
        <v>8.6363019943237305</v>
      </c>
      <c r="M554" s="247">
        <v>8.7009534835815394</v>
      </c>
      <c r="N554" s="247">
        <v>8.7555856704711896</v>
      </c>
      <c r="O554" s="247">
        <v>8.8331260681152308</v>
      </c>
      <c r="P554" s="247">
        <v>8.8750228881835902</v>
      </c>
      <c r="Q554" s="247">
        <v>8.9212465286254901</v>
      </c>
      <c r="R554" s="247">
        <v>8.9933633804321307</v>
      </c>
      <c r="S554" s="247">
        <v>9.0904560089111293</v>
      </c>
      <c r="T554" s="247">
        <v>9.1763067245483398</v>
      </c>
      <c r="U554" s="247">
        <v>9.2688179016113299</v>
      </c>
      <c r="V554" s="247">
        <v>9.3425512313842791</v>
      </c>
      <c r="W554" s="247">
        <v>9.4030828475952095</v>
      </c>
      <c r="X554" s="247">
        <v>9.4481410980224592</v>
      </c>
      <c r="Y554" s="247">
        <v>9.5455484390258807</v>
      </c>
    </row>
    <row r="555" spans="1:26" x14ac:dyDescent="0.25">
      <c r="A555" s="243" t="s">
        <v>465</v>
      </c>
      <c r="B555" s="247">
        <v>21.599882125854499</v>
      </c>
      <c r="C555" s="247">
        <v>21.735733032226602</v>
      </c>
      <c r="D555" s="247">
        <v>21.728578567504901</v>
      </c>
      <c r="E555" s="247">
        <v>21.659519195556602</v>
      </c>
      <c r="F555" s="247">
        <v>20.859115600585898</v>
      </c>
      <c r="G555" s="247">
        <v>19.947565078735401</v>
      </c>
      <c r="H555" s="247">
        <v>19.5044040679932</v>
      </c>
      <c r="I555" s="247">
        <v>19.468164443969702</v>
      </c>
      <c r="J555" s="247">
        <v>19.363897323608398</v>
      </c>
      <c r="K555" s="247">
        <v>19.340778350830099</v>
      </c>
      <c r="L555" s="247">
        <v>19.565423965454102</v>
      </c>
      <c r="M555" s="247">
        <v>19.829431533813501</v>
      </c>
      <c r="N555" s="247">
        <v>20.184032440185501</v>
      </c>
      <c r="O555" s="247">
        <v>20.348131179809599</v>
      </c>
      <c r="P555" s="247">
        <v>20.384618759155298</v>
      </c>
      <c r="Q555" s="247">
        <v>20.4941310882568</v>
      </c>
      <c r="R555" s="247">
        <v>20.6934413909912</v>
      </c>
      <c r="S555" s="247">
        <v>20.961088180541999</v>
      </c>
      <c r="T555" s="247">
        <v>21.1064147949219</v>
      </c>
      <c r="U555" s="247">
        <v>21.2582683563232</v>
      </c>
      <c r="V555" s="247">
        <v>21.2429523468018</v>
      </c>
      <c r="W555" s="247">
        <v>21.2300205230713</v>
      </c>
      <c r="X555" s="247">
        <v>21.277418136596701</v>
      </c>
      <c r="Y555" s="247">
        <v>21.3841457366943</v>
      </c>
    </row>
    <row r="556" spans="1:26" x14ac:dyDescent="0.25">
      <c r="A556" s="243" t="s">
        <v>426</v>
      </c>
      <c r="B556" s="247" t="s">
        <v>426</v>
      </c>
      <c r="C556" s="247" t="s">
        <v>426</v>
      </c>
      <c r="D556" s="247" t="s">
        <v>426</v>
      </c>
      <c r="E556" s="247" t="s">
        <v>426</v>
      </c>
      <c r="F556" s="247" t="s">
        <v>426</v>
      </c>
      <c r="G556" s="247" t="s">
        <v>426</v>
      </c>
      <c r="H556" s="247" t="s">
        <v>426</v>
      </c>
      <c r="I556" s="247" t="s">
        <v>426</v>
      </c>
      <c r="J556" s="247" t="s">
        <v>426</v>
      </c>
      <c r="K556" s="247" t="s">
        <v>426</v>
      </c>
      <c r="L556" s="247" t="s">
        <v>426</v>
      </c>
      <c r="M556" s="247" t="s">
        <v>426</v>
      </c>
      <c r="N556" s="247" t="s">
        <v>426</v>
      </c>
      <c r="O556" s="247" t="s">
        <v>426</v>
      </c>
      <c r="P556" s="247" t="s">
        <v>426</v>
      </c>
      <c r="Q556" s="247" t="s">
        <v>426</v>
      </c>
      <c r="R556" s="247" t="s">
        <v>426</v>
      </c>
      <c r="S556" s="247" t="s">
        <v>426</v>
      </c>
      <c r="T556" s="247" t="s">
        <v>426</v>
      </c>
      <c r="U556" s="247" t="s">
        <v>426</v>
      </c>
      <c r="V556" s="247" t="s">
        <v>426</v>
      </c>
      <c r="W556" s="247" t="s">
        <v>426</v>
      </c>
      <c r="X556" s="247" t="s">
        <v>426</v>
      </c>
      <c r="Y556" s="247" t="s">
        <v>426</v>
      </c>
    </row>
    <row r="557" spans="1:26" x14ac:dyDescent="0.25">
      <c r="A557" s="243" t="s">
        <v>485</v>
      </c>
      <c r="B557" s="247" t="s">
        <v>426</v>
      </c>
      <c r="C557" s="247" t="s">
        <v>426</v>
      </c>
      <c r="D557" s="247" t="s">
        <v>426</v>
      </c>
      <c r="E557" s="247" t="s">
        <v>426</v>
      </c>
      <c r="F557" s="247" t="s">
        <v>426</v>
      </c>
      <c r="G557" s="247" t="s">
        <v>426</v>
      </c>
      <c r="H557" s="247" t="s">
        <v>426</v>
      </c>
      <c r="I557" s="247" t="s">
        <v>426</v>
      </c>
      <c r="J557" s="247" t="s">
        <v>426</v>
      </c>
      <c r="K557" s="247" t="s">
        <v>426</v>
      </c>
      <c r="L557" s="247" t="s">
        <v>426</v>
      </c>
      <c r="M557" s="247" t="s">
        <v>426</v>
      </c>
      <c r="N557" s="247" t="s">
        <v>426</v>
      </c>
      <c r="O557" s="247" t="s">
        <v>426</v>
      </c>
      <c r="P557" s="247" t="s">
        <v>426</v>
      </c>
      <c r="Q557" s="247" t="s">
        <v>426</v>
      </c>
      <c r="R557" s="247" t="s">
        <v>426</v>
      </c>
      <c r="S557" s="247" t="s">
        <v>426</v>
      </c>
      <c r="T557" s="247" t="s">
        <v>426</v>
      </c>
      <c r="U557" s="247" t="s">
        <v>426</v>
      </c>
      <c r="V557" s="247" t="s">
        <v>426</v>
      </c>
      <c r="W557" s="247" t="s">
        <v>426</v>
      </c>
      <c r="X557" s="247" t="s">
        <v>426</v>
      </c>
      <c r="Y557" s="247" t="s">
        <v>426</v>
      </c>
    </row>
    <row r="558" spans="1:26" x14ac:dyDescent="0.25">
      <c r="A558" s="243" t="s">
        <v>486</v>
      </c>
      <c r="B558" s="247">
        <v>1.8996955156326301</v>
      </c>
      <c r="C558" s="247">
        <v>2.2409727573394802</v>
      </c>
      <c r="D558" s="247">
        <v>2.4238619804382302</v>
      </c>
      <c r="E558" s="247">
        <v>2.3792355060577401</v>
      </c>
      <c r="F558" s="247">
        <v>2.2243471145629901</v>
      </c>
      <c r="G558" s="247">
        <v>2.11745405197144</v>
      </c>
      <c r="H558" s="247">
        <v>2.0720956325531001</v>
      </c>
      <c r="I558" s="247">
        <v>2.06648945808411</v>
      </c>
      <c r="J558" s="247">
        <v>2.0576293468475302</v>
      </c>
      <c r="K558" s="247">
        <v>2.0898380279540998</v>
      </c>
      <c r="L558" s="247">
        <v>2.13185787200928</v>
      </c>
      <c r="M558" s="247">
        <v>2.1827101707458501</v>
      </c>
      <c r="N558" s="247">
        <v>2.2442750930786102</v>
      </c>
      <c r="O558" s="247">
        <v>2.2846662998199498</v>
      </c>
      <c r="P558" s="247">
        <v>2.2886507511138898</v>
      </c>
      <c r="Q558" s="247">
        <v>2.31255102157593</v>
      </c>
      <c r="R558" s="247">
        <v>2.3658699989318799</v>
      </c>
      <c r="S558" s="247">
        <v>2.41897773742676</v>
      </c>
      <c r="T558" s="247">
        <v>2.4451649188995401</v>
      </c>
      <c r="U558" s="247">
        <v>2.4616906642913801</v>
      </c>
      <c r="V558" s="247">
        <v>2.4596512317657502</v>
      </c>
      <c r="W558" s="247">
        <v>2.4499151706695601</v>
      </c>
      <c r="X558" s="247">
        <v>2.46315670013428</v>
      </c>
      <c r="Y558" s="247">
        <v>2.4591720104217498</v>
      </c>
    </row>
    <row r="559" spans="1:26" x14ac:dyDescent="0.25">
      <c r="A559" s="243" t="s">
        <v>488</v>
      </c>
      <c r="B559" s="247">
        <v>4.3748912811279297</v>
      </c>
      <c r="C559" s="247">
        <v>5.2786889076232901</v>
      </c>
      <c r="D559" s="247">
        <v>5.9517397880554199</v>
      </c>
      <c r="E559" s="247">
        <v>5.8145914077758798</v>
      </c>
      <c r="F559" s="247">
        <v>5.36482858657837</v>
      </c>
      <c r="G559" s="247">
        <v>4.9555935859680202</v>
      </c>
      <c r="H559" s="247">
        <v>4.76583051681519</v>
      </c>
      <c r="I559" s="247">
        <v>4.6106519699096697</v>
      </c>
      <c r="J559" s="247">
        <v>4.5544371604919398</v>
      </c>
      <c r="K559" s="247">
        <v>4.5760931968689</v>
      </c>
      <c r="L559" s="247">
        <v>4.6005949974060103</v>
      </c>
      <c r="M559" s="247">
        <v>4.65545606613159</v>
      </c>
      <c r="N559" s="247">
        <v>4.7050404548645002</v>
      </c>
      <c r="O559" s="247">
        <v>4.76641750335693</v>
      </c>
      <c r="P559" s="247">
        <v>4.8219771385192898</v>
      </c>
      <c r="Q559" s="247">
        <v>4.8744759559631303</v>
      </c>
      <c r="R559" s="247">
        <v>4.9555630683898899</v>
      </c>
      <c r="S559" s="247">
        <v>5.0235657691955602</v>
      </c>
      <c r="T559" s="247">
        <v>5.0990805625915501</v>
      </c>
      <c r="U559" s="247">
        <v>5.1768889427185103</v>
      </c>
      <c r="V559" s="247">
        <v>5.2447147369384801</v>
      </c>
      <c r="W559" s="247">
        <v>5.3197603225707999</v>
      </c>
      <c r="X559" s="247">
        <v>5.3696103096008301</v>
      </c>
      <c r="Y559" s="247">
        <v>5.4173326492309597</v>
      </c>
    </row>
    <row r="560" spans="1:26" x14ac:dyDescent="0.25">
      <c r="A560" s="243" t="s">
        <v>462</v>
      </c>
      <c r="B560" s="247">
        <v>5.6938004493713397</v>
      </c>
      <c r="C560" s="247">
        <v>6.4773354530334499</v>
      </c>
      <c r="D560" s="247">
        <v>7.1750502586364702</v>
      </c>
      <c r="E560" s="247">
        <v>6.8899459838867196</v>
      </c>
      <c r="F560" s="247">
        <v>6.2672758102417001</v>
      </c>
      <c r="G560" s="247">
        <v>5.8609590530395499</v>
      </c>
      <c r="H560" s="247">
        <v>5.6430783271789604</v>
      </c>
      <c r="I560" s="247">
        <v>5.4534807205200204</v>
      </c>
      <c r="J560" s="247">
        <v>5.3617582321167001</v>
      </c>
      <c r="K560" s="247">
        <v>5.3288640975952104</v>
      </c>
      <c r="L560" s="247">
        <v>5.3712139129638699</v>
      </c>
      <c r="M560" s="247">
        <v>5.41644287109375</v>
      </c>
      <c r="N560" s="247">
        <v>5.4747476577758798</v>
      </c>
      <c r="O560" s="247">
        <v>5.5268063545227104</v>
      </c>
      <c r="P560" s="247">
        <v>5.5894103050231898</v>
      </c>
      <c r="Q560" s="247">
        <v>5.6297807693481401</v>
      </c>
      <c r="R560" s="247">
        <v>5.7926478385925302</v>
      </c>
      <c r="S560" s="247">
        <v>5.9167857170104998</v>
      </c>
      <c r="T560" s="247">
        <v>6.0082931518554696</v>
      </c>
      <c r="U560" s="247">
        <v>6.11431789398193</v>
      </c>
      <c r="V560" s="247">
        <v>6.21482229232788</v>
      </c>
      <c r="W560" s="247">
        <v>6.2930455207824698</v>
      </c>
      <c r="X560" s="247">
        <v>6.3174986839294398</v>
      </c>
      <c r="Y560" s="247">
        <v>6.3298768997192401</v>
      </c>
    </row>
    <row r="561" spans="1:26" x14ac:dyDescent="0.25">
      <c r="A561" s="243" t="s">
        <v>467</v>
      </c>
      <c r="B561" s="247">
        <v>3.9850425720214799</v>
      </c>
      <c r="C561" s="247">
        <v>4.7911210060119602</v>
      </c>
      <c r="D561" s="247">
        <v>5.5054435729980504</v>
      </c>
      <c r="E561" s="247">
        <v>5.3836607933044398</v>
      </c>
      <c r="F561" s="247">
        <v>4.9928164482116699</v>
      </c>
      <c r="G561" s="247">
        <v>4.5735058784484899</v>
      </c>
      <c r="H561" s="247">
        <v>4.37508344650269</v>
      </c>
      <c r="I561" s="247">
        <v>4.2357888221740696</v>
      </c>
      <c r="J561" s="247">
        <v>4.1871180534362802</v>
      </c>
      <c r="K561" s="247">
        <v>4.2367839813232404</v>
      </c>
      <c r="L561" s="247">
        <v>4.2823972702026403</v>
      </c>
      <c r="M561" s="247">
        <v>4.3351020812988299</v>
      </c>
      <c r="N561" s="247">
        <v>4.38077735900879</v>
      </c>
      <c r="O561" s="247">
        <v>4.4392328262329102</v>
      </c>
      <c r="P561" s="247">
        <v>4.4927945137023899</v>
      </c>
      <c r="Q561" s="247">
        <v>4.5466628074645996</v>
      </c>
      <c r="R561" s="247">
        <v>4.5988087654113796</v>
      </c>
      <c r="S561" s="247">
        <v>4.6550941467285201</v>
      </c>
      <c r="T561" s="247">
        <v>4.7130184173584002</v>
      </c>
      <c r="U561" s="247">
        <v>4.7694864273071298</v>
      </c>
      <c r="V561" s="247">
        <v>4.8261427879333496</v>
      </c>
      <c r="W561" s="247">
        <v>4.8835220336914098</v>
      </c>
      <c r="X561" s="247">
        <v>4.9410810470581099</v>
      </c>
      <c r="Y561" s="247">
        <v>5.0030183792114302</v>
      </c>
    </row>
    <row r="562" spans="1:26" x14ac:dyDescent="0.25">
      <c r="A562" s="268" t="s">
        <v>464</v>
      </c>
      <c r="B562" s="247">
        <v>3.6857740879058798</v>
      </c>
      <c r="C562" s="247">
        <v>5.4593739509582502</v>
      </c>
      <c r="D562" s="247">
        <v>5.9836626052856401</v>
      </c>
      <c r="E562" s="247">
        <v>5.9217834472656303</v>
      </c>
      <c r="F562" s="247">
        <v>5.2677536010742196</v>
      </c>
      <c r="G562" s="247">
        <v>4.83196926116943</v>
      </c>
      <c r="H562" s="247">
        <v>4.4959845542907697</v>
      </c>
      <c r="I562" s="247">
        <v>4.3869647979736301</v>
      </c>
      <c r="J562" s="247">
        <v>4.2738447189331099</v>
      </c>
      <c r="K562" s="247">
        <v>4.3073697090148899</v>
      </c>
      <c r="L562" s="247">
        <v>4.4138617515564</v>
      </c>
      <c r="M562" s="247">
        <v>4.5377993583679199</v>
      </c>
      <c r="N562" s="247">
        <v>4.6997785568237296</v>
      </c>
      <c r="O562" s="247">
        <v>4.8059244155883798</v>
      </c>
      <c r="P562" s="247">
        <v>4.7723231315612802</v>
      </c>
      <c r="Q562" s="247">
        <v>4.7962751388549796</v>
      </c>
      <c r="R562" s="247">
        <v>4.93237209320068</v>
      </c>
      <c r="S562" s="247">
        <v>5.0951194763183603</v>
      </c>
      <c r="T562" s="247">
        <v>5.2029786109924299</v>
      </c>
      <c r="U562" s="247">
        <v>5.2939982414245597</v>
      </c>
      <c r="V562" s="247">
        <v>5.3285460472106898</v>
      </c>
      <c r="W562" s="247">
        <v>5.3187093734741202</v>
      </c>
      <c r="X562" s="247">
        <v>5.3844461441040004</v>
      </c>
      <c r="Y562" s="247">
        <v>5.4420223236084002</v>
      </c>
      <c r="Z562" s="277">
        <f>Y562+($AI$392-$Y$562)/10</f>
        <v>5.4722581683132612</v>
      </c>
    </row>
    <row r="563" spans="1:26" x14ac:dyDescent="0.25">
      <c r="A563" s="272" t="s">
        <v>472</v>
      </c>
      <c r="B563" s="247">
        <v>1.2699717283248899</v>
      </c>
      <c r="C563" s="247">
        <v>1.27919089794159</v>
      </c>
      <c r="D563" s="247">
        <v>1.2833664417266799</v>
      </c>
      <c r="E563" s="247">
        <v>1.28942894935608</v>
      </c>
      <c r="F563" s="247">
        <v>1.29215919971466</v>
      </c>
      <c r="G563" s="247">
        <v>1.28011155128479</v>
      </c>
      <c r="H563" s="247">
        <v>1.2771430015564</v>
      </c>
      <c r="I563" s="247">
        <v>1.2664887905120801</v>
      </c>
      <c r="J563" s="247">
        <v>1.2516112327575699</v>
      </c>
      <c r="K563" s="247">
        <v>1.2440552711486801</v>
      </c>
      <c r="L563" s="247">
        <v>1.2386393547058101</v>
      </c>
      <c r="M563" s="247">
        <v>1.23525643348694</v>
      </c>
      <c r="N563" s="247">
        <v>1.23468470573425</v>
      </c>
      <c r="O563" s="247">
        <v>1.2341449260711701</v>
      </c>
      <c r="P563" s="247">
        <v>1.23174548149109</v>
      </c>
      <c r="Q563" s="247">
        <v>1.2347780466079701</v>
      </c>
      <c r="R563" s="247">
        <v>1.23870933055878</v>
      </c>
      <c r="S563" s="247">
        <v>1.2427853345871001</v>
      </c>
      <c r="T563" s="247">
        <v>1.24646520614624</v>
      </c>
      <c r="U563" s="247">
        <v>1.2552444934845</v>
      </c>
      <c r="V563" s="247">
        <v>1.26424860954285</v>
      </c>
      <c r="W563" s="247">
        <v>1.2944931983947801</v>
      </c>
      <c r="X563" s="247">
        <v>1.3030458688736</v>
      </c>
      <c r="Y563" s="247">
        <v>1.30599772930145</v>
      </c>
      <c r="Z563" s="285">
        <f>Y563+($AI$393-$Y$563)/10</f>
        <v>1.3088234854404943</v>
      </c>
    </row>
    <row r="564" spans="1:26" x14ac:dyDescent="0.25">
      <c r="A564" s="243" t="s">
        <v>426</v>
      </c>
      <c r="B564" s="247" t="s">
        <v>426</v>
      </c>
      <c r="C564" s="247" t="s">
        <v>426</v>
      </c>
      <c r="D564" s="247" t="s">
        <v>426</v>
      </c>
      <c r="E564" s="247" t="s">
        <v>426</v>
      </c>
      <c r="F564" s="247" t="s">
        <v>426</v>
      </c>
      <c r="G564" s="247" t="s">
        <v>426</v>
      </c>
      <c r="H564" s="247" t="s">
        <v>426</v>
      </c>
      <c r="I564" s="247" t="s">
        <v>426</v>
      </c>
      <c r="J564" s="247" t="s">
        <v>426</v>
      </c>
      <c r="K564" s="247" t="s">
        <v>426</v>
      </c>
      <c r="L564" s="247" t="s">
        <v>426</v>
      </c>
      <c r="M564" s="247" t="s">
        <v>426</v>
      </c>
      <c r="N564" s="247" t="s">
        <v>426</v>
      </c>
      <c r="O564" s="247" t="s">
        <v>426</v>
      </c>
      <c r="P564" s="247" t="s">
        <v>426</v>
      </c>
      <c r="Q564" s="247" t="s">
        <v>426</v>
      </c>
      <c r="R564" s="247" t="s">
        <v>426</v>
      </c>
      <c r="S564" s="247" t="s">
        <v>426</v>
      </c>
      <c r="T564" s="247" t="s">
        <v>426</v>
      </c>
      <c r="U564" s="247" t="s">
        <v>426</v>
      </c>
      <c r="V564" s="247" t="s">
        <v>426</v>
      </c>
      <c r="W564" s="247" t="s">
        <v>426</v>
      </c>
      <c r="X564" s="247" t="s">
        <v>426</v>
      </c>
      <c r="Y564" s="247" t="s">
        <v>426</v>
      </c>
    </row>
    <row r="565" spans="1:26" x14ac:dyDescent="0.25">
      <c r="A565" s="243" t="s">
        <v>489</v>
      </c>
      <c r="B565" s="247" t="s">
        <v>426</v>
      </c>
      <c r="C565" s="247" t="s">
        <v>426</v>
      </c>
      <c r="D565" s="247" t="s">
        <v>426</v>
      </c>
      <c r="E565" s="247" t="s">
        <v>426</v>
      </c>
      <c r="F565" s="247" t="s">
        <v>426</v>
      </c>
      <c r="G565" s="247" t="s">
        <v>426</v>
      </c>
      <c r="H565" s="247" t="s">
        <v>426</v>
      </c>
      <c r="I565" s="247" t="s">
        <v>426</v>
      </c>
      <c r="J565" s="247" t="s">
        <v>426</v>
      </c>
      <c r="K565" s="247" t="s">
        <v>426</v>
      </c>
      <c r="L565" s="247" t="s">
        <v>426</v>
      </c>
      <c r="M565" s="247" t="s">
        <v>426</v>
      </c>
      <c r="N565" s="247" t="s">
        <v>426</v>
      </c>
      <c r="O565" s="247" t="s">
        <v>426</v>
      </c>
      <c r="P565" s="247" t="s">
        <v>426</v>
      </c>
      <c r="Q565" s="247" t="s">
        <v>426</v>
      </c>
      <c r="R565" s="247" t="s">
        <v>426</v>
      </c>
      <c r="S565" s="247" t="s">
        <v>426</v>
      </c>
      <c r="T565" s="247" t="s">
        <v>426</v>
      </c>
      <c r="U565" s="247" t="s">
        <v>426</v>
      </c>
      <c r="V565" s="247" t="s">
        <v>426</v>
      </c>
      <c r="W565" s="247" t="s">
        <v>426</v>
      </c>
      <c r="X565" s="247" t="s">
        <v>426</v>
      </c>
      <c r="Y565" s="247" t="s">
        <v>426</v>
      </c>
    </row>
    <row r="566" spans="1:26" x14ac:dyDescent="0.25">
      <c r="A566" s="243" t="s">
        <v>490</v>
      </c>
      <c r="B566" s="247">
        <v>9.0916013717651403</v>
      </c>
      <c r="C566" s="247">
        <v>10.5092258453369</v>
      </c>
      <c r="D566" s="247">
        <v>12.005053520202599</v>
      </c>
      <c r="E566" s="247">
        <v>11.630154609680201</v>
      </c>
      <c r="F566" s="247">
        <v>10.867414474487299</v>
      </c>
      <c r="G566" s="247">
        <v>10.341483116149901</v>
      </c>
      <c r="H566" s="247">
        <v>10.206826210021999</v>
      </c>
      <c r="I566" s="247">
        <v>9.9809312820434606</v>
      </c>
      <c r="J566" s="247">
        <v>9.9117403030395508</v>
      </c>
      <c r="K566" s="247">
        <v>9.9329805374145508</v>
      </c>
      <c r="L566" s="247">
        <v>9.9184780120849592</v>
      </c>
      <c r="M566" s="247">
        <v>9.9575662612915004</v>
      </c>
      <c r="N566" s="247">
        <v>9.9538516998290998</v>
      </c>
      <c r="O566" s="247">
        <v>10.000968933105501</v>
      </c>
      <c r="P566" s="247">
        <v>10.066521644592299</v>
      </c>
      <c r="Q566" s="247">
        <v>10.122728347778301</v>
      </c>
      <c r="R566" s="247">
        <v>10.166119575500501</v>
      </c>
      <c r="S566" s="247">
        <v>10.2242088317871</v>
      </c>
      <c r="T566" s="247">
        <v>10.2887620925903</v>
      </c>
      <c r="U566" s="247">
        <v>10.370365142822299</v>
      </c>
      <c r="V566" s="247">
        <v>10.451409339904799</v>
      </c>
      <c r="W566" s="247">
        <v>10.528607368469199</v>
      </c>
      <c r="X566" s="247">
        <v>10.560112953186</v>
      </c>
      <c r="Y566" s="247">
        <v>10.6600894927979</v>
      </c>
    </row>
    <row r="567" spans="1:26" x14ac:dyDescent="0.25">
      <c r="A567" s="243" t="s">
        <v>491</v>
      </c>
      <c r="B567" s="247">
        <v>8.7129955291747994</v>
      </c>
      <c r="C567" s="247">
        <v>9.89868068695068</v>
      </c>
      <c r="D567" s="247">
        <v>10.9323616027832</v>
      </c>
      <c r="E567" s="247">
        <v>10.516496658325201</v>
      </c>
      <c r="F567" s="247">
        <v>10.0722150802612</v>
      </c>
      <c r="G567" s="247">
        <v>9.7644062042236293</v>
      </c>
      <c r="H567" s="247">
        <v>9.6708259582519496</v>
      </c>
      <c r="I567" s="247">
        <v>9.5059432983398402</v>
      </c>
      <c r="J567" s="247">
        <v>9.5328626632690394</v>
      </c>
      <c r="K567" s="247">
        <v>9.6073579788208008</v>
      </c>
      <c r="L567" s="247">
        <v>9.6717586517334002</v>
      </c>
      <c r="M567" s="247">
        <v>9.7472448348999006</v>
      </c>
      <c r="N567" s="247">
        <v>9.7227439880371094</v>
      </c>
      <c r="O567" s="247">
        <v>9.7185726165771502</v>
      </c>
      <c r="P567" s="247">
        <v>9.7264575958252006</v>
      </c>
      <c r="Q567" s="247">
        <v>9.7659683227539098</v>
      </c>
      <c r="R567" s="247">
        <v>9.7933034896850604</v>
      </c>
      <c r="S567" s="247">
        <v>9.8243274688720703</v>
      </c>
      <c r="T567" s="247">
        <v>9.7878532409668004</v>
      </c>
      <c r="U567" s="247">
        <v>9.8349857330322301</v>
      </c>
      <c r="V567" s="247">
        <v>9.8761272430419904</v>
      </c>
      <c r="W567" s="247">
        <v>9.8313732147216797</v>
      </c>
      <c r="X567" s="247">
        <v>9.8799133300781303</v>
      </c>
      <c r="Y567" s="247">
        <v>10.0311069488525</v>
      </c>
    </row>
    <row r="568" spans="1:26" x14ac:dyDescent="0.25">
      <c r="A568" s="243" t="s">
        <v>492</v>
      </c>
      <c r="B568" s="247">
        <v>6.0538434982299796</v>
      </c>
      <c r="C568" s="247">
        <v>6.4578518867492702</v>
      </c>
      <c r="D568" s="247">
        <v>8.1168746948242205</v>
      </c>
      <c r="E568" s="247">
        <v>7.6875572204589799</v>
      </c>
      <c r="F568" s="247">
        <v>7.0150871276855504</v>
      </c>
      <c r="G568" s="247">
        <v>6.5790328979492196</v>
      </c>
      <c r="H568" s="247">
        <v>6.5712537765502903</v>
      </c>
      <c r="I568" s="247">
        <v>6.42602443695068</v>
      </c>
      <c r="J568" s="247">
        <v>6.2476048469543501</v>
      </c>
      <c r="K568" s="247">
        <v>6.2184038162231401</v>
      </c>
      <c r="L568" s="247">
        <v>6.2436552047729501</v>
      </c>
      <c r="M568" s="247">
        <v>6.2858424186706499</v>
      </c>
      <c r="N568" s="247">
        <v>6.2737250328064</v>
      </c>
      <c r="O568" s="247">
        <v>6.2926135063171396</v>
      </c>
      <c r="P568" s="247">
        <v>6.3336305618286097</v>
      </c>
      <c r="Q568" s="247">
        <v>6.3623290061950701</v>
      </c>
      <c r="R568" s="247">
        <v>6.4419050216674796</v>
      </c>
      <c r="S568" s="247">
        <v>6.5377755165100098</v>
      </c>
      <c r="T568" s="247">
        <v>6.5789065361022896</v>
      </c>
      <c r="U568" s="247">
        <v>6.7034192085266104</v>
      </c>
      <c r="V568" s="247">
        <v>6.8036813735961896</v>
      </c>
      <c r="W568" s="247">
        <v>6.8691210746765101</v>
      </c>
      <c r="X568" s="247">
        <v>6.8930430412292498</v>
      </c>
      <c r="Y568" s="247">
        <v>6.9258189201354998</v>
      </c>
    </row>
    <row r="569" spans="1:26" x14ac:dyDescent="0.25">
      <c r="A569" s="243" t="s">
        <v>493</v>
      </c>
      <c r="B569" s="247">
        <v>9.5166797637939506</v>
      </c>
      <c r="C569" s="247">
        <v>13.0396432876587</v>
      </c>
      <c r="D569" s="247">
        <v>15.6858806610107</v>
      </c>
      <c r="E569" s="247">
        <v>14.0742273330688</v>
      </c>
      <c r="F569" s="247">
        <v>12.086350440979</v>
      </c>
      <c r="G569" s="247">
        <v>11.4653730392456</v>
      </c>
      <c r="H569" s="247">
        <v>11.285403251647899</v>
      </c>
      <c r="I569" s="247">
        <v>11.0092105865479</v>
      </c>
      <c r="J569" s="247">
        <v>10.989564895629901</v>
      </c>
      <c r="K569" s="247">
        <v>10.925596237182599</v>
      </c>
      <c r="L569" s="247">
        <v>10.987684249877899</v>
      </c>
      <c r="M569" s="247">
        <v>11.0838632583618</v>
      </c>
      <c r="N569" s="247">
        <v>11.0187425613403</v>
      </c>
      <c r="O569" s="247">
        <v>11.2084665298462</v>
      </c>
      <c r="P569" s="247">
        <v>11.3385829925537</v>
      </c>
      <c r="Q569" s="247">
        <v>11.336560249328601</v>
      </c>
      <c r="R569" s="247">
        <v>11.412732124328601</v>
      </c>
      <c r="S569" s="247">
        <v>11.5561437606812</v>
      </c>
      <c r="T569" s="247">
        <v>11.7385349273682</v>
      </c>
      <c r="U569" s="247">
        <v>11.9240121841431</v>
      </c>
      <c r="V569" s="247">
        <v>12.033415794372599</v>
      </c>
      <c r="W569" s="247">
        <v>12.184607505798301</v>
      </c>
      <c r="X569" s="247">
        <v>12.2847499847412</v>
      </c>
      <c r="Y569" s="247">
        <v>12.335958480835</v>
      </c>
    </row>
    <row r="570" spans="1:26" x14ac:dyDescent="0.25">
      <c r="A570" s="243" t="s">
        <v>494</v>
      </c>
      <c r="B570" s="247">
        <v>11.3185987472534</v>
      </c>
      <c r="C570" s="247">
        <v>12.9258327484131</v>
      </c>
      <c r="D570" s="247">
        <v>14.650143623352101</v>
      </c>
      <c r="E570" s="247">
        <v>14.3442440032959</v>
      </c>
      <c r="F570" s="247">
        <v>13.623025894165</v>
      </c>
      <c r="G570" s="247">
        <v>12.923449516296399</v>
      </c>
      <c r="H570" s="247">
        <v>12.7128458023071</v>
      </c>
      <c r="I570" s="247">
        <v>12.432819366455099</v>
      </c>
      <c r="J570" s="247">
        <v>12.310016632080099</v>
      </c>
      <c r="K570" s="247">
        <v>12.3222455978394</v>
      </c>
      <c r="L570" s="247">
        <v>12.2171115875244</v>
      </c>
      <c r="M570" s="247">
        <v>12.2130832672119</v>
      </c>
      <c r="N570" s="247">
        <v>12.22132396698</v>
      </c>
      <c r="O570" s="247">
        <v>12.248191833496101</v>
      </c>
      <c r="P570" s="247">
        <v>12.309587478637701</v>
      </c>
      <c r="Q570" s="247">
        <v>12.376181602478001</v>
      </c>
      <c r="R570" s="247">
        <v>12.4016332626343</v>
      </c>
      <c r="S570" s="247">
        <v>12.440443038940399</v>
      </c>
      <c r="T570" s="247">
        <v>12.509931564331101</v>
      </c>
      <c r="U570" s="247">
        <v>12.547391891479499</v>
      </c>
      <c r="V570" s="247">
        <v>12.611403465271</v>
      </c>
      <c r="W570" s="247">
        <v>12.7098541259766</v>
      </c>
      <c r="X570" s="247">
        <v>12.7049369812012</v>
      </c>
      <c r="Y570" s="247">
        <v>12.8036108016968</v>
      </c>
    </row>
    <row r="571" spans="1:26" x14ac:dyDescent="0.25">
      <c r="A571" s="243" t="s">
        <v>495</v>
      </c>
      <c r="B571" s="247">
        <v>3.9308724403381299</v>
      </c>
      <c r="C571" s="247">
        <v>4.6628575325012198</v>
      </c>
      <c r="D571" s="247">
        <v>5.07232666015625</v>
      </c>
      <c r="E571" s="247">
        <v>5.1433629989623997</v>
      </c>
      <c r="F571" s="247">
        <v>4.8060836791992196</v>
      </c>
      <c r="G571" s="247">
        <v>4.3862032890319798</v>
      </c>
      <c r="H571" s="247">
        <v>4.1832194328308097</v>
      </c>
      <c r="I571" s="247">
        <v>4.0440359115600604</v>
      </c>
      <c r="J571" s="247">
        <v>3.9943466186523402</v>
      </c>
      <c r="K571" s="247">
        <v>4.04720115661621</v>
      </c>
      <c r="L571" s="247">
        <v>4.0966601371765101</v>
      </c>
      <c r="M571" s="247">
        <v>4.1477751731872603</v>
      </c>
      <c r="N571" s="247">
        <v>4.19142723083496</v>
      </c>
      <c r="O571" s="247">
        <v>4.2503523826599103</v>
      </c>
      <c r="P571" s="247">
        <v>4.3018612861633301</v>
      </c>
      <c r="Q571" s="247">
        <v>4.3527650833129901</v>
      </c>
      <c r="R571" s="247">
        <v>4.4055538177490199</v>
      </c>
      <c r="S571" s="247">
        <v>4.4662823677062997</v>
      </c>
      <c r="T571" s="247">
        <v>4.5225110054016104</v>
      </c>
      <c r="U571" s="247">
        <v>4.5828208923339799</v>
      </c>
      <c r="V571" s="247">
        <v>4.6386957168579102</v>
      </c>
      <c r="W571" s="247">
        <v>4.6918659210205096</v>
      </c>
      <c r="X571" s="247">
        <v>4.7469024658203098</v>
      </c>
      <c r="Y571" s="247">
        <v>4.8068332672119096</v>
      </c>
    </row>
    <row r="572" spans="1:26" x14ac:dyDescent="0.25">
      <c r="A572" s="243" t="s">
        <v>496</v>
      </c>
      <c r="B572" s="247">
        <v>5.1461992263793901</v>
      </c>
      <c r="C572" s="247">
        <v>6.8558807373046902</v>
      </c>
      <c r="D572" s="247">
        <v>7.3508329391479501</v>
      </c>
      <c r="E572" s="247">
        <v>7.3838677406311</v>
      </c>
      <c r="F572" s="247">
        <v>6.7167663574218803</v>
      </c>
      <c r="G572" s="247">
        <v>6.2544136047363299</v>
      </c>
      <c r="H572" s="247">
        <v>5.8490047454834002</v>
      </c>
      <c r="I572" s="247">
        <v>5.6922402381896999</v>
      </c>
      <c r="J572" s="247">
        <v>5.5182204246520996</v>
      </c>
      <c r="K572" s="247">
        <v>5.4887638092040998</v>
      </c>
      <c r="L572" s="247">
        <v>5.5592789649963397</v>
      </c>
      <c r="M572" s="247">
        <v>5.6574964523315403</v>
      </c>
      <c r="N572" s="247">
        <v>5.8102455139160201</v>
      </c>
      <c r="O572" s="247">
        <v>5.9230461120605504</v>
      </c>
      <c r="P572" s="247">
        <v>5.8875889778137198</v>
      </c>
      <c r="Q572" s="247">
        <v>5.8938632011413601</v>
      </c>
      <c r="R572" s="247">
        <v>6.0147280693054199</v>
      </c>
      <c r="S572" s="247">
        <v>6.1772904396057102</v>
      </c>
      <c r="T572" s="247">
        <v>6.2973737716674796</v>
      </c>
      <c r="U572" s="247">
        <v>6.40012407302856</v>
      </c>
      <c r="V572" s="247">
        <v>6.4435343742370597</v>
      </c>
      <c r="W572" s="247">
        <v>6.4505195617675799</v>
      </c>
      <c r="X572" s="247">
        <v>6.5169725418090803</v>
      </c>
      <c r="Y572" s="247">
        <v>6.5874438285827601</v>
      </c>
    </row>
    <row r="573" spans="1:26" x14ac:dyDescent="0.25">
      <c r="A573" s="243" t="s">
        <v>497</v>
      </c>
      <c r="B573" s="247">
        <v>1.2938040494918801</v>
      </c>
      <c r="C573" s="247">
        <v>1.29924309253693</v>
      </c>
      <c r="D573" s="247">
        <v>1.30395972728729</v>
      </c>
      <c r="E573" s="247">
        <v>1.3117660284042401</v>
      </c>
      <c r="F573" s="247">
        <v>1.3130011558532699</v>
      </c>
      <c r="G573" s="247">
        <v>1.3001606464386</v>
      </c>
      <c r="H573" s="247">
        <v>1.2972036600112899</v>
      </c>
      <c r="I573" s="247">
        <v>1.28666663169861</v>
      </c>
      <c r="J573" s="247">
        <v>1.2722240686416599</v>
      </c>
      <c r="K573" s="247">
        <v>1.2649568319320701</v>
      </c>
      <c r="L573" s="247">
        <v>1.25909507274628</v>
      </c>
      <c r="M573" s="247">
        <v>1.25531446933746</v>
      </c>
      <c r="N573" s="247">
        <v>1.25464415550232</v>
      </c>
      <c r="O573" s="247">
        <v>1.25405156612396</v>
      </c>
      <c r="P573" s="247">
        <v>1.2516055107116699</v>
      </c>
      <c r="Q573" s="247">
        <v>1.25465047359467</v>
      </c>
      <c r="R573" s="247">
        <v>1.2582825422287001</v>
      </c>
      <c r="S573" s="247">
        <v>1.2619441747665401</v>
      </c>
      <c r="T573" s="247">
        <v>1.26514172554016</v>
      </c>
      <c r="U573" s="247">
        <v>1.27338314056396</v>
      </c>
      <c r="V573" s="247">
        <v>1.2817230224609399</v>
      </c>
      <c r="W573" s="247">
        <v>1.31160092353821</v>
      </c>
      <c r="X573" s="247">
        <v>1.3194112777710001</v>
      </c>
      <c r="Y573" s="247">
        <v>1.3217089176178001</v>
      </c>
    </row>
    <row r="574" spans="1:26" x14ac:dyDescent="0.25">
      <c r="A574" s="243" t="s">
        <v>498</v>
      </c>
      <c r="B574" s="247">
        <v>14.6543264389038</v>
      </c>
      <c r="C574" s="247">
        <v>16.232709884643601</v>
      </c>
      <c r="D574" s="247">
        <v>19.6646022796631</v>
      </c>
      <c r="E574" s="247">
        <v>19.5902194976807</v>
      </c>
      <c r="F574" s="247">
        <v>19.473403930664102</v>
      </c>
      <c r="G574" s="247">
        <v>18.312351226806602</v>
      </c>
      <c r="H574" s="247">
        <v>18.154972076416001</v>
      </c>
      <c r="I574" s="247">
        <v>17.744245529174801</v>
      </c>
      <c r="J574" s="247">
        <v>17.108533859252901</v>
      </c>
      <c r="K574" s="247">
        <v>16.985416412353501</v>
      </c>
      <c r="L574" s="247">
        <v>16.891477584838899</v>
      </c>
      <c r="M574" s="247">
        <v>17.106473922729499</v>
      </c>
      <c r="N574" s="247">
        <v>17.298709869384801</v>
      </c>
      <c r="O574" s="247">
        <v>17.370653152465799</v>
      </c>
      <c r="P574" s="247">
        <v>17.404756546020501</v>
      </c>
      <c r="Q574" s="247">
        <v>17.4316711425781</v>
      </c>
      <c r="R574" s="247">
        <v>17.495216369628899</v>
      </c>
      <c r="S574" s="247">
        <v>17.111986160278299</v>
      </c>
      <c r="T574" s="247">
        <v>17.221326828002901</v>
      </c>
      <c r="U574" s="247">
        <v>17.6731853485107</v>
      </c>
      <c r="V574" s="247">
        <v>17.676996231079102</v>
      </c>
      <c r="W574" s="247">
        <v>17.866504669189499</v>
      </c>
      <c r="X574" s="247">
        <v>17.993064880371101</v>
      </c>
      <c r="Y574" s="247">
        <v>18.128524780273398</v>
      </c>
    </row>
    <row r="575" spans="1:26" x14ac:dyDescent="0.25">
      <c r="A575" s="243" t="s">
        <v>465</v>
      </c>
      <c r="B575" s="247">
        <v>21.599882125854499</v>
      </c>
      <c r="C575" s="247">
        <v>21.735733032226602</v>
      </c>
      <c r="D575" s="247">
        <v>21.728578567504901</v>
      </c>
      <c r="E575" s="247">
        <v>21.659519195556602</v>
      </c>
      <c r="F575" s="247">
        <v>20.859115600585898</v>
      </c>
      <c r="G575" s="247">
        <v>19.947565078735401</v>
      </c>
      <c r="H575" s="247">
        <v>19.5044040679932</v>
      </c>
      <c r="I575" s="247">
        <v>19.468164443969702</v>
      </c>
      <c r="J575" s="247">
        <v>19.363897323608398</v>
      </c>
      <c r="K575" s="247">
        <v>19.340778350830099</v>
      </c>
      <c r="L575" s="247">
        <v>19.565423965454102</v>
      </c>
      <c r="M575" s="247">
        <v>19.829431533813501</v>
      </c>
      <c r="N575" s="247">
        <v>20.184032440185501</v>
      </c>
      <c r="O575" s="247">
        <v>20.348131179809599</v>
      </c>
      <c r="P575" s="247">
        <v>20.384618759155298</v>
      </c>
      <c r="Q575" s="247">
        <v>20.4941310882568</v>
      </c>
      <c r="R575" s="247">
        <v>20.6934413909912</v>
      </c>
      <c r="S575" s="247">
        <v>20.961088180541999</v>
      </c>
      <c r="T575" s="247">
        <v>21.1064147949219</v>
      </c>
      <c r="U575" s="247">
        <v>21.2582683563232</v>
      </c>
      <c r="V575" s="247">
        <v>21.2429523468018</v>
      </c>
      <c r="W575" s="247">
        <v>21.2300205230713</v>
      </c>
      <c r="X575" s="247">
        <v>21.277418136596701</v>
      </c>
      <c r="Y575" s="247">
        <v>21.3841457366943</v>
      </c>
    </row>
    <row r="576" spans="1:26" x14ac:dyDescent="0.25">
      <c r="A576" s="243" t="s">
        <v>426</v>
      </c>
      <c r="B576" s="247" t="s">
        <v>426</v>
      </c>
      <c r="C576" s="247" t="s">
        <v>426</v>
      </c>
      <c r="D576" s="247" t="s">
        <v>426</v>
      </c>
      <c r="E576" s="247" t="s">
        <v>426</v>
      </c>
      <c r="F576" s="247" t="s">
        <v>426</v>
      </c>
      <c r="G576" s="247" t="s">
        <v>426</v>
      </c>
      <c r="H576" s="247" t="s">
        <v>426</v>
      </c>
      <c r="I576" s="247" t="s">
        <v>426</v>
      </c>
      <c r="J576" s="247" t="s">
        <v>426</v>
      </c>
      <c r="K576" s="247" t="s">
        <v>426</v>
      </c>
      <c r="L576" s="247" t="s">
        <v>426</v>
      </c>
      <c r="M576" s="247" t="s">
        <v>426</v>
      </c>
      <c r="N576" s="247" t="s">
        <v>426</v>
      </c>
      <c r="O576" s="247" t="s">
        <v>426</v>
      </c>
      <c r="P576" s="247" t="s">
        <v>426</v>
      </c>
      <c r="Q576" s="247" t="s">
        <v>426</v>
      </c>
      <c r="R576" s="247" t="s">
        <v>426</v>
      </c>
      <c r="S576" s="247" t="s">
        <v>426</v>
      </c>
      <c r="T576" s="247" t="s">
        <v>426</v>
      </c>
      <c r="U576" s="247" t="s">
        <v>426</v>
      </c>
      <c r="V576" s="247" t="s">
        <v>426</v>
      </c>
      <c r="W576" s="247" t="s">
        <v>426</v>
      </c>
      <c r="X576" s="247" t="s">
        <v>426</v>
      </c>
      <c r="Y576" s="247" t="s">
        <v>426</v>
      </c>
    </row>
    <row r="577" spans="1:25" x14ac:dyDescent="0.25">
      <c r="A577" s="243" t="s">
        <v>499</v>
      </c>
      <c r="B577" s="247" t="s">
        <v>426</v>
      </c>
      <c r="C577" s="247" t="s">
        <v>426</v>
      </c>
      <c r="D577" s="247" t="s">
        <v>426</v>
      </c>
      <c r="E577" s="247" t="s">
        <v>426</v>
      </c>
      <c r="F577" s="247" t="s">
        <v>426</v>
      </c>
      <c r="G577" s="247" t="s">
        <v>426</v>
      </c>
      <c r="H577" s="247" t="s">
        <v>426</v>
      </c>
      <c r="I577" s="247" t="s">
        <v>426</v>
      </c>
      <c r="J577" s="247" t="s">
        <v>426</v>
      </c>
      <c r="K577" s="247" t="s">
        <v>426</v>
      </c>
      <c r="L577" s="247" t="s">
        <v>426</v>
      </c>
      <c r="M577" s="247" t="s">
        <v>426</v>
      </c>
      <c r="N577" s="247" t="s">
        <v>426</v>
      </c>
      <c r="O577" s="247" t="s">
        <v>426</v>
      </c>
      <c r="P577" s="247" t="s">
        <v>426</v>
      </c>
      <c r="Q577" s="247" t="s">
        <v>426</v>
      </c>
      <c r="R577" s="247" t="s">
        <v>426</v>
      </c>
      <c r="S577" s="247" t="s">
        <v>426</v>
      </c>
      <c r="T577" s="247" t="s">
        <v>426</v>
      </c>
      <c r="U577" s="247" t="s">
        <v>426</v>
      </c>
      <c r="V577" s="247" t="s">
        <v>426</v>
      </c>
      <c r="W577" s="247" t="s">
        <v>426</v>
      </c>
      <c r="X577" s="247" t="s">
        <v>426</v>
      </c>
      <c r="Y577" s="247" t="s">
        <v>426</v>
      </c>
    </row>
    <row r="578" spans="1:25" x14ac:dyDescent="0.25">
      <c r="A578" s="243" t="s">
        <v>500</v>
      </c>
      <c r="B578" s="247" t="s">
        <v>426</v>
      </c>
      <c r="C578" s="247" t="s">
        <v>426</v>
      </c>
      <c r="D578" s="247" t="s">
        <v>426</v>
      </c>
      <c r="E578" s="247" t="s">
        <v>426</v>
      </c>
      <c r="F578" s="247" t="s">
        <v>426</v>
      </c>
      <c r="G578" s="247" t="s">
        <v>426</v>
      </c>
      <c r="H578" s="247" t="s">
        <v>426</v>
      </c>
      <c r="I578" s="247" t="s">
        <v>426</v>
      </c>
      <c r="J578" s="247" t="s">
        <v>426</v>
      </c>
      <c r="K578" s="247" t="s">
        <v>426</v>
      </c>
      <c r="L578" s="247" t="s">
        <v>426</v>
      </c>
      <c r="M578" s="247" t="s">
        <v>426</v>
      </c>
      <c r="N578" s="247" t="s">
        <v>426</v>
      </c>
      <c r="O578" s="247" t="s">
        <v>426</v>
      </c>
      <c r="P578" s="247" t="s">
        <v>426</v>
      </c>
      <c r="Q578" s="247" t="s">
        <v>426</v>
      </c>
      <c r="R578" s="247" t="s">
        <v>426</v>
      </c>
      <c r="S578" s="247" t="s">
        <v>426</v>
      </c>
      <c r="T578" s="247" t="s">
        <v>426</v>
      </c>
      <c r="U578" s="247" t="s">
        <v>426</v>
      </c>
      <c r="V578" s="247" t="s">
        <v>426</v>
      </c>
      <c r="W578" s="247" t="s">
        <v>426</v>
      </c>
      <c r="X578" s="247" t="s">
        <v>426</v>
      </c>
      <c r="Y578" s="247" t="s">
        <v>426</v>
      </c>
    </row>
    <row r="579" spans="1:25" x14ac:dyDescent="0.25">
      <c r="A579" s="243" t="s">
        <v>459</v>
      </c>
      <c r="B579" s="247">
        <v>163.90481567382801</v>
      </c>
      <c r="C579" s="247">
        <v>177.16523742675801</v>
      </c>
      <c r="D579" s="247">
        <v>181.72630310058599</v>
      </c>
      <c r="E579" s="247">
        <v>185.23806762695301</v>
      </c>
      <c r="F579" s="247">
        <v>178.77069091796901</v>
      </c>
      <c r="G579" s="247">
        <v>174.57431030273401</v>
      </c>
      <c r="H579" s="247">
        <v>173.49729919433599</v>
      </c>
      <c r="I579" s="247">
        <v>174.68045043945301</v>
      </c>
      <c r="J579" s="247">
        <v>175.87545776367199</v>
      </c>
      <c r="K579" s="247">
        <v>177.93170166015599</v>
      </c>
      <c r="L579" s="247">
        <v>181.97520446777301</v>
      </c>
      <c r="M579" s="247">
        <v>185.45910644531301</v>
      </c>
      <c r="N579" s="247">
        <v>189.89924621582</v>
      </c>
      <c r="O579" s="247">
        <v>193.20950317382801</v>
      </c>
      <c r="P579" s="247">
        <v>195.50482177734401</v>
      </c>
      <c r="Q579" s="247">
        <v>197.60719299316401</v>
      </c>
      <c r="R579" s="247">
        <v>201.40017700195301</v>
      </c>
      <c r="S579" s="247">
        <v>205.80612182617199</v>
      </c>
      <c r="T579" s="247">
        <v>209.76078796386699</v>
      </c>
      <c r="U579" s="247">
        <v>212.75457763671901</v>
      </c>
      <c r="V579" s="247">
        <v>215.110427856445</v>
      </c>
      <c r="W579" s="247">
        <v>217.42091369628901</v>
      </c>
      <c r="X579" s="247">
        <v>220.97119140625</v>
      </c>
      <c r="Y579" s="247">
        <v>223.85739135742199</v>
      </c>
    </row>
    <row r="580" spans="1:25" x14ac:dyDescent="0.25">
      <c r="A580" s="243" t="s">
        <v>466</v>
      </c>
      <c r="B580" s="247">
        <v>122.690147399902</v>
      </c>
      <c r="C580" s="247">
        <v>128.153732299805</v>
      </c>
      <c r="D580" s="247">
        <v>130.48348999023401</v>
      </c>
      <c r="E580" s="247">
        <v>132.28971862793</v>
      </c>
      <c r="F580" s="247">
        <v>128.48481750488301</v>
      </c>
      <c r="G580" s="247">
        <v>125.5166015625</v>
      </c>
      <c r="H580" s="247">
        <v>125.36106109619099</v>
      </c>
      <c r="I580" s="247">
        <v>127.820442199707</v>
      </c>
      <c r="J580" s="247">
        <v>129.92327880859401</v>
      </c>
      <c r="K580" s="247">
        <v>133.10743713378901</v>
      </c>
      <c r="L580" s="247">
        <v>137.92835998535199</v>
      </c>
      <c r="M580" s="247">
        <v>142.925369262695</v>
      </c>
      <c r="N580" s="247">
        <v>148.816970825195</v>
      </c>
      <c r="O580" s="247">
        <v>153.52194213867199</v>
      </c>
      <c r="P580" s="247">
        <v>157.03869628906301</v>
      </c>
      <c r="Q580" s="247">
        <v>161.345138549805</v>
      </c>
      <c r="R580" s="247">
        <v>166.52362060546901</v>
      </c>
      <c r="S580" s="247">
        <v>172.33033752441401</v>
      </c>
      <c r="T580" s="247">
        <v>177.27947998046901</v>
      </c>
      <c r="U580" s="247">
        <v>182.50421142578099</v>
      </c>
      <c r="V580" s="247">
        <v>186.391357421875</v>
      </c>
      <c r="W580" s="247">
        <v>190.50810241699199</v>
      </c>
      <c r="X580" s="247">
        <v>195.38455200195301</v>
      </c>
      <c r="Y580" s="247">
        <v>200.92575073242199</v>
      </c>
    </row>
    <row r="581" spans="1:25" x14ac:dyDescent="0.25">
      <c r="A581" s="243" t="s">
        <v>501</v>
      </c>
      <c r="B581" s="247">
        <v>124.39901733398401</v>
      </c>
      <c r="C581" s="247">
        <v>147.11244201660199</v>
      </c>
      <c r="D581" s="247">
        <v>168.10716247558599</v>
      </c>
      <c r="E581" s="247">
        <v>167.31402587890599</v>
      </c>
      <c r="F581" s="247">
        <v>151.68084716796901</v>
      </c>
      <c r="G581" s="247">
        <v>143.54243469238301</v>
      </c>
      <c r="H581" s="247">
        <v>141.56742858886699</v>
      </c>
      <c r="I581" s="247">
        <v>140.77819824218801</v>
      </c>
      <c r="J581" s="247">
        <v>139.57333374023401</v>
      </c>
      <c r="K581" s="247">
        <v>140.39901733398401</v>
      </c>
      <c r="L581" s="247">
        <v>142.75350952148401</v>
      </c>
      <c r="M581" s="247">
        <v>145.42568969726599</v>
      </c>
      <c r="N581" s="247">
        <v>149.20526123046901</v>
      </c>
      <c r="O581" s="247">
        <v>152.35485839843801</v>
      </c>
      <c r="P581" s="247">
        <v>153.50325012207</v>
      </c>
      <c r="Q581" s="247">
        <v>156.35830688476599</v>
      </c>
      <c r="R581" s="247">
        <v>160.767654418945</v>
      </c>
      <c r="S581" s="247">
        <v>165.76315307617199</v>
      </c>
      <c r="T581" s="247">
        <v>169.931716918945</v>
      </c>
      <c r="U581" s="247">
        <v>173.961990356445</v>
      </c>
      <c r="V581" s="247">
        <v>176.65931701660199</v>
      </c>
      <c r="W581" s="247">
        <v>179.21453857421901</v>
      </c>
      <c r="X581" s="247">
        <v>182.00726318359401</v>
      </c>
      <c r="Y581" s="247">
        <v>184.95687866210901</v>
      </c>
    </row>
    <row r="582" spans="1:25" x14ac:dyDescent="0.25">
      <c r="A582" s="243" t="s">
        <v>473</v>
      </c>
      <c r="B582" s="247">
        <v>263.72879028320301</v>
      </c>
      <c r="C582" s="247">
        <v>302.59255981445301</v>
      </c>
      <c r="D582" s="247">
        <v>352.23770141601602</v>
      </c>
      <c r="E582" s="247">
        <v>351.05020141601602</v>
      </c>
      <c r="F582" s="247">
        <v>340.83407592773398</v>
      </c>
      <c r="G582" s="247">
        <v>332.5693359375</v>
      </c>
      <c r="H582" s="247">
        <v>335.96701049804699</v>
      </c>
      <c r="I582" s="247">
        <v>336.85531616210898</v>
      </c>
      <c r="J582" s="247">
        <v>341.13198852539102</v>
      </c>
      <c r="K582" s="247">
        <v>348.16427612304699</v>
      </c>
      <c r="L582" s="247">
        <v>352.90618896484398</v>
      </c>
      <c r="M582" s="247">
        <v>359.69818115234398</v>
      </c>
      <c r="N582" s="247">
        <v>365.95080566406301</v>
      </c>
      <c r="O582" s="247">
        <v>372.46246337890602</v>
      </c>
      <c r="P582" s="247">
        <v>379.283447265625</v>
      </c>
      <c r="Q582" s="247">
        <v>387.02755737304699</v>
      </c>
      <c r="R582" s="247">
        <v>393.88119506835898</v>
      </c>
      <c r="S582" s="247">
        <v>401.07183837890602</v>
      </c>
      <c r="T582" s="247">
        <v>407.83190917968801</v>
      </c>
      <c r="U582" s="247">
        <v>415.10699462890602</v>
      </c>
      <c r="V582" s="247">
        <v>423.06927490234398</v>
      </c>
      <c r="W582" s="247">
        <v>431.36416625976602</v>
      </c>
      <c r="X582" s="247">
        <v>438.52017211914102</v>
      </c>
      <c r="Y582" s="247">
        <v>449.30920410156301</v>
      </c>
    </row>
    <row r="583" spans="1:25" x14ac:dyDescent="0.25">
      <c r="A583" s="243" t="s">
        <v>502</v>
      </c>
      <c r="B583" s="247">
        <v>674.72277832031295</v>
      </c>
      <c r="C583" s="247">
        <v>755.02398681640602</v>
      </c>
      <c r="D583" s="247">
        <v>832.5546875</v>
      </c>
      <c r="E583" s="247">
        <v>835.89202880859398</v>
      </c>
      <c r="F583" s="247">
        <v>799.77044677734398</v>
      </c>
      <c r="G583" s="247">
        <v>776.20269775390602</v>
      </c>
      <c r="H583" s="247">
        <v>776.392822265625</v>
      </c>
      <c r="I583" s="247">
        <v>780.13439941406295</v>
      </c>
      <c r="J583" s="247">
        <v>786.50402832031295</v>
      </c>
      <c r="K583" s="247">
        <v>799.60241699218795</v>
      </c>
      <c r="L583" s="247">
        <v>815.563232421875</v>
      </c>
      <c r="M583" s="247">
        <v>833.50836181640602</v>
      </c>
      <c r="N583" s="247">
        <v>853.872314453125</v>
      </c>
      <c r="O583" s="247">
        <v>871.54876708984398</v>
      </c>
      <c r="P583" s="247">
        <v>885.33020019531295</v>
      </c>
      <c r="Q583" s="247">
        <v>902.33819580078102</v>
      </c>
      <c r="R583" s="247">
        <v>922.57263183593795</v>
      </c>
      <c r="S583" s="247">
        <v>944.971435546875</v>
      </c>
      <c r="T583" s="247">
        <v>964.80389404296898</v>
      </c>
      <c r="U583" s="247">
        <v>984.32775878906295</v>
      </c>
      <c r="V583" s="247">
        <v>1001.23034667969</v>
      </c>
      <c r="W583" s="247">
        <v>1018.50769042969</v>
      </c>
      <c r="X583" s="247">
        <v>1036.88317871094</v>
      </c>
      <c r="Y583" s="247">
        <v>1059.04919433594</v>
      </c>
    </row>
    <row r="584" spans="1:25" x14ac:dyDescent="0.25">
      <c r="A584" s="243" t="s">
        <v>503</v>
      </c>
      <c r="B584" s="247">
        <v>1.1704622767865699E-2</v>
      </c>
      <c r="C584" s="247">
        <v>1.72001253813505E-2</v>
      </c>
      <c r="D584" s="247">
        <v>2.0739471539855E-2</v>
      </c>
      <c r="E584" s="247">
        <v>2.2893460467457799E-2</v>
      </c>
      <c r="F584" s="247">
        <v>2.3359816521406201E-2</v>
      </c>
      <c r="G584" s="247">
        <v>2.56899110972881E-2</v>
      </c>
      <c r="H584" s="247">
        <v>2.8361881151795401E-2</v>
      </c>
      <c r="I584" s="247">
        <v>3.0972529202699699E-2</v>
      </c>
      <c r="J584" s="247">
        <v>3.4895084798336001E-2</v>
      </c>
      <c r="K584" s="247">
        <v>3.86636592447758E-2</v>
      </c>
      <c r="L584" s="247">
        <v>4.1480015963315998E-2</v>
      </c>
      <c r="M584" s="247">
        <v>4.3943785130977603E-2</v>
      </c>
      <c r="N584" s="247">
        <v>4.6801801770925501E-2</v>
      </c>
      <c r="O584" s="247">
        <v>4.9450792372226701E-2</v>
      </c>
      <c r="P584" s="247">
        <v>5.3890265524387401E-2</v>
      </c>
      <c r="Q584" s="247">
        <v>5.8303136378526701E-2</v>
      </c>
      <c r="R584" s="247">
        <v>6.2215700745582601E-2</v>
      </c>
      <c r="S584" s="247">
        <v>6.0202639549970599E-2</v>
      </c>
      <c r="T584" s="247">
        <v>6.6687978804111495E-2</v>
      </c>
      <c r="U584" s="247">
        <v>6.8060472607612596E-2</v>
      </c>
      <c r="V584" s="247">
        <v>7.0131160318851499E-2</v>
      </c>
      <c r="W584" s="247">
        <v>7.4032962322235094E-2</v>
      </c>
      <c r="X584" s="247">
        <v>7.6179362833499895E-2</v>
      </c>
      <c r="Y584" s="247">
        <v>7.9960107803344699E-2</v>
      </c>
    </row>
    <row r="585" spans="1:25" x14ac:dyDescent="0.25">
      <c r="A585" s="243" t="s">
        <v>504</v>
      </c>
      <c r="B585" s="247">
        <v>674.73449707031295</v>
      </c>
      <c r="C585" s="247">
        <v>755.04119873046898</v>
      </c>
      <c r="D585" s="247">
        <v>832.575439453125</v>
      </c>
      <c r="E585" s="247">
        <v>835.91491699218795</v>
      </c>
      <c r="F585" s="247">
        <v>799.79382324218795</v>
      </c>
      <c r="G585" s="247">
        <v>776.22839355468795</v>
      </c>
      <c r="H585" s="247">
        <v>776.42120361328102</v>
      </c>
      <c r="I585" s="247">
        <v>780.16534423828102</v>
      </c>
      <c r="J585" s="247">
        <v>786.53894042968795</v>
      </c>
      <c r="K585" s="247">
        <v>799.64105224609398</v>
      </c>
      <c r="L585" s="247">
        <v>815.604736328125</v>
      </c>
      <c r="M585" s="247">
        <v>833.55230712890602</v>
      </c>
      <c r="N585" s="247">
        <v>853.91912841796898</v>
      </c>
      <c r="O585" s="247">
        <v>871.59820556640602</v>
      </c>
      <c r="P585" s="247">
        <v>885.38409423828102</v>
      </c>
      <c r="Q585" s="247">
        <v>902.396484375</v>
      </c>
      <c r="R585" s="247">
        <v>922.63482666015602</v>
      </c>
      <c r="S585" s="247">
        <v>945.03161621093795</v>
      </c>
      <c r="T585" s="247">
        <v>964.87060546875</v>
      </c>
      <c r="U585" s="247">
        <v>984.39581298828102</v>
      </c>
      <c r="V585" s="247">
        <v>1001.30047607422</v>
      </c>
      <c r="W585" s="247">
        <v>1018.58172607422</v>
      </c>
      <c r="X585" s="247">
        <v>1036.95935058594</v>
      </c>
      <c r="Y585" s="247">
        <v>1059.12915039063</v>
      </c>
    </row>
    <row r="586" spans="1:25" x14ac:dyDescent="0.25">
      <c r="A586" s="287" t="s">
        <v>1054</v>
      </c>
      <c r="B586" s="247" t="s">
        <v>578</v>
      </c>
      <c r="C586" s="247"/>
      <c r="D586" s="247"/>
      <c r="E586" s="247"/>
      <c r="F586" s="247"/>
      <c r="G586" s="247"/>
      <c r="H586" s="247"/>
      <c r="I586" s="247"/>
      <c r="J586" s="247"/>
      <c r="K586" s="247"/>
      <c r="L586" s="247"/>
      <c r="M586" s="247"/>
      <c r="N586" s="247"/>
      <c r="O586" s="247"/>
      <c r="P586" s="247"/>
      <c r="Q586" s="247"/>
      <c r="R586" s="247"/>
      <c r="S586" s="247"/>
      <c r="T586" s="247"/>
      <c r="U586" s="247"/>
      <c r="V586" s="247"/>
      <c r="W586" s="247"/>
      <c r="X586" s="247"/>
      <c r="Y586" s="247"/>
    </row>
    <row r="587" spans="1:25" x14ac:dyDescent="0.25">
      <c r="A587" s="276" t="s">
        <v>308</v>
      </c>
      <c r="B587" s="247" t="s">
        <v>578</v>
      </c>
      <c r="C587" s="247"/>
      <c r="D587" s="247"/>
      <c r="E587" s="247"/>
      <c r="F587" s="247"/>
      <c r="G587" s="247"/>
      <c r="H587" s="247"/>
      <c r="I587" s="247"/>
      <c r="J587" s="247"/>
      <c r="K587" s="247"/>
      <c r="L587" s="247"/>
      <c r="M587" s="247"/>
      <c r="N587" s="247"/>
      <c r="O587" s="247"/>
      <c r="P587" s="247"/>
      <c r="Q587" s="247"/>
      <c r="R587" s="247"/>
      <c r="S587" s="247"/>
      <c r="T587" s="247"/>
      <c r="U587" s="247"/>
      <c r="V587" s="247"/>
      <c r="W587" s="247"/>
      <c r="X587" s="247"/>
      <c r="Y587" s="247"/>
    </row>
    <row r="588" spans="1:25" x14ac:dyDescent="0.25">
      <c r="A588" s="243" t="s">
        <v>426</v>
      </c>
      <c r="B588" s="247" t="s">
        <v>426</v>
      </c>
      <c r="C588" s="247" t="s">
        <v>426</v>
      </c>
      <c r="D588" s="247" t="s">
        <v>426</v>
      </c>
      <c r="E588" s="247" t="s">
        <v>426</v>
      </c>
      <c r="F588" s="247" t="s">
        <v>426</v>
      </c>
      <c r="G588" s="247" t="s">
        <v>426</v>
      </c>
      <c r="H588" s="247" t="s">
        <v>426</v>
      </c>
      <c r="I588" s="247" t="s">
        <v>426</v>
      </c>
      <c r="J588" s="247" t="s">
        <v>426</v>
      </c>
      <c r="K588" s="247" t="s">
        <v>426</v>
      </c>
      <c r="L588" s="247" t="s">
        <v>426</v>
      </c>
      <c r="M588" s="247" t="s">
        <v>426</v>
      </c>
      <c r="N588" s="247" t="s">
        <v>426</v>
      </c>
      <c r="O588" s="247" t="s">
        <v>426</v>
      </c>
      <c r="P588" s="247" t="s">
        <v>426</v>
      </c>
      <c r="Q588" s="247" t="s">
        <v>426</v>
      </c>
      <c r="R588" s="247" t="s">
        <v>426</v>
      </c>
      <c r="S588" s="247" t="s">
        <v>426</v>
      </c>
      <c r="T588" s="247" t="s">
        <v>426</v>
      </c>
      <c r="U588" s="247" t="s">
        <v>426</v>
      </c>
      <c r="V588" s="247" t="s">
        <v>426</v>
      </c>
      <c r="W588" s="247" t="s">
        <v>426</v>
      </c>
      <c r="X588" s="247" t="s">
        <v>426</v>
      </c>
      <c r="Y588" s="247" t="s">
        <v>426</v>
      </c>
    </row>
    <row r="589" spans="1:25" x14ac:dyDescent="0.25">
      <c r="A589" s="243" t="s">
        <v>505</v>
      </c>
      <c r="B589" s="247"/>
      <c r="C589" s="247"/>
      <c r="D589" s="247"/>
      <c r="E589" s="247"/>
      <c r="F589" s="247"/>
      <c r="G589" s="247"/>
      <c r="H589" s="247"/>
      <c r="I589" s="247"/>
      <c r="J589" s="247"/>
      <c r="K589" s="247"/>
      <c r="L589" s="247"/>
      <c r="M589" s="247"/>
      <c r="N589" s="247"/>
      <c r="O589" s="247"/>
      <c r="P589" s="247"/>
      <c r="Q589" s="247"/>
      <c r="R589" s="247"/>
      <c r="S589" s="247"/>
      <c r="T589" s="247"/>
      <c r="U589" s="247"/>
      <c r="V589" s="247"/>
      <c r="W589" s="247"/>
      <c r="X589" s="247"/>
      <c r="Y589" s="247"/>
    </row>
    <row r="590" spans="1:25" x14ac:dyDescent="0.25">
      <c r="A590" s="243" t="s">
        <v>506</v>
      </c>
      <c r="B590" s="247"/>
      <c r="C590" s="247"/>
      <c r="D590" s="247"/>
      <c r="E590" s="247"/>
      <c r="F590" s="247"/>
      <c r="G590" s="247"/>
      <c r="H590" s="247"/>
      <c r="I590" s="247"/>
      <c r="J590" s="247"/>
      <c r="K590" s="247"/>
      <c r="L590" s="247"/>
      <c r="M590" s="247"/>
      <c r="N590" s="247"/>
      <c r="O590" s="247"/>
      <c r="P590" s="247"/>
      <c r="Q590" s="247"/>
      <c r="R590" s="247"/>
      <c r="S590" s="247"/>
      <c r="T590" s="247"/>
      <c r="U590" s="247"/>
      <c r="V590" s="247"/>
      <c r="W590" s="247"/>
      <c r="X590" s="247"/>
      <c r="Y590" s="247"/>
    </row>
    <row r="591" spans="1:25" x14ac:dyDescent="0.25">
      <c r="A591" s="243" t="s">
        <v>507</v>
      </c>
      <c r="B591" s="247"/>
      <c r="C591" s="247"/>
      <c r="D591" s="247"/>
      <c r="E591" s="247"/>
      <c r="F591" s="247"/>
      <c r="G591" s="247"/>
      <c r="H591" s="247"/>
      <c r="I591" s="247"/>
      <c r="J591" s="247"/>
      <c r="K591" s="247"/>
      <c r="L591" s="247"/>
      <c r="M591" s="247"/>
      <c r="N591" s="247"/>
      <c r="O591" s="247"/>
      <c r="P591" s="247"/>
      <c r="Q591" s="247"/>
      <c r="R591" s="247"/>
      <c r="S591" s="247"/>
      <c r="T591" s="247"/>
      <c r="U591" s="247"/>
      <c r="V591" s="247"/>
      <c r="W591" s="247"/>
      <c r="X591" s="247"/>
      <c r="Y591" s="247"/>
    </row>
    <row r="592" spans="1:25" x14ac:dyDescent="0.25">
      <c r="A592" s="243" t="s">
        <v>508</v>
      </c>
      <c r="B592" s="247"/>
      <c r="C592" s="247"/>
      <c r="D592" s="247"/>
      <c r="E592" s="247"/>
      <c r="F592" s="247"/>
      <c r="G592" s="247"/>
      <c r="H592" s="247"/>
      <c r="I592" s="247"/>
      <c r="J592" s="247"/>
      <c r="K592" s="247"/>
      <c r="L592" s="247"/>
      <c r="M592" s="247"/>
      <c r="N592" s="247"/>
      <c r="O592" s="247"/>
      <c r="P592" s="247"/>
      <c r="Q592" s="247"/>
      <c r="R592" s="247"/>
      <c r="S592" s="247"/>
      <c r="T592" s="247"/>
      <c r="U592" s="247"/>
      <c r="V592" s="247"/>
      <c r="W592" s="247"/>
      <c r="X592" s="247"/>
      <c r="Y592" s="247"/>
    </row>
    <row r="593" spans="1:25" x14ac:dyDescent="0.25">
      <c r="A593" s="243" t="s">
        <v>509</v>
      </c>
      <c r="B593" s="247"/>
      <c r="C593" s="247"/>
      <c r="D593" s="247"/>
      <c r="E593" s="247"/>
      <c r="F593" s="247"/>
      <c r="G593" s="247"/>
      <c r="H593" s="247"/>
      <c r="I593" s="247"/>
      <c r="J593" s="247"/>
      <c r="K593" s="247"/>
      <c r="L593" s="247"/>
      <c r="M593" s="247"/>
      <c r="N593" s="247"/>
      <c r="O593" s="247"/>
      <c r="P593" s="247"/>
      <c r="Q593" s="247"/>
      <c r="R593" s="247"/>
      <c r="S593" s="247"/>
      <c r="T593" s="247"/>
      <c r="U593" s="247"/>
      <c r="V593" s="247"/>
      <c r="W593" s="247"/>
      <c r="X593" s="247"/>
      <c r="Y593" s="247"/>
    </row>
    <row r="594" spans="1:25" x14ac:dyDescent="0.25">
      <c r="A594" s="243" t="s">
        <v>510</v>
      </c>
      <c r="B594" s="247"/>
      <c r="C594" s="247"/>
      <c r="D594" s="247"/>
      <c r="E594" s="247"/>
      <c r="F594" s="247"/>
      <c r="G594" s="247"/>
      <c r="H594" s="247"/>
      <c r="I594" s="247"/>
      <c r="J594" s="247"/>
      <c r="K594" s="247"/>
      <c r="L594" s="247"/>
      <c r="M594" s="247"/>
      <c r="N594" s="247"/>
      <c r="O594" s="247"/>
      <c r="P594" s="247"/>
      <c r="Q594" s="247"/>
      <c r="R594" s="247"/>
      <c r="S594" s="247"/>
      <c r="T594" s="247"/>
      <c r="U594" s="247"/>
      <c r="V594" s="247"/>
      <c r="W594" s="247"/>
      <c r="X594" s="247"/>
      <c r="Y594" s="247"/>
    </row>
    <row r="595" spans="1:25" x14ac:dyDescent="0.25">
      <c r="A595" s="243" t="s">
        <v>511</v>
      </c>
      <c r="B595" s="247"/>
      <c r="C595" s="247"/>
      <c r="D595" s="247"/>
      <c r="E595" s="247"/>
      <c r="F595" s="247"/>
      <c r="G595" s="247"/>
      <c r="H595" s="247"/>
      <c r="I595" s="247"/>
      <c r="J595" s="247"/>
      <c r="K595" s="247"/>
      <c r="L595" s="247"/>
      <c r="M595" s="247"/>
      <c r="N595" s="247"/>
      <c r="O595" s="247"/>
      <c r="P595" s="247"/>
      <c r="Q595" s="247"/>
      <c r="R595" s="247"/>
      <c r="S595" s="247"/>
      <c r="T595" s="247"/>
      <c r="U595" s="247"/>
      <c r="V595" s="247"/>
      <c r="W595" s="247"/>
      <c r="X595" s="247"/>
      <c r="Y595" s="247"/>
    </row>
    <row r="596" spans="1:25" x14ac:dyDescent="0.25">
      <c r="A596" s="243" t="s">
        <v>512</v>
      </c>
      <c r="B596" s="247"/>
      <c r="C596" s="247"/>
      <c r="D596" s="247"/>
      <c r="E596" s="247"/>
      <c r="F596" s="247"/>
      <c r="G596" s="247"/>
      <c r="H596" s="247"/>
      <c r="I596" s="247"/>
      <c r="J596" s="247"/>
      <c r="K596" s="247"/>
      <c r="L596" s="247"/>
      <c r="M596" s="247"/>
      <c r="N596" s="247"/>
      <c r="O596" s="247"/>
      <c r="P596" s="247"/>
      <c r="Q596" s="247"/>
      <c r="R596" s="247"/>
      <c r="S596" s="247"/>
      <c r="T596" s="247"/>
      <c r="U596" s="247"/>
      <c r="V596" s="247"/>
      <c r="W596" s="247"/>
      <c r="X596" s="247"/>
      <c r="Y596" s="247"/>
    </row>
    <row r="597" spans="1:25" x14ac:dyDescent="0.25">
      <c r="A597" s="243" t="s">
        <v>513</v>
      </c>
      <c r="B597" s="247"/>
      <c r="C597" s="247"/>
      <c r="D597" s="247"/>
      <c r="E597" s="247"/>
      <c r="F597" s="247"/>
      <c r="G597" s="247"/>
      <c r="H597" s="247"/>
      <c r="I597" s="247"/>
      <c r="J597" s="247"/>
      <c r="K597" s="247"/>
      <c r="L597" s="247"/>
      <c r="M597" s="247"/>
      <c r="N597" s="247"/>
      <c r="O597" s="247"/>
      <c r="P597" s="247"/>
      <c r="Q597" s="247"/>
      <c r="R597" s="247"/>
      <c r="S597" s="247"/>
      <c r="T597" s="247"/>
      <c r="U597" s="247"/>
      <c r="V597" s="247"/>
      <c r="W597" s="247"/>
      <c r="X597" s="247"/>
      <c r="Y597" s="247"/>
    </row>
    <row r="598" spans="1:25" x14ac:dyDescent="0.25">
      <c r="A598" s="243" t="s">
        <v>518</v>
      </c>
      <c r="B598" s="247"/>
      <c r="C598" s="247"/>
      <c r="D598" s="247"/>
      <c r="E598" s="247"/>
      <c r="F598" s="247"/>
      <c r="G598" s="247"/>
      <c r="H598" s="247"/>
      <c r="I598" s="247"/>
      <c r="J598" s="247"/>
      <c r="K598" s="247"/>
      <c r="L598" s="247"/>
      <c r="M598" s="247"/>
      <c r="N598" s="247"/>
      <c r="O598" s="247"/>
      <c r="P598" s="247"/>
      <c r="Q598" s="247"/>
      <c r="R598" s="247"/>
      <c r="S598" s="247"/>
      <c r="T598" s="247"/>
      <c r="U598" s="247"/>
      <c r="V598" s="247"/>
      <c r="W598" s="247"/>
      <c r="X598" s="247"/>
      <c r="Y598" s="247"/>
    </row>
    <row r="599" spans="1:25" x14ac:dyDescent="0.25">
      <c r="A599" s="243" t="s">
        <v>528</v>
      </c>
      <c r="B599" s="247"/>
      <c r="C599" s="247"/>
      <c r="D599" s="247"/>
      <c r="E599" s="247"/>
      <c r="F599" s="247"/>
      <c r="G599" s="247"/>
      <c r="H599" s="247"/>
      <c r="I599" s="247"/>
      <c r="J599" s="247"/>
      <c r="K599" s="247"/>
      <c r="L599" s="247"/>
      <c r="M599" s="247"/>
      <c r="N599" s="247"/>
      <c r="O599" s="247"/>
      <c r="P599" s="247"/>
      <c r="Q599" s="247"/>
      <c r="R599" s="247"/>
      <c r="S599" s="247"/>
      <c r="T599" s="247"/>
      <c r="U599" s="247"/>
      <c r="V599" s="247"/>
      <c r="W599" s="247"/>
      <c r="X599" s="247"/>
      <c r="Y599" s="247"/>
    </row>
    <row r="600" spans="1:25" x14ac:dyDescent="0.25">
      <c r="A600" s="243" t="s">
        <v>529</v>
      </c>
      <c r="B600" s="247"/>
      <c r="C600" s="247"/>
      <c r="D600" s="247"/>
      <c r="E600" s="247"/>
      <c r="F600" s="247"/>
      <c r="G600" s="247"/>
      <c r="H600" s="247"/>
      <c r="I600" s="247"/>
      <c r="J600" s="247"/>
      <c r="K600" s="247"/>
      <c r="L600" s="247"/>
      <c r="M600" s="247"/>
      <c r="N600" s="247"/>
      <c r="O600" s="247"/>
      <c r="P600" s="247"/>
      <c r="Q600" s="247"/>
      <c r="R600" s="247"/>
      <c r="S600" s="247"/>
      <c r="T600" s="247"/>
      <c r="U600" s="247"/>
      <c r="V600" s="247"/>
      <c r="W600" s="247"/>
      <c r="X600" s="247"/>
      <c r="Y600" s="247"/>
    </row>
    <row r="601" spans="1:25" x14ac:dyDescent="0.25">
      <c r="A601" s="243" t="s">
        <v>530</v>
      </c>
      <c r="B601" s="247"/>
      <c r="C601" s="247"/>
      <c r="D601" s="247"/>
      <c r="E601" s="247"/>
      <c r="F601" s="247"/>
      <c r="G601" s="247"/>
      <c r="H601" s="247"/>
      <c r="I601" s="247"/>
      <c r="J601" s="247"/>
      <c r="K601" s="247"/>
      <c r="L601" s="247"/>
      <c r="M601" s="247"/>
      <c r="N601" s="247"/>
      <c r="O601" s="247"/>
      <c r="P601" s="247"/>
      <c r="Q601" s="247"/>
      <c r="R601" s="247"/>
      <c r="S601" s="247"/>
      <c r="T601" s="247"/>
      <c r="U601" s="247"/>
      <c r="V601" s="247"/>
      <c r="W601" s="247"/>
      <c r="X601" s="247"/>
      <c r="Y601" s="247"/>
    </row>
    <row r="602" spans="1:25" x14ac:dyDescent="0.25">
      <c r="A602" s="243" t="s">
        <v>531</v>
      </c>
      <c r="B602" s="247"/>
      <c r="C602" s="247"/>
      <c r="D602" s="247"/>
      <c r="E602" s="247"/>
      <c r="F602" s="247"/>
      <c r="G602" s="247"/>
      <c r="H602" s="247"/>
      <c r="I602" s="247"/>
      <c r="J602" s="247"/>
      <c r="K602" s="247"/>
      <c r="L602" s="247"/>
      <c r="M602" s="247"/>
      <c r="N602" s="247"/>
      <c r="O602" s="247"/>
      <c r="P602" s="247"/>
      <c r="Q602" s="247"/>
      <c r="R602" s="247"/>
      <c r="S602" s="247"/>
      <c r="T602" s="247"/>
      <c r="U602" s="247"/>
      <c r="V602" s="247"/>
      <c r="W602" s="247"/>
      <c r="X602" s="247"/>
      <c r="Y602" s="247"/>
    </row>
    <row r="603" spans="1:25" x14ac:dyDescent="0.25">
      <c r="A603" s="243" t="s">
        <v>532</v>
      </c>
      <c r="B603" s="247"/>
      <c r="C603" s="247"/>
      <c r="D603" s="247"/>
      <c r="E603" s="247"/>
      <c r="F603" s="247"/>
      <c r="G603" s="247"/>
      <c r="H603" s="247"/>
      <c r="I603" s="247"/>
      <c r="J603" s="247"/>
      <c r="K603" s="247"/>
      <c r="L603" s="247"/>
      <c r="M603" s="247"/>
      <c r="N603" s="247"/>
      <c r="O603" s="247"/>
      <c r="P603" s="247"/>
      <c r="Q603" s="247"/>
      <c r="R603" s="247"/>
      <c r="S603" s="247"/>
      <c r="T603" s="247"/>
      <c r="U603" s="247"/>
      <c r="V603" s="247"/>
      <c r="W603" s="247"/>
      <c r="X603" s="247"/>
      <c r="Y603" s="247"/>
    </row>
    <row r="604" spans="1:25" x14ac:dyDescent="0.25">
      <c r="A604" s="243" t="s">
        <v>533</v>
      </c>
      <c r="B604" s="247"/>
      <c r="C604" s="247"/>
      <c r="D604" s="247"/>
      <c r="E604" s="247"/>
      <c r="F604" s="247"/>
      <c r="G604" s="247"/>
      <c r="H604" s="247"/>
      <c r="I604" s="247"/>
      <c r="J604" s="247"/>
      <c r="K604" s="247"/>
      <c r="L604" s="247"/>
      <c r="M604" s="247"/>
      <c r="N604" s="247"/>
      <c r="O604" s="247"/>
      <c r="P604" s="247"/>
      <c r="Q604" s="247"/>
      <c r="R604" s="247"/>
      <c r="S604" s="247"/>
      <c r="T604" s="247"/>
      <c r="U604" s="247"/>
      <c r="V604" s="247"/>
      <c r="W604" s="247"/>
      <c r="X604" s="247"/>
      <c r="Y604" s="247"/>
    </row>
    <row r="605" spans="1:25" x14ac:dyDescent="0.25">
      <c r="A605" s="243" t="s">
        <v>534</v>
      </c>
      <c r="B605" s="247"/>
      <c r="C605" s="247"/>
      <c r="D605" s="247"/>
      <c r="E605" s="247"/>
      <c r="F605" s="247"/>
      <c r="G605" s="247"/>
      <c r="H605" s="247"/>
      <c r="I605" s="247"/>
      <c r="J605" s="247"/>
      <c r="K605" s="247"/>
      <c r="L605" s="247"/>
      <c r="M605" s="247"/>
      <c r="N605" s="247"/>
      <c r="O605" s="247"/>
      <c r="P605" s="247"/>
      <c r="Q605" s="247"/>
      <c r="R605" s="247"/>
      <c r="S605" s="247"/>
      <c r="T605" s="247"/>
      <c r="U605" s="247"/>
      <c r="V605" s="247"/>
      <c r="W605" s="247"/>
      <c r="X605" s="247"/>
      <c r="Y605" s="247"/>
    </row>
    <row r="606" spans="1:25" x14ac:dyDescent="0.25">
      <c r="A606" s="243" t="s">
        <v>537</v>
      </c>
      <c r="B606" s="247"/>
      <c r="C606" s="247"/>
      <c r="D606" s="247"/>
      <c r="E606" s="247"/>
      <c r="F606" s="247"/>
      <c r="G606" s="247"/>
      <c r="H606" s="247"/>
      <c r="I606" s="247"/>
      <c r="J606" s="247"/>
      <c r="K606" s="247"/>
      <c r="L606" s="247"/>
      <c r="M606" s="247"/>
      <c r="N606" s="247"/>
      <c r="O606" s="247"/>
      <c r="P606" s="247"/>
      <c r="Q606" s="247"/>
      <c r="R606" s="247"/>
      <c r="S606" s="247"/>
      <c r="T606" s="247"/>
      <c r="U606" s="247"/>
      <c r="V606" s="247"/>
      <c r="W606" s="247"/>
      <c r="X606" s="247"/>
      <c r="Y606" s="247"/>
    </row>
    <row r="607" spans="1:25" x14ac:dyDescent="0.25">
      <c r="A607" s="243" t="s">
        <v>538</v>
      </c>
      <c r="B607" s="247"/>
      <c r="C607" s="247"/>
      <c r="D607" s="247"/>
      <c r="E607" s="247"/>
      <c r="F607" s="247"/>
      <c r="G607" s="247"/>
      <c r="H607" s="247"/>
      <c r="I607" s="247"/>
      <c r="J607" s="247"/>
      <c r="K607" s="247"/>
      <c r="L607" s="247"/>
      <c r="M607" s="247"/>
      <c r="N607" s="247"/>
      <c r="O607" s="247"/>
      <c r="P607" s="247"/>
      <c r="Q607" s="247"/>
      <c r="R607" s="247"/>
      <c r="S607" s="247"/>
      <c r="T607" s="247"/>
      <c r="U607" s="247"/>
      <c r="V607" s="247"/>
      <c r="W607" s="247"/>
      <c r="X607" s="247"/>
      <c r="Y607" s="247"/>
    </row>
    <row r="608" spans="1:25" x14ac:dyDescent="0.25">
      <c r="A608" s="243" t="s">
        <v>539</v>
      </c>
      <c r="B608" s="247"/>
      <c r="C608" s="247"/>
      <c r="D608" s="247"/>
      <c r="E608" s="247"/>
      <c r="F608" s="247"/>
      <c r="G608" s="247"/>
      <c r="H608" s="247"/>
      <c r="I608" s="247"/>
      <c r="J608" s="247"/>
      <c r="K608" s="247"/>
      <c r="L608" s="247"/>
      <c r="M608" s="247"/>
      <c r="N608" s="247"/>
      <c r="O608" s="247"/>
      <c r="P608" s="247"/>
      <c r="Q608" s="247"/>
      <c r="R608" s="247"/>
      <c r="S608" s="247"/>
      <c r="T608" s="247"/>
      <c r="U608" s="247"/>
      <c r="V608" s="247"/>
      <c r="W608" s="247"/>
      <c r="X608" s="247"/>
      <c r="Y608" s="247"/>
    </row>
    <row r="609" spans="1:26" x14ac:dyDescent="0.25">
      <c r="A609" s="243" t="s">
        <v>540</v>
      </c>
      <c r="B609" s="247"/>
      <c r="C609" s="247"/>
      <c r="D609" s="247"/>
      <c r="E609" s="247"/>
      <c r="F609" s="247"/>
      <c r="G609" s="247"/>
      <c r="H609" s="247"/>
      <c r="I609" s="247"/>
      <c r="J609" s="247"/>
      <c r="K609" s="247"/>
      <c r="L609" s="247"/>
      <c r="M609" s="247"/>
      <c r="N609" s="247"/>
      <c r="O609" s="247"/>
      <c r="P609" s="247"/>
      <c r="Q609" s="247"/>
      <c r="R609" s="247"/>
      <c r="S609" s="247"/>
      <c r="T609" s="247"/>
      <c r="U609" s="247"/>
      <c r="V609" s="247"/>
      <c r="W609" s="247"/>
      <c r="X609" s="247"/>
      <c r="Y609" s="247"/>
    </row>
    <row r="610" spans="1:26" x14ac:dyDescent="0.25">
      <c r="A610" s="243" t="s">
        <v>541</v>
      </c>
      <c r="B610" s="247"/>
      <c r="C610" s="247"/>
      <c r="D610" s="247"/>
      <c r="E610" s="247"/>
      <c r="F610" s="247"/>
      <c r="G610" s="247"/>
      <c r="H610" s="247"/>
      <c r="I610" s="247"/>
      <c r="J610" s="247"/>
      <c r="K610" s="247"/>
      <c r="L610" s="247"/>
      <c r="M610" s="247"/>
      <c r="N610" s="247"/>
      <c r="O610" s="247"/>
      <c r="P610" s="247"/>
      <c r="Q610" s="247"/>
      <c r="R610" s="247"/>
      <c r="S610" s="247"/>
      <c r="T610" s="247"/>
      <c r="U610" s="247"/>
      <c r="V610" s="247"/>
      <c r="W610" s="247"/>
      <c r="X610" s="247"/>
      <c r="Y610" s="247"/>
    </row>
    <row r="611" spans="1:26" x14ac:dyDescent="0.25">
      <c r="A611" s="243" t="s">
        <v>542</v>
      </c>
      <c r="B611" s="247"/>
      <c r="C611" s="247"/>
      <c r="D611" s="247"/>
      <c r="E611" s="247"/>
      <c r="F611" s="247"/>
      <c r="G611" s="247"/>
      <c r="H611" s="247"/>
      <c r="I611" s="247"/>
      <c r="J611" s="247"/>
      <c r="K611" s="247"/>
      <c r="L611" s="247"/>
      <c r="M611" s="247"/>
      <c r="N611" s="247"/>
      <c r="O611" s="247"/>
      <c r="P611" s="247"/>
      <c r="Q611" s="247"/>
      <c r="R611" s="247"/>
      <c r="S611" s="247"/>
      <c r="T611" s="247"/>
      <c r="U611" s="247"/>
      <c r="V611" s="247"/>
      <c r="W611" s="247"/>
      <c r="X611" s="247"/>
      <c r="Y611" s="247"/>
    </row>
    <row r="612" spans="1:26" x14ac:dyDescent="0.25">
      <c r="A612" s="243" t="s">
        <v>543</v>
      </c>
      <c r="B612" s="247"/>
      <c r="C612" s="247"/>
      <c r="D612" s="247"/>
      <c r="E612" s="247"/>
      <c r="F612" s="247"/>
      <c r="G612" s="247"/>
      <c r="H612" s="247"/>
      <c r="I612" s="247"/>
      <c r="J612" s="247"/>
      <c r="K612" s="247"/>
      <c r="L612" s="247"/>
      <c r="M612" s="247"/>
      <c r="N612" s="247"/>
      <c r="O612" s="247"/>
      <c r="P612" s="247"/>
      <c r="Q612" s="247"/>
      <c r="R612" s="247"/>
      <c r="S612" s="247"/>
      <c r="T612" s="247"/>
      <c r="U612" s="247"/>
      <c r="V612" s="247"/>
      <c r="W612" s="247"/>
      <c r="X612" s="247"/>
      <c r="Y612" s="247"/>
    </row>
    <row r="613" spans="1:26" x14ac:dyDescent="0.25">
      <c r="A613" s="243" t="s">
        <v>544</v>
      </c>
      <c r="B613" s="247"/>
      <c r="C613" s="247"/>
      <c r="D613" s="247"/>
      <c r="E613" s="247"/>
      <c r="F613" s="247"/>
      <c r="G613" s="247"/>
      <c r="H613" s="247"/>
      <c r="I613" s="247"/>
      <c r="J613" s="247"/>
      <c r="K613" s="247"/>
      <c r="L613" s="247"/>
      <c r="M613" s="247"/>
      <c r="N613" s="247"/>
      <c r="O613" s="247"/>
      <c r="P613" s="247"/>
      <c r="Q613" s="247"/>
      <c r="R613" s="247"/>
      <c r="S613" s="247"/>
      <c r="T613" s="247"/>
      <c r="U613" s="247"/>
      <c r="V613" s="247"/>
      <c r="W613" s="247"/>
      <c r="X613" s="247"/>
      <c r="Y613" s="247"/>
    </row>
    <row r="614" spans="1:26" ht="13.8" thickBot="1" x14ac:dyDescent="0.3">
      <c r="A614" s="248" t="s">
        <v>545</v>
      </c>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row>
    <row r="615" spans="1:26" x14ac:dyDescent="0.25">
      <c r="A615" s="37"/>
      <c r="B615" s="37"/>
      <c r="C615" s="37"/>
      <c r="D615" s="37"/>
      <c r="E615" s="37"/>
      <c r="F615" s="37"/>
      <c r="G615" s="37"/>
      <c r="H615" s="37"/>
      <c r="I615" s="37"/>
      <c r="J615" s="37"/>
      <c r="K615" s="37"/>
      <c r="L615" s="37"/>
      <c r="M615" s="37"/>
      <c r="N615" s="37"/>
      <c r="O615" s="37"/>
      <c r="P615" s="37"/>
      <c r="Q615" s="37"/>
      <c r="R615" s="37"/>
      <c r="S615" s="37"/>
      <c r="T615" s="37"/>
      <c r="U615" s="37"/>
      <c r="V615" s="37"/>
      <c r="W615" s="37"/>
      <c r="X615" s="37"/>
      <c r="Y615" s="37"/>
      <c r="Z615" s="37"/>
    </row>
    <row r="616" spans="1:26" x14ac:dyDescent="0.25">
      <c r="A616" s="37"/>
      <c r="B616" s="37"/>
      <c r="C616" s="37"/>
      <c r="D616" s="37"/>
      <c r="E616" s="37"/>
      <c r="F616" s="37"/>
      <c r="G616" s="37"/>
      <c r="H616" s="37"/>
      <c r="I616" s="37"/>
      <c r="J616" s="37"/>
      <c r="K616" s="37"/>
      <c r="L616" s="37"/>
      <c r="M616" s="37"/>
      <c r="N616" s="37"/>
      <c r="O616" s="37"/>
      <c r="P616" s="37"/>
      <c r="Q616" s="37"/>
      <c r="R616" s="37"/>
      <c r="S616" s="37"/>
      <c r="T616" s="37"/>
      <c r="U616" s="37"/>
      <c r="V616" s="37"/>
      <c r="W616" s="37"/>
      <c r="X616" s="37"/>
      <c r="Y616" s="37"/>
      <c r="Z616" s="37"/>
    </row>
    <row r="617" spans="1:26" ht="13.8" thickBot="1" x14ac:dyDescent="0.3">
      <c r="A617" s="37"/>
      <c r="B617" s="37"/>
      <c r="C617" s="37"/>
      <c r="D617" s="37"/>
      <c r="E617" s="37"/>
      <c r="F617" s="37"/>
      <c r="G617" s="37"/>
      <c r="H617" s="37"/>
      <c r="I617" s="37"/>
      <c r="J617" s="37"/>
      <c r="K617" s="37"/>
      <c r="L617" s="37"/>
      <c r="M617" s="37"/>
      <c r="N617" s="37"/>
      <c r="O617" s="37"/>
      <c r="P617" s="37"/>
      <c r="Q617" s="37"/>
      <c r="R617" s="37"/>
      <c r="S617" s="37"/>
      <c r="T617" s="37"/>
      <c r="U617" s="37"/>
      <c r="V617" s="37"/>
      <c r="W617" s="37"/>
      <c r="X617" s="37"/>
      <c r="Y617" s="37"/>
      <c r="Z617" s="37"/>
    </row>
    <row r="618" spans="1:26" x14ac:dyDescent="0.25">
      <c r="A618" s="250" t="s">
        <v>546</v>
      </c>
      <c r="B618" s="251"/>
      <c r="C618" s="251" t="s">
        <v>840</v>
      </c>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row>
    <row r="619" spans="1:26" x14ac:dyDescent="0.25">
      <c r="A619" s="252" t="s">
        <v>547</v>
      </c>
      <c r="B619" s="244"/>
      <c r="C619" s="1594" t="s">
        <v>845</v>
      </c>
      <c r="D619" s="1594"/>
      <c r="E619" s="1594"/>
      <c r="F619" s="1594"/>
      <c r="G619" s="1594"/>
      <c r="H619" s="1594"/>
      <c r="I619" s="1594"/>
      <c r="J619" s="1594"/>
      <c r="K619" s="1594"/>
      <c r="L619" s="1594"/>
      <c r="M619" s="1594"/>
      <c r="N619" s="1594"/>
      <c r="O619" s="1594"/>
      <c r="P619" s="1594"/>
      <c r="Q619" s="1594"/>
      <c r="R619" s="1594"/>
      <c r="S619" s="1594"/>
      <c r="T619" s="1594"/>
      <c r="U619" s="1594"/>
      <c r="V619" s="1594"/>
      <c r="W619" s="1594"/>
      <c r="X619" s="1594"/>
      <c r="Y619" s="1594"/>
    </row>
    <row r="620" spans="1:26" x14ac:dyDescent="0.25">
      <c r="A620" s="243" t="s">
        <v>548</v>
      </c>
      <c r="B620" s="244"/>
      <c r="C620" s="1594" t="s">
        <v>846</v>
      </c>
      <c r="D620" s="1594"/>
      <c r="E620" s="1594"/>
      <c r="F620" s="1594"/>
      <c r="G620" s="1594"/>
      <c r="H620" s="1594"/>
      <c r="I620" s="1594"/>
      <c r="J620" s="1594"/>
      <c r="K620" s="1594"/>
      <c r="L620" s="1594"/>
      <c r="M620" s="1594"/>
      <c r="N620" s="1594"/>
      <c r="O620" s="1594"/>
      <c r="P620" s="1594"/>
      <c r="Q620" s="1594"/>
      <c r="R620" s="1594"/>
      <c r="S620" s="1594"/>
      <c r="T620" s="1594"/>
      <c r="U620" s="1594"/>
      <c r="V620" s="1594"/>
      <c r="W620" s="1594"/>
      <c r="X620" s="1594"/>
      <c r="Y620" s="1594"/>
    </row>
    <row r="621" spans="1:26" x14ac:dyDescent="0.25">
      <c r="A621" s="245" t="s">
        <v>432</v>
      </c>
      <c r="B621" s="244"/>
      <c r="C621" s="244"/>
      <c r="D621" s="244"/>
      <c r="E621" s="244"/>
      <c r="F621" s="244"/>
      <c r="G621" s="244"/>
      <c r="H621" s="244"/>
      <c r="I621" s="244"/>
      <c r="J621" s="244"/>
      <c r="K621" s="244"/>
      <c r="L621" s="244"/>
      <c r="M621" s="244"/>
      <c r="N621" s="244"/>
      <c r="O621" s="244"/>
      <c r="P621" s="244"/>
      <c r="Q621" s="244"/>
      <c r="R621" s="244"/>
      <c r="S621" s="244"/>
      <c r="T621" s="244"/>
      <c r="U621" s="244"/>
      <c r="V621" s="244"/>
      <c r="W621" s="244"/>
      <c r="X621" s="244"/>
      <c r="Y621" s="244"/>
    </row>
    <row r="622" spans="1:26" x14ac:dyDescent="0.25">
      <c r="A622" s="243"/>
      <c r="B622" s="244"/>
      <c r="C622" s="289"/>
      <c r="D622" s="244"/>
      <c r="E622" s="244"/>
      <c r="F622" s="244"/>
      <c r="G622" s="244"/>
      <c r="H622" s="244"/>
      <c r="I622" s="244"/>
      <c r="J622" s="244"/>
      <c r="K622" s="244"/>
      <c r="L622" s="244"/>
      <c r="M622" s="244"/>
      <c r="N622" s="244"/>
      <c r="O622" s="244"/>
      <c r="P622" s="244"/>
      <c r="Q622" s="244"/>
      <c r="R622" s="244"/>
      <c r="S622" s="244"/>
      <c r="T622" s="244"/>
      <c r="U622" s="244"/>
      <c r="V622" s="244"/>
      <c r="W622" s="244"/>
      <c r="X622" s="244"/>
      <c r="Y622" s="244"/>
    </row>
    <row r="623" spans="1:26" x14ac:dyDescent="0.25">
      <c r="A623" s="243" t="s">
        <v>433</v>
      </c>
      <c r="B623" s="244"/>
      <c r="C623" s="244"/>
      <c r="D623" s="244"/>
      <c r="E623" s="244"/>
      <c r="F623" s="244"/>
      <c r="G623" s="244"/>
      <c r="H623" s="244"/>
      <c r="I623" s="244"/>
      <c r="J623" s="244"/>
      <c r="K623" s="244"/>
      <c r="L623" s="244"/>
      <c r="M623" s="244"/>
      <c r="N623" s="244"/>
      <c r="O623" s="244"/>
      <c r="P623" s="244"/>
      <c r="Q623" s="244"/>
      <c r="R623" s="244"/>
      <c r="S623" s="244"/>
      <c r="T623" s="244"/>
      <c r="U623" s="244"/>
      <c r="V623" s="244"/>
      <c r="W623" s="244"/>
      <c r="X623" s="244"/>
      <c r="Y623" s="244"/>
    </row>
    <row r="624" spans="1:26" x14ac:dyDescent="0.25">
      <c r="A624" s="243" t="s">
        <v>434</v>
      </c>
      <c r="B624" s="244"/>
      <c r="C624" s="244"/>
      <c r="D624" s="244"/>
      <c r="E624" s="244"/>
      <c r="F624" s="244"/>
      <c r="G624" s="244"/>
      <c r="H624" s="244"/>
      <c r="I624" s="244"/>
      <c r="J624" s="244"/>
      <c r="K624" s="244"/>
      <c r="L624" s="244"/>
      <c r="M624" s="244"/>
      <c r="N624" s="244"/>
      <c r="O624" s="244"/>
      <c r="P624" s="244"/>
      <c r="Q624" s="244"/>
      <c r="R624" s="244"/>
      <c r="S624" s="244"/>
      <c r="T624" s="244"/>
      <c r="U624" s="244"/>
      <c r="V624" s="244"/>
      <c r="W624" s="244"/>
      <c r="X624" s="244"/>
      <c r="Y624" s="244"/>
    </row>
    <row r="625" spans="1:26" x14ac:dyDescent="0.25">
      <c r="A625" s="243"/>
      <c r="B625" s="244"/>
      <c r="C625" s="244"/>
      <c r="D625" s="244"/>
      <c r="E625" s="244"/>
      <c r="F625" s="244"/>
      <c r="G625" s="244"/>
      <c r="H625" s="244"/>
      <c r="I625" s="244"/>
      <c r="J625" s="244"/>
      <c r="K625" s="244"/>
      <c r="L625" s="244"/>
      <c r="M625" s="244"/>
      <c r="N625" s="244"/>
      <c r="O625" s="244"/>
      <c r="P625" s="244"/>
      <c r="Q625" s="244"/>
      <c r="R625" s="244"/>
      <c r="S625" s="244"/>
      <c r="T625" s="244"/>
      <c r="U625" s="244"/>
      <c r="V625" s="244"/>
      <c r="W625" s="244"/>
      <c r="X625" s="244"/>
      <c r="Y625" s="244"/>
      <c r="Z625" t="s">
        <v>576</v>
      </c>
    </row>
    <row r="626" spans="1:26" x14ac:dyDescent="0.25">
      <c r="A626" s="243" t="s">
        <v>426</v>
      </c>
      <c r="B626" s="244" t="s">
        <v>435</v>
      </c>
      <c r="C626" s="244" t="s">
        <v>436</v>
      </c>
      <c r="D626" s="244" t="s">
        <v>437</v>
      </c>
      <c r="E626" s="244" t="s">
        <v>438</v>
      </c>
      <c r="F626" s="244" t="s">
        <v>439</v>
      </c>
      <c r="G626" s="244" t="s">
        <v>440</v>
      </c>
      <c r="H626" s="244" t="s">
        <v>441</v>
      </c>
      <c r="I626" s="244" t="s">
        <v>442</v>
      </c>
      <c r="J626" s="244" t="s">
        <v>443</v>
      </c>
      <c r="K626" s="244" t="s">
        <v>444</v>
      </c>
      <c r="L626" s="244" t="s">
        <v>445</v>
      </c>
      <c r="M626" s="244" t="s">
        <v>446</v>
      </c>
      <c r="N626" s="244" t="s">
        <v>447</v>
      </c>
      <c r="O626" s="244" t="s">
        <v>448</v>
      </c>
      <c r="P626" s="244" t="s">
        <v>449</v>
      </c>
      <c r="Q626" s="244" t="s">
        <v>450</v>
      </c>
      <c r="R626" s="244" t="s">
        <v>451</v>
      </c>
      <c r="S626" s="244" t="s">
        <v>452</v>
      </c>
      <c r="T626" s="244" t="s">
        <v>453</v>
      </c>
      <c r="U626" s="244" t="s">
        <v>454</v>
      </c>
      <c r="V626" s="244" t="s">
        <v>455</v>
      </c>
      <c r="W626" s="244" t="s">
        <v>456</v>
      </c>
      <c r="X626" s="244" t="s">
        <v>457</v>
      </c>
      <c r="Y626" s="244" t="s">
        <v>458</v>
      </c>
      <c r="Z626">
        <v>2026</v>
      </c>
    </row>
    <row r="627" spans="1:26" x14ac:dyDescent="0.25">
      <c r="A627" s="243" t="s">
        <v>426</v>
      </c>
      <c r="B627" s="244" t="s">
        <v>426</v>
      </c>
      <c r="C627" s="244" t="s">
        <v>426</v>
      </c>
      <c r="D627" s="244" t="s">
        <v>426</v>
      </c>
      <c r="E627" s="244" t="s">
        <v>426</v>
      </c>
      <c r="F627" s="244" t="s">
        <v>426</v>
      </c>
      <c r="G627" s="244" t="s">
        <v>426</v>
      </c>
      <c r="H627" s="244" t="s">
        <v>426</v>
      </c>
      <c r="I627" s="244" t="s">
        <v>426</v>
      </c>
      <c r="J627" s="244" t="s">
        <v>426</v>
      </c>
      <c r="K627" s="244" t="s">
        <v>426</v>
      </c>
      <c r="L627" s="244" t="s">
        <v>426</v>
      </c>
      <c r="M627" s="244" t="s">
        <v>426</v>
      </c>
      <c r="N627" s="244" t="s">
        <v>426</v>
      </c>
      <c r="O627" s="244" t="s">
        <v>426</v>
      </c>
      <c r="P627" s="244" t="s">
        <v>426</v>
      </c>
      <c r="Q627" s="244" t="s">
        <v>426</v>
      </c>
      <c r="R627" s="244" t="s">
        <v>426</v>
      </c>
      <c r="S627" s="244" t="s">
        <v>426</v>
      </c>
      <c r="T627" s="244" t="s">
        <v>426</v>
      </c>
      <c r="U627" s="244" t="s">
        <v>426</v>
      </c>
      <c r="V627" s="244" t="s">
        <v>426</v>
      </c>
      <c r="W627" s="244" t="s">
        <v>426</v>
      </c>
      <c r="X627" s="244" t="s">
        <v>426</v>
      </c>
      <c r="Y627" s="244" t="s">
        <v>426</v>
      </c>
    </row>
    <row r="628" spans="1:26" x14ac:dyDescent="0.25">
      <c r="A628" s="243" t="s">
        <v>459</v>
      </c>
      <c r="B628" s="247">
        <v>15.0220499038696</v>
      </c>
      <c r="C628" s="247">
        <v>15.811363220214799</v>
      </c>
      <c r="D628" s="247">
        <v>16.426000595092798</v>
      </c>
      <c r="E628" s="247">
        <v>16.4650573730469</v>
      </c>
      <c r="F628" s="247">
        <v>15.8399600982666</v>
      </c>
      <c r="G628" s="247">
        <v>15.268068313598601</v>
      </c>
      <c r="H628" s="247">
        <v>14.8466091156006</v>
      </c>
      <c r="I628" s="247">
        <v>14.7514638900757</v>
      </c>
      <c r="J628" s="247">
        <v>14.6550188064575</v>
      </c>
      <c r="K628" s="247">
        <v>14.6146650314331</v>
      </c>
      <c r="L628" s="247">
        <v>14.723385810852101</v>
      </c>
      <c r="M628" s="247">
        <v>14.890528678894</v>
      </c>
      <c r="N628" s="247">
        <v>15.1057291030884</v>
      </c>
      <c r="O628" s="247">
        <v>15.213768959045399</v>
      </c>
      <c r="P628" s="247">
        <v>15.3079509735107</v>
      </c>
      <c r="Q628" s="247">
        <v>15.3113193511963</v>
      </c>
      <c r="R628" s="247">
        <v>15.4291744232178</v>
      </c>
      <c r="S628" s="247">
        <v>15.6326360702515</v>
      </c>
      <c r="T628" s="247">
        <v>15.9024982452393</v>
      </c>
      <c r="U628" s="247">
        <v>16.1096382141113</v>
      </c>
      <c r="V628" s="247">
        <v>16.157627105712901</v>
      </c>
      <c r="W628" s="247">
        <v>16.2051906585693</v>
      </c>
      <c r="X628" s="247">
        <v>16.309419631958001</v>
      </c>
      <c r="Y628" s="247">
        <v>16.471462249755898</v>
      </c>
    </row>
    <row r="629" spans="1:26" x14ac:dyDescent="0.25">
      <c r="A629" s="243" t="s">
        <v>460</v>
      </c>
      <c r="B629" s="247">
        <v>8.3285751342773402</v>
      </c>
      <c r="C629" s="247">
        <v>9.67810153961182</v>
      </c>
      <c r="D629" s="247">
        <v>10.65163230896</v>
      </c>
      <c r="E629" s="247">
        <v>10.5740642547607</v>
      </c>
      <c r="F629" s="247">
        <v>9.9307842254638707</v>
      </c>
      <c r="G629" s="247">
        <v>9.5159215927124006</v>
      </c>
      <c r="H629" s="247">
        <v>9.1046285629272496</v>
      </c>
      <c r="I629" s="247">
        <v>8.8910932540893608</v>
      </c>
      <c r="J629" s="247">
        <v>8.7197055816650408</v>
      </c>
      <c r="K629" s="247">
        <v>8.6297874450683594</v>
      </c>
      <c r="L629" s="247">
        <v>8.6824674606323207</v>
      </c>
      <c r="M629" s="247">
        <v>8.7884712219238299</v>
      </c>
      <c r="N629" s="247">
        <v>8.9080095291137695</v>
      </c>
      <c r="O629" s="247">
        <v>9.0072793960571307</v>
      </c>
      <c r="P629" s="247">
        <v>9.0682640075683594</v>
      </c>
      <c r="Q629" s="247">
        <v>9.0415534973144496</v>
      </c>
      <c r="R629" s="247">
        <v>9.1060371398925799</v>
      </c>
      <c r="S629" s="247">
        <v>9.2553215026855504</v>
      </c>
      <c r="T629" s="247">
        <v>9.4607038497924805</v>
      </c>
      <c r="U629" s="247">
        <v>9.6327857971191406</v>
      </c>
      <c r="V629" s="247">
        <v>9.6968526840209996</v>
      </c>
      <c r="W629" s="247">
        <v>9.7728433609008807</v>
      </c>
      <c r="X629" s="247">
        <v>9.8535881042480504</v>
      </c>
      <c r="Y629" s="247">
        <v>9.9786624908447301</v>
      </c>
    </row>
    <row r="630" spans="1:26" x14ac:dyDescent="0.25">
      <c r="A630" s="243" t="s">
        <v>461</v>
      </c>
      <c r="B630" s="247">
        <v>10.0436496734619</v>
      </c>
      <c r="C630" s="247">
        <v>11.266843795776399</v>
      </c>
      <c r="D630" s="247">
        <v>13.0600233078003</v>
      </c>
      <c r="E630" s="247">
        <v>12.5262851715088</v>
      </c>
      <c r="F630" s="247">
        <v>12.207064628601101</v>
      </c>
      <c r="G630" s="247">
        <v>12.234001159668001</v>
      </c>
      <c r="H630" s="247">
        <v>12.201937675476101</v>
      </c>
      <c r="I630" s="247">
        <v>12.2015285491943</v>
      </c>
      <c r="J630" s="247">
        <v>12.262092590331999</v>
      </c>
      <c r="K630" s="247">
        <v>12.1512393951416</v>
      </c>
      <c r="L630" s="247">
        <v>12.1732091903687</v>
      </c>
      <c r="M630" s="247">
        <v>12.1968584060669</v>
      </c>
      <c r="N630" s="247">
        <v>12.177050590515099</v>
      </c>
      <c r="O630" s="247">
        <v>12.2115392684937</v>
      </c>
      <c r="P630" s="247">
        <v>12.3804988861084</v>
      </c>
      <c r="Q630" s="247">
        <v>12.519121170043899</v>
      </c>
      <c r="R630" s="247">
        <v>12.6585578918457</v>
      </c>
      <c r="S630" s="247">
        <v>12.798875808715801</v>
      </c>
      <c r="T630" s="247">
        <v>12.8676557540894</v>
      </c>
      <c r="U630" s="247">
        <v>13.13560962677</v>
      </c>
      <c r="V630" s="247">
        <v>13.328717231750501</v>
      </c>
      <c r="W630" s="247">
        <v>13.556846618652299</v>
      </c>
      <c r="X630" s="247">
        <v>13.722979545593301</v>
      </c>
      <c r="Y630" s="247">
        <v>13.940701484680201</v>
      </c>
    </row>
    <row r="631" spans="1:26" x14ac:dyDescent="0.25">
      <c r="A631" s="243" t="s">
        <v>462</v>
      </c>
      <c r="B631" s="247">
        <v>8.3698368072509801</v>
      </c>
      <c r="C631" s="247">
        <v>9.5702075958252006</v>
      </c>
      <c r="D631" s="247">
        <v>10.537187576293899</v>
      </c>
      <c r="E631" s="247">
        <v>10.120927810668899</v>
      </c>
      <c r="F631" s="247">
        <v>9.8627185821533203</v>
      </c>
      <c r="G631" s="247">
        <v>9.8399791717529297</v>
      </c>
      <c r="H631" s="247">
        <v>9.8302927017211896</v>
      </c>
      <c r="I631" s="247">
        <v>9.8297405242919904</v>
      </c>
      <c r="J631" s="247">
        <v>9.8252134323120099</v>
      </c>
      <c r="K631" s="247">
        <v>9.7093524932861293</v>
      </c>
      <c r="L631" s="247">
        <v>9.7021694183349592</v>
      </c>
      <c r="M631" s="247">
        <v>9.7383060455322301</v>
      </c>
      <c r="N631" s="247">
        <v>9.80072116851807</v>
      </c>
      <c r="O631" s="247">
        <v>9.7244081497192401</v>
      </c>
      <c r="P631" s="247">
        <v>9.8378829956054705</v>
      </c>
      <c r="Q631" s="247">
        <v>9.8340024948120099</v>
      </c>
      <c r="R631" s="247">
        <v>9.9226865768432599</v>
      </c>
      <c r="S631" s="247">
        <v>10.0213985443115</v>
      </c>
      <c r="T631" s="247">
        <v>10.078977584838899</v>
      </c>
      <c r="U631" s="247">
        <v>10.280327796936</v>
      </c>
      <c r="V631" s="247">
        <v>10.3802833557129</v>
      </c>
      <c r="W631" s="247">
        <v>10.4678192138672</v>
      </c>
      <c r="X631" s="247">
        <v>10.5482635498047</v>
      </c>
      <c r="Y631" s="247">
        <v>10.6469841003418</v>
      </c>
    </row>
    <row r="632" spans="1:26" x14ac:dyDescent="0.25">
      <c r="A632" s="243" t="s">
        <v>463</v>
      </c>
      <c r="B632" s="247">
        <v>12.976583480835</v>
      </c>
      <c r="C632" s="247">
        <v>14.582922935485801</v>
      </c>
      <c r="D632" s="247">
        <v>17.570188522338899</v>
      </c>
      <c r="E632" s="247">
        <v>17.073205947876001</v>
      </c>
      <c r="F632" s="247">
        <v>16.564285278320298</v>
      </c>
      <c r="G632" s="247">
        <v>16.581449508666999</v>
      </c>
      <c r="H632" s="247">
        <v>16.4250888824463</v>
      </c>
      <c r="I632" s="247">
        <v>16.346086502075199</v>
      </c>
      <c r="J632" s="247">
        <v>16.4532871246338</v>
      </c>
      <c r="K632" s="247">
        <v>16.288703918456999</v>
      </c>
      <c r="L632" s="247">
        <v>16.298521041870099</v>
      </c>
      <c r="M632" s="247">
        <v>16.236286163330099</v>
      </c>
      <c r="N632" s="247">
        <v>15.99489402771</v>
      </c>
      <c r="O632" s="247">
        <v>16.1197624206543</v>
      </c>
      <c r="P632" s="247">
        <v>16.286623001098601</v>
      </c>
      <c r="Q632" s="247">
        <v>16.56103515625</v>
      </c>
      <c r="R632" s="247">
        <v>16.690963745117202</v>
      </c>
      <c r="S632" s="247">
        <v>16.804660797119102</v>
      </c>
      <c r="T632" s="247">
        <v>16.7820129394531</v>
      </c>
      <c r="U632" s="247">
        <v>17.028240203857401</v>
      </c>
      <c r="V632" s="247">
        <v>17.2251377105713</v>
      </c>
      <c r="W632" s="247">
        <v>17.515983581543001</v>
      </c>
      <c r="X632" s="247">
        <v>17.670423507690401</v>
      </c>
      <c r="Y632" s="247">
        <v>17.9113578796387</v>
      </c>
    </row>
    <row r="633" spans="1:26" x14ac:dyDescent="0.25">
      <c r="A633" s="243" t="s">
        <v>464</v>
      </c>
      <c r="B633" s="247">
        <v>7.8179483413696298</v>
      </c>
      <c r="C633" s="247">
        <v>9.2187824249267596</v>
      </c>
      <c r="D633" s="247">
        <v>9.9373655319213903</v>
      </c>
      <c r="E633" s="247">
        <v>10.036292076110801</v>
      </c>
      <c r="F633" s="247">
        <v>9.3139858245849592</v>
      </c>
      <c r="G633" s="247">
        <v>8.7959203720092791</v>
      </c>
      <c r="H633" s="247">
        <v>8.3035001754760707</v>
      </c>
      <c r="I633" s="247">
        <v>8.0470056533813494</v>
      </c>
      <c r="J633" s="247">
        <v>7.8287873268127397</v>
      </c>
      <c r="K633" s="247">
        <v>7.7531881332397496</v>
      </c>
      <c r="L633" s="247">
        <v>7.8190288543701199</v>
      </c>
      <c r="M633" s="247">
        <v>7.9488449096679696</v>
      </c>
      <c r="N633" s="247">
        <v>8.1063919067382795</v>
      </c>
      <c r="O633" s="247">
        <v>8.2242641448974592</v>
      </c>
      <c r="P633" s="247">
        <v>8.2648267745971697</v>
      </c>
      <c r="Q633" s="247">
        <v>8.2073183059692401</v>
      </c>
      <c r="R633" s="247">
        <v>8.2647809982299805</v>
      </c>
      <c r="S633" s="247">
        <v>8.4262142181396502</v>
      </c>
      <c r="T633" s="247">
        <v>8.6721630096435494</v>
      </c>
      <c r="U633" s="247">
        <v>8.83197021484375</v>
      </c>
      <c r="V633" s="247">
        <v>8.8790025711059606</v>
      </c>
      <c r="W633" s="247">
        <v>8.93493747711182</v>
      </c>
      <c r="X633" s="247">
        <v>9.0109558105468803</v>
      </c>
      <c r="Y633" s="247">
        <v>9.1305398941040004</v>
      </c>
    </row>
    <row r="634" spans="1:26" x14ac:dyDescent="0.25">
      <c r="A634" s="243" t="s">
        <v>465</v>
      </c>
      <c r="B634" s="247">
        <v>25.222642898559599</v>
      </c>
      <c r="C634" s="247">
        <v>25.415189743041999</v>
      </c>
      <c r="D634" s="247">
        <v>25.1915378570557</v>
      </c>
      <c r="E634" s="247">
        <v>25.148117065429702</v>
      </c>
      <c r="F634" s="247">
        <v>24.4542636871338</v>
      </c>
      <c r="G634" s="247">
        <v>23.578901290893601</v>
      </c>
      <c r="H634" s="247">
        <v>23.091381072998001</v>
      </c>
      <c r="I634" s="247">
        <v>23.1348171234131</v>
      </c>
      <c r="J634" s="247">
        <v>23.120912551879901</v>
      </c>
      <c r="K634" s="247">
        <v>23.118898391723601</v>
      </c>
      <c r="L634" s="247">
        <v>23.2529602050781</v>
      </c>
      <c r="M634" s="247">
        <v>23.4250183105469</v>
      </c>
      <c r="N634" s="247">
        <v>23.684103012085</v>
      </c>
      <c r="O634" s="247">
        <v>23.7079162597656</v>
      </c>
      <c r="P634" s="247">
        <v>23.7613220214844</v>
      </c>
      <c r="Q634" s="247">
        <v>23.722099304199201</v>
      </c>
      <c r="R634" s="247">
        <v>23.8309440612793</v>
      </c>
      <c r="S634" s="247">
        <v>24.013486862182599</v>
      </c>
      <c r="T634" s="247">
        <v>24.267650604248001</v>
      </c>
      <c r="U634" s="247">
        <v>24.4126377105713</v>
      </c>
      <c r="V634" s="247">
        <v>24.3365364074707</v>
      </c>
      <c r="W634" s="247">
        <v>24.2477512359619</v>
      </c>
      <c r="X634" s="247">
        <v>24.2885627746582</v>
      </c>
      <c r="Y634" s="247">
        <v>24.396659851074201</v>
      </c>
    </row>
    <row r="635" spans="1:26" x14ac:dyDescent="0.25">
      <c r="A635" s="243" t="s">
        <v>426</v>
      </c>
      <c r="B635" s="247" t="s">
        <v>426</v>
      </c>
      <c r="C635" s="247" t="s">
        <v>426</v>
      </c>
      <c r="D635" s="247" t="s">
        <v>426</v>
      </c>
      <c r="E635" s="247" t="s">
        <v>426</v>
      </c>
      <c r="F635" s="247" t="s">
        <v>426</v>
      </c>
      <c r="G635" s="247" t="s">
        <v>426</v>
      </c>
      <c r="H635" s="247" t="s">
        <v>426</v>
      </c>
      <c r="I635" s="247" t="s">
        <v>426</v>
      </c>
      <c r="J635" s="247" t="s">
        <v>426</v>
      </c>
      <c r="K635" s="247" t="s">
        <v>426</v>
      </c>
      <c r="L635" s="247" t="s">
        <v>426</v>
      </c>
      <c r="M635" s="247" t="s">
        <v>426</v>
      </c>
      <c r="N635" s="247" t="s">
        <v>426</v>
      </c>
      <c r="O635" s="247" t="s">
        <v>426</v>
      </c>
      <c r="P635" s="247" t="s">
        <v>426</v>
      </c>
      <c r="Q635" s="247" t="s">
        <v>426</v>
      </c>
      <c r="R635" s="247" t="s">
        <v>426</v>
      </c>
      <c r="S635" s="247" t="s">
        <v>426</v>
      </c>
      <c r="T635" s="247" t="s">
        <v>426</v>
      </c>
      <c r="U635" s="247" t="s">
        <v>426</v>
      </c>
      <c r="V635" s="247" t="s">
        <v>426</v>
      </c>
      <c r="W635" s="247" t="s">
        <v>426</v>
      </c>
      <c r="X635" s="247" t="s">
        <v>426</v>
      </c>
      <c r="Y635" s="247" t="s">
        <v>426</v>
      </c>
    </row>
    <row r="636" spans="1:26" x14ac:dyDescent="0.25">
      <c r="A636" s="243" t="s">
        <v>466</v>
      </c>
      <c r="B636" s="247">
        <v>15.064169883728001</v>
      </c>
      <c r="C636" s="247">
        <v>15.629265785217299</v>
      </c>
      <c r="D636" s="247">
        <v>15.835695266723601</v>
      </c>
      <c r="E636" s="247">
        <v>15.918652534484901</v>
      </c>
      <c r="F636" s="247">
        <v>15.2065124511719</v>
      </c>
      <c r="G636" s="247">
        <v>14.526217460632299</v>
      </c>
      <c r="H636" s="247">
        <v>14.119109153747599</v>
      </c>
      <c r="I636" s="247">
        <v>14.0872592926025</v>
      </c>
      <c r="J636" s="247">
        <v>14.0534925460815</v>
      </c>
      <c r="K636" s="247">
        <v>14.108097076416</v>
      </c>
      <c r="L636" s="247">
        <v>14.338217735290501</v>
      </c>
      <c r="M636" s="247">
        <v>14.584888458251999</v>
      </c>
      <c r="N636" s="247">
        <v>14.9309749603271</v>
      </c>
      <c r="O636" s="247">
        <v>15.096228599548301</v>
      </c>
      <c r="P636" s="247">
        <v>15.2413949966431</v>
      </c>
      <c r="Q636" s="247">
        <v>15.255002975463899</v>
      </c>
      <c r="R636" s="247">
        <v>15.399823188781699</v>
      </c>
      <c r="S636" s="247">
        <v>15.6329202651978</v>
      </c>
      <c r="T636" s="247">
        <v>15.9477081298828</v>
      </c>
      <c r="U636" s="247">
        <v>16.179660797119102</v>
      </c>
      <c r="V636" s="247">
        <v>16.227045059204102</v>
      </c>
      <c r="W636" s="247">
        <v>16.249193191528299</v>
      </c>
      <c r="X636" s="247">
        <v>16.367641448974599</v>
      </c>
      <c r="Y636" s="247">
        <v>16.5326118469238</v>
      </c>
    </row>
    <row r="637" spans="1:26" x14ac:dyDescent="0.25">
      <c r="A637" s="243" t="s">
        <v>460</v>
      </c>
      <c r="B637" s="247">
        <v>6.5697088241577104</v>
      </c>
      <c r="C637" s="247">
        <v>7.9157042503356898</v>
      </c>
      <c r="D637" s="247">
        <v>8.3734045028686506</v>
      </c>
      <c r="E637" s="247">
        <v>8.3685989379882795</v>
      </c>
      <c r="F637" s="247">
        <v>7.9054894447326696</v>
      </c>
      <c r="G637" s="247">
        <v>7.6067800521850604</v>
      </c>
      <c r="H637" s="247">
        <v>7.3189792633056596</v>
      </c>
      <c r="I637" s="247">
        <v>7.2159371376037598</v>
      </c>
      <c r="J637" s="247">
        <v>7.1498117446899396</v>
      </c>
      <c r="K637" s="247">
        <v>7.1872353553771999</v>
      </c>
      <c r="L637" s="247">
        <v>7.2290387153625497</v>
      </c>
      <c r="M637" s="247">
        <v>7.30631303787231</v>
      </c>
      <c r="N637" s="247">
        <v>7.4108529090881303</v>
      </c>
      <c r="O637" s="247">
        <v>7.4683656692504901</v>
      </c>
      <c r="P637" s="247">
        <v>7.4930505752563503</v>
      </c>
      <c r="Q637" s="247">
        <v>7.43192434310913</v>
      </c>
      <c r="R637" s="247">
        <v>7.4779849052429199</v>
      </c>
      <c r="S637" s="247">
        <v>7.60019826889038</v>
      </c>
      <c r="T637" s="247">
        <v>7.7867598533630398</v>
      </c>
      <c r="U637" s="247">
        <v>7.91162109375</v>
      </c>
      <c r="V637" s="247">
        <v>7.9430484771728498</v>
      </c>
      <c r="W637" s="247">
        <v>7.9890594482421902</v>
      </c>
      <c r="X637" s="247">
        <v>8.0587644577026403</v>
      </c>
      <c r="Y637" s="247">
        <v>8.1779403686523402</v>
      </c>
    </row>
    <row r="638" spans="1:26" x14ac:dyDescent="0.25">
      <c r="A638" s="243" t="s">
        <v>461</v>
      </c>
      <c r="B638" s="247">
        <v>6.9482707977294904</v>
      </c>
      <c r="C638" s="247">
        <v>8.0266513824462908</v>
      </c>
      <c r="D638" s="247">
        <v>8.9197740554809606</v>
      </c>
      <c r="E638" s="247">
        <v>8.6532411575317401</v>
      </c>
      <c r="F638" s="247">
        <v>8.7558631896972692</v>
      </c>
      <c r="G638" s="247">
        <v>8.8328323364257795</v>
      </c>
      <c r="H638" s="247">
        <v>8.8167963027954102</v>
      </c>
      <c r="I638" s="247">
        <v>8.8182945251464808</v>
      </c>
      <c r="J638" s="247">
        <v>8.8873138427734393</v>
      </c>
      <c r="K638" s="247">
        <v>8.9125509262084996</v>
      </c>
      <c r="L638" s="247">
        <v>8.9192247390747106</v>
      </c>
      <c r="M638" s="247">
        <v>8.8803482055664098</v>
      </c>
      <c r="N638" s="247">
        <v>8.8586578369140607</v>
      </c>
      <c r="O638" s="247">
        <v>8.7692289352416992</v>
      </c>
      <c r="P638" s="247">
        <v>8.7682600021362305</v>
      </c>
      <c r="Q638" s="247">
        <v>8.7373514175415004</v>
      </c>
      <c r="R638" s="247">
        <v>8.7862501144409197</v>
      </c>
      <c r="S638" s="247">
        <v>8.8491783142089808</v>
      </c>
      <c r="T638" s="247">
        <v>8.8908815383911097</v>
      </c>
      <c r="U638" s="247">
        <v>9.0514831542968803</v>
      </c>
      <c r="V638" s="247">
        <v>9.1475715637206996</v>
      </c>
      <c r="W638" s="247">
        <v>9.2663307189941406</v>
      </c>
      <c r="X638" s="247">
        <v>9.3906812667846697</v>
      </c>
      <c r="Y638" s="247">
        <v>9.6513500213622994</v>
      </c>
    </row>
    <row r="639" spans="1:26" x14ac:dyDescent="0.25">
      <c r="A639" s="243" t="s">
        <v>462</v>
      </c>
      <c r="B639" s="247">
        <v>6.1493649482727104</v>
      </c>
      <c r="C639" s="247">
        <v>7.03082323074341</v>
      </c>
      <c r="D639" s="247">
        <v>7.7272830009460396</v>
      </c>
      <c r="E639" s="247">
        <v>7.4210705757141104</v>
      </c>
      <c r="F639" s="247">
        <v>7.6805524826049796</v>
      </c>
      <c r="G639" s="247">
        <v>7.8215904235839799</v>
      </c>
      <c r="H639" s="247">
        <v>7.8266153335571298</v>
      </c>
      <c r="I639" s="247">
        <v>7.8668313026428196</v>
      </c>
      <c r="J639" s="247">
        <v>7.9658513069152797</v>
      </c>
      <c r="K639" s="247">
        <v>8.0328092575073207</v>
      </c>
      <c r="L639" s="247">
        <v>8.0569534301757795</v>
      </c>
      <c r="M639" s="247">
        <v>8.0234899520874006</v>
      </c>
      <c r="N639" s="247">
        <v>8.0314903259277308</v>
      </c>
      <c r="O639" s="247">
        <v>7.91062688827515</v>
      </c>
      <c r="P639" s="247">
        <v>7.8695487976074201</v>
      </c>
      <c r="Q639" s="247">
        <v>7.7933855056762704</v>
      </c>
      <c r="R639" s="247">
        <v>7.8344025611877397</v>
      </c>
      <c r="S639" s="247">
        <v>7.89571285247803</v>
      </c>
      <c r="T639" s="247">
        <v>7.9562859535217303</v>
      </c>
      <c r="U639" s="247">
        <v>8.1191616058349592</v>
      </c>
      <c r="V639" s="247">
        <v>8.2043952941894496</v>
      </c>
      <c r="W639" s="247">
        <v>8.3111848831176793</v>
      </c>
      <c r="X639" s="247">
        <v>8.4434480667114293</v>
      </c>
      <c r="Y639" s="247">
        <v>8.7515277862548793</v>
      </c>
    </row>
    <row r="640" spans="1:26" x14ac:dyDescent="0.25">
      <c r="A640" s="243" t="s">
        <v>467</v>
      </c>
      <c r="B640" s="247">
        <v>4.2683343887329102</v>
      </c>
      <c r="C640" s="247">
        <v>4.9646224975585902</v>
      </c>
      <c r="D640" s="247">
        <v>5.0606441497802699</v>
      </c>
      <c r="E640" s="247">
        <v>5.3499693870544398</v>
      </c>
      <c r="F640" s="247">
        <v>5.6657009124755904</v>
      </c>
      <c r="G640" s="247">
        <v>5.6566004753112802</v>
      </c>
      <c r="H640" s="247">
        <v>5.6533966064453098</v>
      </c>
      <c r="I640" s="247">
        <v>5.65053033828735</v>
      </c>
      <c r="J640" s="247">
        <v>5.6487455368042001</v>
      </c>
      <c r="K640" s="247">
        <v>5.6555466651916504</v>
      </c>
      <c r="L640" s="247">
        <v>5.6602473258972203</v>
      </c>
      <c r="M640" s="247">
        <v>5.6679368019104004</v>
      </c>
      <c r="N640" s="247">
        <v>5.6729874610900897</v>
      </c>
      <c r="O640" s="247">
        <v>5.6782984733581499</v>
      </c>
      <c r="P640" s="247">
        <v>5.7556295394897496</v>
      </c>
      <c r="Q640" s="247">
        <v>5.8296666145324698</v>
      </c>
      <c r="R640" s="247">
        <v>5.9058866500854501</v>
      </c>
      <c r="S640" s="247">
        <v>5.9829258918762198</v>
      </c>
      <c r="T640" s="247">
        <v>6.0580596923828098</v>
      </c>
      <c r="U640" s="247">
        <v>6.1354246139526403</v>
      </c>
      <c r="V640" s="247">
        <v>6.2122497558593803</v>
      </c>
      <c r="W640" s="247">
        <v>6.2891340255737296</v>
      </c>
      <c r="X640" s="247">
        <v>6.3645572662353498</v>
      </c>
      <c r="Y640" s="247">
        <v>6.4413762092590297</v>
      </c>
    </row>
    <row r="641" spans="1:26" x14ac:dyDescent="0.25">
      <c r="A641" s="268" t="s">
        <v>464</v>
      </c>
      <c r="B641" s="247">
        <v>6.6170339584350604</v>
      </c>
      <c r="C641" s="247">
        <v>8.0769119262695295</v>
      </c>
      <c r="D641" s="247">
        <v>8.4473829269409197</v>
      </c>
      <c r="E641" s="247">
        <v>8.5046024322509801</v>
      </c>
      <c r="F641" s="247">
        <v>7.8886041641235396</v>
      </c>
      <c r="G641" s="247">
        <v>7.4893965721130398</v>
      </c>
      <c r="H641" s="247">
        <v>7.1298856735229501</v>
      </c>
      <c r="I641" s="247">
        <v>7.0003471374511701</v>
      </c>
      <c r="J641" s="247">
        <v>6.9035739898681596</v>
      </c>
      <c r="K641" s="247">
        <v>6.94567918777466</v>
      </c>
      <c r="L641" s="247">
        <v>6.9973711967468297</v>
      </c>
      <c r="M641" s="247">
        <v>7.1022868156433097</v>
      </c>
      <c r="N641" s="247">
        <v>7.2368607521057102</v>
      </c>
      <c r="O641" s="247">
        <v>7.3275256156921396</v>
      </c>
      <c r="P641" s="247">
        <v>7.3574790954589799</v>
      </c>
      <c r="Q641" s="247">
        <v>7.2871475219726598</v>
      </c>
      <c r="R641" s="247">
        <v>7.3330197334289604</v>
      </c>
      <c r="S641" s="247">
        <v>7.4703903198242196</v>
      </c>
      <c r="T641" s="247">
        <v>7.6915035247802699</v>
      </c>
      <c r="U641" s="247">
        <v>7.8109488487243697</v>
      </c>
      <c r="V641" s="247">
        <v>7.8279361724853498</v>
      </c>
      <c r="W641" s="247">
        <v>7.8590941429138201</v>
      </c>
      <c r="X641" s="247">
        <v>7.9183402061462402</v>
      </c>
      <c r="Y641" s="247">
        <v>8.0110416412353498</v>
      </c>
      <c r="Z641" s="277">
        <f>Y641+($AI$471-$Y$641)/10</f>
        <v>8.0591226890564176</v>
      </c>
    </row>
    <row r="642" spans="1:26" x14ac:dyDescent="0.25">
      <c r="A642" s="270" t="s">
        <v>465</v>
      </c>
      <c r="B642" s="247">
        <v>23.353584289550799</v>
      </c>
      <c r="C642" s="247">
        <v>23.2374382019043</v>
      </c>
      <c r="D642" s="247">
        <v>23.0424194335938</v>
      </c>
      <c r="E642" s="247">
        <v>22.939121246337901</v>
      </c>
      <c r="F642" s="247">
        <v>21.907506942748999</v>
      </c>
      <c r="G642" s="247">
        <v>20.807579040527301</v>
      </c>
      <c r="H642" s="247">
        <v>20.2319431304932</v>
      </c>
      <c r="I642" s="247">
        <v>20.2009677886963</v>
      </c>
      <c r="J642" s="247">
        <v>20.132976531982401</v>
      </c>
      <c r="K642" s="247">
        <v>20.128959655761701</v>
      </c>
      <c r="L642" s="247">
        <v>20.445728302001999</v>
      </c>
      <c r="M642" s="247">
        <v>20.757715225219702</v>
      </c>
      <c r="N642" s="247">
        <v>21.231256484985401</v>
      </c>
      <c r="O642" s="247">
        <v>21.404373168945298</v>
      </c>
      <c r="P642" s="247">
        <v>21.571121215820298</v>
      </c>
      <c r="Q642" s="247">
        <v>21.578863143920898</v>
      </c>
      <c r="R642" s="247">
        <v>21.739751815795898</v>
      </c>
      <c r="S642" s="247">
        <v>21.989313125610401</v>
      </c>
      <c r="T642" s="247">
        <v>22.322486877441399</v>
      </c>
      <c r="U642" s="247">
        <v>22.5522785186768</v>
      </c>
      <c r="V642" s="247">
        <v>22.5369548797607</v>
      </c>
      <c r="W642" s="247">
        <v>22.469936370849599</v>
      </c>
      <c r="X642" s="247">
        <v>22.555665969848601</v>
      </c>
      <c r="Y642" s="247">
        <v>22.682601928710898</v>
      </c>
      <c r="Z642" s="279">
        <f>Y642+($AI$472-$Y$642)/10</f>
        <v>22.586698480675594</v>
      </c>
    </row>
    <row r="643" spans="1:26" x14ac:dyDescent="0.25">
      <c r="A643" s="243" t="s">
        <v>426</v>
      </c>
      <c r="B643" s="247" t="s">
        <v>426</v>
      </c>
      <c r="C643" s="247" t="s">
        <v>426</v>
      </c>
      <c r="D643" s="247" t="s">
        <v>426</v>
      </c>
      <c r="E643" s="247" t="s">
        <v>426</v>
      </c>
      <c r="F643" s="247" t="s">
        <v>426</v>
      </c>
      <c r="G643" s="247" t="s">
        <v>426</v>
      </c>
      <c r="H643" s="247" t="s">
        <v>426</v>
      </c>
      <c r="I643" s="247" t="s">
        <v>426</v>
      </c>
      <c r="J643" s="247" t="s">
        <v>426</v>
      </c>
      <c r="K643" s="247" t="s">
        <v>426</v>
      </c>
      <c r="L643" s="247" t="s">
        <v>426</v>
      </c>
      <c r="M643" s="247" t="s">
        <v>426</v>
      </c>
      <c r="N643" s="247" t="s">
        <v>426</v>
      </c>
      <c r="O643" s="247" t="s">
        <v>426</v>
      </c>
      <c r="P643" s="247" t="s">
        <v>426</v>
      </c>
      <c r="Q643" s="247" t="s">
        <v>426</v>
      </c>
      <c r="R643" s="247" t="s">
        <v>426</v>
      </c>
      <c r="S643" s="247" t="s">
        <v>426</v>
      </c>
      <c r="T643" s="247" t="s">
        <v>426</v>
      </c>
      <c r="U643" s="247" t="s">
        <v>426</v>
      </c>
      <c r="V643" s="247" t="s">
        <v>426</v>
      </c>
      <c r="W643" s="247" t="s">
        <v>426</v>
      </c>
      <c r="X643" s="247" t="s">
        <v>426</v>
      </c>
      <c r="Y643" s="247" t="s">
        <v>426</v>
      </c>
    </row>
    <row r="644" spans="1:26" x14ac:dyDescent="0.25">
      <c r="A644" s="243" t="s">
        <v>468</v>
      </c>
      <c r="B644" s="247">
        <v>6.3922061920165998</v>
      </c>
      <c r="C644" s="247">
        <v>7.7839651107788104</v>
      </c>
      <c r="D644" s="247">
        <v>8.7313165664672905</v>
      </c>
      <c r="E644" s="247">
        <v>8.5384979248046893</v>
      </c>
      <c r="F644" s="247">
        <v>8.1135501861572301</v>
      </c>
      <c r="G644" s="247">
        <v>7.8849329948425302</v>
      </c>
      <c r="H644" s="247">
        <v>7.7104330062866202</v>
      </c>
      <c r="I644" s="247">
        <v>7.6478543281555202</v>
      </c>
      <c r="J644" s="247">
        <v>7.5814275741577104</v>
      </c>
      <c r="K644" s="247">
        <v>7.5381202697753897</v>
      </c>
      <c r="L644" s="247">
        <v>7.5780467987060502</v>
      </c>
      <c r="M644" s="247">
        <v>7.6416735649108896</v>
      </c>
      <c r="N644" s="247">
        <v>7.7132387161254901</v>
      </c>
      <c r="O644" s="247">
        <v>7.8013410568237296</v>
      </c>
      <c r="P644" s="247">
        <v>7.8755207061767596</v>
      </c>
      <c r="Q644" s="247">
        <v>7.9062352180481001</v>
      </c>
      <c r="R644" s="247">
        <v>7.9948873519897496</v>
      </c>
      <c r="S644" s="247">
        <v>8.1163215637206996</v>
      </c>
      <c r="T644" s="247">
        <v>8.2487821578979492</v>
      </c>
      <c r="U644" s="247">
        <v>8.4059162139892596</v>
      </c>
      <c r="V644" s="247">
        <v>8.4608268737793004</v>
      </c>
      <c r="W644" s="247">
        <v>8.5343141555786097</v>
      </c>
      <c r="X644" s="247">
        <v>8.6114902496337908</v>
      </c>
      <c r="Y644" s="247">
        <v>8.7719221115112305</v>
      </c>
    </row>
    <row r="645" spans="1:26" x14ac:dyDescent="0.25">
      <c r="A645" s="243" t="s">
        <v>469</v>
      </c>
      <c r="B645" s="247">
        <v>4.9298634529113796</v>
      </c>
      <c r="C645" s="247">
        <v>6.4939708709716797</v>
      </c>
      <c r="D645" s="247">
        <v>7.4592781066894496</v>
      </c>
      <c r="E645" s="247">
        <v>7.2447438240051296</v>
      </c>
      <c r="F645" s="247">
        <v>6.84521436691284</v>
      </c>
      <c r="G645" s="247">
        <v>6.6732459068298304</v>
      </c>
      <c r="H645" s="247">
        <v>6.51676225662231</v>
      </c>
      <c r="I645" s="247">
        <v>6.4484291076660201</v>
      </c>
      <c r="J645" s="247">
        <v>6.3966798782348597</v>
      </c>
      <c r="K645" s="247">
        <v>6.3644347190856898</v>
      </c>
      <c r="L645" s="247">
        <v>6.3782010078430202</v>
      </c>
      <c r="M645" s="247">
        <v>6.3993859291076696</v>
      </c>
      <c r="N645" s="247">
        <v>6.4120607376098597</v>
      </c>
      <c r="O645" s="247">
        <v>6.4825568199157697</v>
      </c>
      <c r="P645" s="247">
        <v>6.5450062751770002</v>
      </c>
      <c r="Q645" s="247">
        <v>6.5706739425659197</v>
      </c>
      <c r="R645" s="247">
        <v>6.6389350891113299</v>
      </c>
      <c r="S645" s="247">
        <v>6.7355680465698198</v>
      </c>
      <c r="T645" s="247">
        <v>6.8303794860839799</v>
      </c>
      <c r="U645" s="247">
        <v>6.9826822280883798</v>
      </c>
      <c r="V645" s="247">
        <v>7.0502834320068404</v>
      </c>
      <c r="W645" s="247">
        <v>7.1402068138122603</v>
      </c>
      <c r="X645" s="247">
        <v>7.2155933380126998</v>
      </c>
      <c r="Y645" s="247">
        <v>7.3827753067016602</v>
      </c>
    </row>
    <row r="646" spans="1:26" x14ac:dyDescent="0.25">
      <c r="A646" s="243" t="s">
        <v>461</v>
      </c>
      <c r="B646" s="247">
        <v>6.5291514396667498</v>
      </c>
      <c r="C646" s="247">
        <v>8.2850980758666992</v>
      </c>
      <c r="D646" s="247">
        <v>9.8001213073730504</v>
      </c>
      <c r="E646" s="247">
        <v>9.3321943283081108</v>
      </c>
      <c r="F646" s="247">
        <v>9.0226831436157209</v>
      </c>
      <c r="G646" s="247">
        <v>9.0089912414550799</v>
      </c>
      <c r="H646" s="247">
        <v>8.9738616943359393</v>
      </c>
      <c r="I646" s="247">
        <v>8.8902368545532209</v>
      </c>
      <c r="J646" s="247">
        <v>8.9552536010742205</v>
      </c>
      <c r="K646" s="247">
        <v>8.9079008102416992</v>
      </c>
      <c r="L646" s="247">
        <v>8.89520359039307</v>
      </c>
      <c r="M646" s="247">
        <v>8.8468990325927699</v>
      </c>
      <c r="N646" s="247">
        <v>8.7482786178588903</v>
      </c>
      <c r="O646" s="247">
        <v>8.7885036468505895</v>
      </c>
      <c r="P646" s="247">
        <v>8.8624305725097692</v>
      </c>
      <c r="Q646" s="247">
        <v>8.9473028182983398</v>
      </c>
      <c r="R646" s="247">
        <v>9.0262336730956996</v>
      </c>
      <c r="S646" s="247">
        <v>9.1055555343627894</v>
      </c>
      <c r="T646" s="247">
        <v>9.0882310867309606</v>
      </c>
      <c r="U646" s="247">
        <v>9.3312444686889595</v>
      </c>
      <c r="V646" s="247">
        <v>9.4788913726806605</v>
      </c>
      <c r="W646" s="247">
        <v>9.6528720855712908</v>
      </c>
      <c r="X646" s="247">
        <v>9.7811794281005895</v>
      </c>
      <c r="Y646" s="247">
        <v>10.0579071044922</v>
      </c>
    </row>
    <row r="647" spans="1:26" x14ac:dyDescent="0.25">
      <c r="A647" s="243" t="s">
        <v>462</v>
      </c>
      <c r="B647" s="247">
        <v>6.3323707580566397</v>
      </c>
      <c r="C647" s="247">
        <v>7.2384452819824201</v>
      </c>
      <c r="D647" s="247">
        <v>7.96527099609375</v>
      </c>
      <c r="E647" s="247">
        <v>7.6527161598205602</v>
      </c>
      <c r="F647" s="247">
        <v>7.9603652954101598</v>
      </c>
      <c r="G647" s="247">
        <v>8.0741472244262695</v>
      </c>
      <c r="H647" s="247">
        <v>8.2605934143066406</v>
      </c>
      <c r="I647" s="247">
        <v>8.3100318908691406</v>
      </c>
      <c r="J647" s="247">
        <v>8.4493141174316406</v>
      </c>
      <c r="K647" s="247">
        <v>8.8189620971679705</v>
      </c>
      <c r="L647" s="247">
        <v>8.8862495422363299</v>
      </c>
      <c r="M647" s="247">
        <v>8.8418188095092791</v>
      </c>
      <c r="N647" s="247">
        <v>8.8337812423706108</v>
      </c>
      <c r="O647" s="247">
        <v>8.6748180389404297</v>
      </c>
      <c r="P647" s="247">
        <v>8.5509977340698207</v>
      </c>
      <c r="Q647" s="247">
        <v>8.4207677841186506</v>
      </c>
      <c r="R647" s="247">
        <v>8.4376201629638707</v>
      </c>
      <c r="S647" s="247">
        <v>8.4841489791870099</v>
      </c>
      <c r="T647" s="247">
        <v>8.5509052276611293</v>
      </c>
      <c r="U647" s="247">
        <v>8.6700105667114293</v>
      </c>
      <c r="V647" s="247">
        <v>8.74859523773193</v>
      </c>
      <c r="W647" s="247">
        <v>8.8432664871215803</v>
      </c>
      <c r="X647" s="247">
        <v>9.0058250427246094</v>
      </c>
      <c r="Y647" s="247">
        <v>9.3929624557495099</v>
      </c>
    </row>
    <row r="648" spans="1:26" x14ac:dyDescent="0.25">
      <c r="A648" s="243" t="s">
        <v>463</v>
      </c>
      <c r="B648" s="247">
        <v>8.4833917617797905</v>
      </c>
      <c r="C648" s="247">
        <v>12.566796302795399</v>
      </c>
      <c r="D648" s="247">
        <v>15.1471004486084</v>
      </c>
      <c r="E648" s="247">
        <v>13.237501144409199</v>
      </c>
      <c r="F648" s="247">
        <v>12.375891685485801</v>
      </c>
      <c r="G648" s="247">
        <v>12.379506111145</v>
      </c>
      <c r="H648" s="247">
        <v>12.2225999832153</v>
      </c>
      <c r="I648" s="247">
        <v>12.080751419067401</v>
      </c>
      <c r="J648" s="247">
        <v>12.212836265564</v>
      </c>
      <c r="K648" s="247">
        <v>12.0270395278931</v>
      </c>
      <c r="L648" s="247">
        <v>11.9549217224121</v>
      </c>
      <c r="M648" s="247">
        <v>11.879666328430201</v>
      </c>
      <c r="N648" s="247">
        <v>11.6303720474243</v>
      </c>
      <c r="O648" s="247">
        <v>11.7905416488647</v>
      </c>
      <c r="P648" s="247">
        <v>11.941043853759799</v>
      </c>
      <c r="Q648" s="247">
        <v>12.1426992416382</v>
      </c>
      <c r="R648" s="247">
        <v>12.289721488952599</v>
      </c>
      <c r="S648" s="247">
        <v>12.378883361816399</v>
      </c>
      <c r="T648" s="247">
        <v>12.2595558166504</v>
      </c>
      <c r="U648" s="247">
        <v>12.590350151061999</v>
      </c>
      <c r="V648" s="247">
        <v>12.7815389633179</v>
      </c>
      <c r="W648" s="247">
        <v>12.973883628845201</v>
      </c>
      <c r="X648" s="247">
        <v>13.0949363708496</v>
      </c>
      <c r="Y648" s="247">
        <v>13.367587089538601</v>
      </c>
    </row>
    <row r="649" spans="1:26" x14ac:dyDescent="0.25">
      <c r="A649" s="243" t="s">
        <v>467</v>
      </c>
      <c r="B649" s="247">
        <v>3.9384419918060298</v>
      </c>
      <c r="C649" s="247">
        <v>4.5867881774902299</v>
      </c>
      <c r="D649" s="247">
        <v>4.6800308227539098</v>
      </c>
      <c r="E649" s="247">
        <v>4.9388952255248997</v>
      </c>
      <c r="F649" s="247">
        <v>5.2859730720520002</v>
      </c>
      <c r="G649" s="247">
        <v>5.2723593711853001</v>
      </c>
      <c r="H649" s="247">
        <v>5.2104086875915501</v>
      </c>
      <c r="I649" s="247">
        <v>5.1732821464538601</v>
      </c>
      <c r="J649" s="247">
        <v>5.1717634201049796</v>
      </c>
      <c r="K649" s="247">
        <v>5.17871141433716</v>
      </c>
      <c r="L649" s="247">
        <v>5.1878075599670401</v>
      </c>
      <c r="M649" s="247">
        <v>5.1966009140014604</v>
      </c>
      <c r="N649" s="247">
        <v>5.2060360908508301</v>
      </c>
      <c r="O649" s="247">
        <v>5.2088470458984402</v>
      </c>
      <c r="P649" s="247">
        <v>5.2896075248718297</v>
      </c>
      <c r="Q649" s="247">
        <v>5.3583388328552202</v>
      </c>
      <c r="R649" s="247">
        <v>5.44156694412231</v>
      </c>
      <c r="S649" s="247">
        <v>5.5192761421203604</v>
      </c>
      <c r="T649" s="247">
        <v>5.5953726768493697</v>
      </c>
      <c r="U649" s="247">
        <v>5.6724872589111301</v>
      </c>
      <c r="V649" s="247">
        <v>5.7441039085388201</v>
      </c>
      <c r="W649" s="247">
        <v>5.8200716972351101</v>
      </c>
      <c r="X649" s="247">
        <v>5.9009070396423304</v>
      </c>
      <c r="Y649" s="247">
        <v>5.9898118972778303</v>
      </c>
    </row>
    <row r="650" spans="1:26" x14ac:dyDescent="0.25">
      <c r="A650" s="268" t="s">
        <v>470</v>
      </c>
      <c r="B650" s="247">
        <v>3.88655662536621</v>
      </c>
      <c r="C650" s="247">
        <v>5.55936574935913</v>
      </c>
      <c r="D650" s="247">
        <v>6.0491261482238796</v>
      </c>
      <c r="E650" s="247">
        <v>6.0771641731262198</v>
      </c>
      <c r="F650" s="247">
        <v>5.4298515319824201</v>
      </c>
      <c r="G650" s="247">
        <v>5.0030980110168501</v>
      </c>
      <c r="H650" s="247">
        <v>4.6280007362365696</v>
      </c>
      <c r="I650" s="247">
        <v>4.5291852951049796</v>
      </c>
      <c r="J650" s="247">
        <v>4.41147708892822</v>
      </c>
      <c r="K650" s="247">
        <v>4.4342226982116699</v>
      </c>
      <c r="L650" s="247">
        <v>4.4864263534545898</v>
      </c>
      <c r="M650" s="247">
        <v>4.5912823677062997</v>
      </c>
      <c r="N650" s="247">
        <v>4.7218933105468803</v>
      </c>
      <c r="O650" s="247">
        <v>4.8130536079406703</v>
      </c>
      <c r="P650" s="247">
        <v>4.8621869087219203</v>
      </c>
      <c r="Q650" s="247">
        <v>4.81842041015625</v>
      </c>
      <c r="R650" s="247">
        <v>4.8841061592102104</v>
      </c>
      <c r="S650" s="247">
        <v>5.0232949256896999</v>
      </c>
      <c r="T650" s="247">
        <v>5.2583932876586896</v>
      </c>
      <c r="U650" s="247">
        <v>5.3567323684692401</v>
      </c>
      <c r="V650" s="247">
        <v>5.3575921058654803</v>
      </c>
      <c r="W650" s="247">
        <v>5.37701320648193</v>
      </c>
      <c r="X650" s="247">
        <v>5.4306664466857901</v>
      </c>
      <c r="Y650" s="247">
        <v>5.5327925682067898</v>
      </c>
      <c r="Z650" s="277">
        <f>Y650+($AI$480-$Y$650)/10</f>
        <v>5.5600694801614594</v>
      </c>
    </row>
    <row r="651" spans="1:26" x14ac:dyDescent="0.25">
      <c r="A651" s="243" t="s">
        <v>471</v>
      </c>
      <c r="B651" s="247">
        <v>1.88388228416443</v>
      </c>
      <c r="C651" s="247">
        <v>1.8499996662139899</v>
      </c>
      <c r="D651" s="247">
        <v>1.9633457660675</v>
      </c>
      <c r="E651" s="247">
        <v>1.8999761343002299</v>
      </c>
      <c r="F651" s="247">
        <v>1.88347840309143</v>
      </c>
      <c r="G651" s="247">
        <v>1.8588999509811399</v>
      </c>
      <c r="H651" s="247">
        <v>1.8578026294708301</v>
      </c>
      <c r="I651" s="247">
        <v>1.85227739810944</v>
      </c>
      <c r="J651" s="247">
        <v>1.8239538669586199</v>
      </c>
      <c r="K651" s="247">
        <v>1.79700314998627</v>
      </c>
      <c r="L651" s="247">
        <v>1.78184306621552</v>
      </c>
      <c r="M651" s="247">
        <v>1.7756989002227801</v>
      </c>
      <c r="N651" s="247">
        <v>1.77074086666107</v>
      </c>
      <c r="O651" s="247">
        <v>1.7668309211730999</v>
      </c>
      <c r="P651" s="247">
        <v>1.7627635002136199</v>
      </c>
      <c r="Q651" s="247">
        <v>1.7565006017684901</v>
      </c>
      <c r="R651" s="247">
        <v>1.75614774227142</v>
      </c>
      <c r="S651" s="247">
        <v>1.7571268081664999</v>
      </c>
      <c r="T651" s="247">
        <v>1.75483202934265</v>
      </c>
      <c r="U651" s="247">
        <v>1.7449706792831401</v>
      </c>
      <c r="V651" s="247">
        <v>1.72660219669342</v>
      </c>
      <c r="W651" s="247">
        <v>1.70969367027283</v>
      </c>
      <c r="X651" s="247">
        <v>1.70006084442139</v>
      </c>
      <c r="Y651" s="247">
        <v>1.6866580247878999</v>
      </c>
    </row>
    <row r="652" spans="1:26" x14ac:dyDescent="0.25">
      <c r="A652" s="243" t="s">
        <v>472</v>
      </c>
      <c r="B652" s="247">
        <v>1.5976041555404701</v>
      </c>
      <c r="C652" s="247">
        <v>1.5543407201767001</v>
      </c>
      <c r="D652" s="247">
        <v>1.5670678615570099</v>
      </c>
      <c r="E652" s="247">
        <v>1.6038056612014799</v>
      </c>
      <c r="F652" s="247">
        <v>1.6009258031845099</v>
      </c>
      <c r="G652" s="247">
        <v>1.58739173412323</v>
      </c>
      <c r="H652" s="247">
        <v>1.58863317966461</v>
      </c>
      <c r="I652" s="247">
        <v>1.5846539735794101</v>
      </c>
      <c r="J652" s="247">
        <v>1.5799860954284699</v>
      </c>
      <c r="K652" s="247">
        <v>1.5764416456222501</v>
      </c>
      <c r="L652" s="247">
        <v>1.5679914951324501</v>
      </c>
      <c r="M652" s="247">
        <v>1.5610833168029801</v>
      </c>
      <c r="N652" s="247">
        <v>1.5600349903106701</v>
      </c>
      <c r="O652" s="247">
        <v>1.56054711341858</v>
      </c>
      <c r="P652" s="247">
        <v>1.56748187541962</v>
      </c>
      <c r="Q652" s="247">
        <v>1.5675091743469201</v>
      </c>
      <c r="R652" s="247">
        <v>1.5641727447509799</v>
      </c>
      <c r="S652" s="247">
        <v>1.5615659952163701</v>
      </c>
      <c r="T652" s="247">
        <v>1.58828938007355</v>
      </c>
      <c r="U652" s="247">
        <v>1.58737933635712</v>
      </c>
      <c r="V652" s="247">
        <v>1.59387278556824</v>
      </c>
      <c r="W652" s="247">
        <v>1.5848928689956701</v>
      </c>
      <c r="X652" s="247">
        <v>1.5860744714736901</v>
      </c>
      <c r="Y652" s="247">
        <v>1.5880702733993499</v>
      </c>
    </row>
    <row r="653" spans="1:26" x14ac:dyDescent="0.25">
      <c r="A653" s="270" t="s">
        <v>465</v>
      </c>
      <c r="B653" s="247">
        <v>14.734835624694799</v>
      </c>
      <c r="C653" s="247">
        <v>15.0261535644531</v>
      </c>
      <c r="D653" s="247">
        <v>15.722662925720201</v>
      </c>
      <c r="E653" s="247">
        <v>15.5983018875122</v>
      </c>
      <c r="F653" s="247">
        <v>15.078427314758301</v>
      </c>
      <c r="G653" s="247">
        <v>14.4692840576172</v>
      </c>
      <c r="H653" s="247">
        <v>14.1632738113403</v>
      </c>
      <c r="I653" s="247">
        <v>14.081834793090801</v>
      </c>
      <c r="J653" s="247">
        <v>13.919806480407701</v>
      </c>
      <c r="K653" s="247">
        <v>13.785112380981399</v>
      </c>
      <c r="L653" s="247">
        <v>13.931169509887701</v>
      </c>
      <c r="M653" s="247">
        <v>14.1889085769653</v>
      </c>
      <c r="N653" s="247">
        <v>14.5255270004272</v>
      </c>
      <c r="O653" s="247">
        <v>14.681715965271</v>
      </c>
      <c r="P653" s="247">
        <v>14.814373970031699</v>
      </c>
      <c r="Q653" s="247">
        <v>14.8553409576416</v>
      </c>
      <c r="R653" s="247">
        <v>15.0255784988403</v>
      </c>
      <c r="S653" s="247">
        <v>15.2628774642944</v>
      </c>
      <c r="T653" s="247">
        <v>15.5799751281738</v>
      </c>
      <c r="U653" s="247">
        <v>15.7510900497437</v>
      </c>
      <c r="V653" s="247">
        <v>15.7371273040771</v>
      </c>
      <c r="W653" s="247">
        <v>15.705772399902299</v>
      </c>
      <c r="X653" s="247">
        <v>15.779216766357401</v>
      </c>
      <c r="Y653" s="247">
        <v>15.8933115005493</v>
      </c>
      <c r="Z653" s="279">
        <f>Y653+($AI$483-$Y$653)/10</f>
        <v>15.820176294068443</v>
      </c>
    </row>
    <row r="654" spans="1:26" x14ac:dyDescent="0.25">
      <c r="A654" s="243" t="s">
        <v>426</v>
      </c>
      <c r="B654" s="247" t="s">
        <v>426</v>
      </c>
      <c r="C654" s="247" t="s">
        <v>426</v>
      </c>
      <c r="D654" s="247" t="s">
        <v>426</v>
      </c>
      <c r="E654" s="247" t="s">
        <v>426</v>
      </c>
      <c r="F654" s="247" t="s">
        <v>426</v>
      </c>
      <c r="G654" s="247" t="s">
        <v>426</v>
      </c>
      <c r="H654" s="247" t="s">
        <v>426</v>
      </c>
      <c r="I654" s="247" t="s">
        <v>426</v>
      </c>
      <c r="J654" s="247" t="s">
        <v>426</v>
      </c>
      <c r="K654" s="247" t="s">
        <v>426</v>
      </c>
      <c r="L654" s="247" t="s">
        <v>426</v>
      </c>
      <c r="M654" s="247" t="s">
        <v>426</v>
      </c>
      <c r="N654" s="247" t="s">
        <v>426</v>
      </c>
      <c r="O654" s="247" t="s">
        <v>426</v>
      </c>
      <c r="P654" s="247" t="s">
        <v>426</v>
      </c>
      <c r="Q654" s="247" t="s">
        <v>426</v>
      </c>
      <c r="R654" s="247" t="s">
        <v>426</v>
      </c>
      <c r="S654" s="247" t="s">
        <v>426</v>
      </c>
      <c r="T654" s="247" t="s">
        <v>426</v>
      </c>
      <c r="U654" s="247" t="s">
        <v>426</v>
      </c>
      <c r="V654" s="247" t="s">
        <v>426</v>
      </c>
      <c r="W654" s="247" t="s">
        <v>426</v>
      </c>
      <c r="X654" s="247" t="s">
        <v>426</v>
      </c>
      <c r="Y654" s="247" t="s">
        <v>426</v>
      </c>
    </row>
    <row r="655" spans="1:26" x14ac:dyDescent="0.25">
      <c r="A655" s="243" t="s">
        <v>473</v>
      </c>
      <c r="B655" s="247">
        <v>10.068477630615201</v>
      </c>
      <c r="C655" s="247">
        <v>11.4567165374756</v>
      </c>
      <c r="D655" s="247">
        <v>12.984992980956999</v>
      </c>
      <c r="E655" s="247">
        <v>12.648449897766101</v>
      </c>
      <c r="F655" s="247">
        <v>12.9899549484253</v>
      </c>
      <c r="G655" s="247">
        <v>12.831539154052701</v>
      </c>
      <c r="H655" s="247">
        <v>12.772025108337401</v>
      </c>
      <c r="I655" s="247">
        <v>12.778377532959</v>
      </c>
      <c r="J655" s="247">
        <v>12.6527404785156</v>
      </c>
      <c r="K655" s="247">
        <v>12.633409500122101</v>
      </c>
      <c r="L655" s="247">
        <v>12.627567291259799</v>
      </c>
      <c r="M655" s="247">
        <v>12.5634212493896</v>
      </c>
      <c r="N655" s="247">
        <v>12.5677394866943</v>
      </c>
      <c r="O655" s="247">
        <v>12.4416351318359</v>
      </c>
      <c r="P655" s="247">
        <v>12.463407516479499</v>
      </c>
      <c r="Q655" s="247">
        <v>12.3592376708984</v>
      </c>
      <c r="R655" s="247">
        <v>12.3700494766235</v>
      </c>
      <c r="S655" s="247">
        <v>12.4214639663696</v>
      </c>
      <c r="T655" s="247">
        <v>12.406385421752899</v>
      </c>
      <c r="U655" s="247">
        <v>12.599157333374</v>
      </c>
      <c r="V655" s="247">
        <v>12.7199811935425</v>
      </c>
      <c r="W655" s="247">
        <v>12.8404388427734</v>
      </c>
      <c r="X655" s="247">
        <v>12.9761352539063</v>
      </c>
      <c r="Y655" s="247">
        <v>13.180356025695801</v>
      </c>
    </row>
    <row r="656" spans="1:26" x14ac:dyDescent="0.25">
      <c r="A656" s="243" t="s">
        <v>469</v>
      </c>
      <c r="B656" s="247">
        <v>10.0396184921265</v>
      </c>
      <c r="C656" s="247">
        <v>11.4297380447388</v>
      </c>
      <c r="D656" s="247">
        <v>12.961000442504901</v>
      </c>
      <c r="E656" s="247">
        <v>12.6243276596069</v>
      </c>
      <c r="F656" s="247">
        <v>12.9694175720215</v>
      </c>
      <c r="G656" s="247">
        <v>12.812975883483899</v>
      </c>
      <c r="H656" s="247">
        <v>12.7542219161987</v>
      </c>
      <c r="I656" s="247">
        <v>12.7604532241821</v>
      </c>
      <c r="J656" s="247">
        <v>12.634376525878899</v>
      </c>
      <c r="K656" s="247">
        <v>12.614933013916</v>
      </c>
      <c r="L656" s="247">
        <v>12.6084880828857</v>
      </c>
      <c r="M656" s="247">
        <v>12.543541908264199</v>
      </c>
      <c r="N656" s="247">
        <v>12.546923637390099</v>
      </c>
      <c r="O656" s="247">
        <v>12.4202537536621</v>
      </c>
      <c r="P656" s="247">
        <v>12.441800117492701</v>
      </c>
      <c r="Q656" s="247">
        <v>12.3374538421631</v>
      </c>
      <c r="R656" s="247">
        <v>12.3479681015015</v>
      </c>
      <c r="S656" s="247">
        <v>12.3989114761353</v>
      </c>
      <c r="T656" s="247">
        <v>12.3829250335693</v>
      </c>
      <c r="U656" s="247">
        <v>12.575768470764199</v>
      </c>
      <c r="V656" s="247">
        <v>12.6970834732056</v>
      </c>
      <c r="W656" s="247">
        <v>12.8181715011597</v>
      </c>
      <c r="X656" s="247">
        <v>12.9540061950684</v>
      </c>
      <c r="Y656" s="247">
        <v>13.1585645675659</v>
      </c>
    </row>
    <row r="657" spans="1:26" x14ac:dyDescent="0.25">
      <c r="A657" s="243" t="s">
        <v>461</v>
      </c>
      <c r="B657" s="247">
        <v>10.0409812927246</v>
      </c>
      <c r="C657" s="247">
        <v>11.431476593017599</v>
      </c>
      <c r="D657" s="247">
        <v>12.9638833999634</v>
      </c>
      <c r="E657" s="247">
        <v>12.6272735595703</v>
      </c>
      <c r="F657" s="247">
        <v>12.9738121032715</v>
      </c>
      <c r="G657" s="247">
        <v>12.8180704116821</v>
      </c>
      <c r="H657" s="247">
        <v>12.7602338790894</v>
      </c>
      <c r="I657" s="247">
        <v>12.7672443389893</v>
      </c>
      <c r="J657" s="247">
        <v>12.6416578292847</v>
      </c>
      <c r="K657" s="247">
        <v>12.622591972351101</v>
      </c>
      <c r="L657" s="247">
        <v>12.616462707519499</v>
      </c>
      <c r="M657" s="247">
        <v>12.551496505737299</v>
      </c>
      <c r="N657" s="247">
        <v>12.554883956909199</v>
      </c>
      <c r="O657" s="247">
        <v>12.4279336929321</v>
      </c>
      <c r="P657" s="247">
        <v>12.4496717453003</v>
      </c>
      <c r="Q657" s="247">
        <v>12.3454332351685</v>
      </c>
      <c r="R657" s="247">
        <v>12.356036186218301</v>
      </c>
      <c r="S657" s="247">
        <v>12.4068956375122</v>
      </c>
      <c r="T657" s="247">
        <v>12.3903903961182</v>
      </c>
      <c r="U657" s="247">
        <v>12.5835561752319</v>
      </c>
      <c r="V657" s="247">
        <v>12.7052898406982</v>
      </c>
      <c r="W657" s="247">
        <v>12.826750755310099</v>
      </c>
      <c r="X657" s="247">
        <v>12.9629173278809</v>
      </c>
      <c r="Y657" s="247">
        <v>13.167941093444799</v>
      </c>
    </row>
    <row r="658" spans="1:26" x14ac:dyDescent="0.25">
      <c r="A658" s="274" t="s">
        <v>474</v>
      </c>
      <c r="B658" s="247">
        <v>9.5535230636596697</v>
      </c>
      <c r="C658" s="247">
        <v>10.9202365875244</v>
      </c>
      <c r="D658" s="247">
        <v>12.0208587646484</v>
      </c>
      <c r="E658" s="247">
        <v>11.5461339950562</v>
      </c>
      <c r="F658" s="247">
        <v>12.0997161865234</v>
      </c>
      <c r="G658" s="247">
        <v>12.488727569580099</v>
      </c>
      <c r="H658" s="247">
        <v>12.3829002380371</v>
      </c>
      <c r="I658" s="247">
        <v>12.4196271896362</v>
      </c>
      <c r="J658" s="247">
        <v>12.508094787597701</v>
      </c>
      <c r="K658" s="247">
        <v>12.555921554565399</v>
      </c>
      <c r="L658" s="247">
        <v>12.5986595153809</v>
      </c>
      <c r="M658" s="247">
        <v>12.507498741149901</v>
      </c>
      <c r="N658" s="247">
        <v>12.460197448730501</v>
      </c>
      <c r="O658" s="247">
        <v>12.2335548400879</v>
      </c>
      <c r="P658" s="247">
        <v>12.028847694396999</v>
      </c>
      <c r="Q658" s="247">
        <v>11.832740783691399</v>
      </c>
      <c r="R658" s="247">
        <v>11.7916069030762</v>
      </c>
      <c r="S658" s="247">
        <v>11.803469657897899</v>
      </c>
      <c r="T658" s="247">
        <v>11.8377895355225</v>
      </c>
      <c r="U658" s="247">
        <v>11.9129686355591</v>
      </c>
      <c r="V658" s="247">
        <v>11.9319505691528</v>
      </c>
      <c r="W658" s="247">
        <v>11.983411788940399</v>
      </c>
      <c r="X658" s="247">
        <v>12.11021900177</v>
      </c>
      <c r="Y658" s="247">
        <v>12.4955101013184</v>
      </c>
      <c r="Z658" s="281">
        <f>Y658+($AI$488-$Y$658)/10</f>
        <v>12.860153747735882</v>
      </c>
    </row>
    <row r="659" spans="1:26" x14ac:dyDescent="0.25">
      <c r="A659" s="243" t="s">
        <v>475</v>
      </c>
      <c r="B659" s="247">
        <v>6.0538434982299796</v>
      </c>
      <c r="C659" s="247">
        <v>6.4578518867492702</v>
      </c>
      <c r="D659" s="247">
        <v>8.1168746948242205</v>
      </c>
      <c r="E659" s="247">
        <v>7.6875567436218297</v>
      </c>
      <c r="F659" s="247">
        <v>7.8739576339721697</v>
      </c>
      <c r="G659" s="247">
        <v>7.8265089988708496</v>
      </c>
      <c r="H659" s="247">
        <v>7.9840884208679199</v>
      </c>
      <c r="I659" s="247">
        <v>8.0166091918945295</v>
      </c>
      <c r="J659" s="247">
        <v>7.8608303070068404</v>
      </c>
      <c r="K659" s="247">
        <v>7.81276655197144</v>
      </c>
      <c r="L659" s="247">
        <v>7.8045797348022496</v>
      </c>
      <c r="M659" s="247">
        <v>7.7928524017334002</v>
      </c>
      <c r="N659" s="247">
        <v>7.7725591659545898</v>
      </c>
      <c r="O659" s="247">
        <v>7.7157216072082502</v>
      </c>
      <c r="P659" s="247">
        <v>7.7164225578308097</v>
      </c>
      <c r="Q659" s="247">
        <v>7.6991229057312003</v>
      </c>
      <c r="R659" s="247">
        <v>7.7546834945678702</v>
      </c>
      <c r="S659" s="247">
        <v>7.8412432670593297</v>
      </c>
      <c r="T659" s="247">
        <v>7.8916783332824698</v>
      </c>
      <c r="U659" s="247">
        <v>8.0530261993408203</v>
      </c>
      <c r="V659" s="247">
        <v>8.1459932327270508</v>
      </c>
      <c r="W659" s="247">
        <v>8.2922735214233398</v>
      </c>
      <c r="X659" s="247">
        <v>8.4199304580688494</v>
      </c>
      <c r="Y659" s="247">
        <v>8.7479171752929705</v>
      </c>
    </row>
    <row r="660" spans="1:26" x14ac:dyDescent="0.25">
      <c r="A660" s="274" t="s">
        <v>476</v>
      </c>
      <c r="B660" s="247">
        <v>11.3207235336304</v>
      </c>
      <c r="C660" s="247">
        <v>12.9284992218018</v>
      </c>
      <c r="D660" s="247">
        <v>14.6530704498291</v>
      </c>
      <c r="E660" s="247">
        <v>14.346966743469199</v>
      </c>
      <c r="F660" s="247">
        <v>14.7094535827637</v>
      </c>
      <c r="G660" s="247">
        <v>14.3600215911865</v>
      </c>
      <c r="H660" s="247">
        <v>14.2510118484497</v>
      </c>
      <c r="I660" s="247">
        <v>14.250683784484901</v>
      </c>
      <c r="J660" s="247">
        <v>14.0786781311035</v>
      </c>
      <c r="K660" s="247">
        <v>14.0637760162354</v>
      </c>
      <c r="L660" s="247">
        <v>14.0259552001953</v>
      </c>
      <c r="M660" s="247">
        <v>13.906542778015099</v>
      </c>
      <c r="N660" s="247">
        <v>13.9343166351318</v>
      </c>
      <c r="O660" s="247">
        <v>13.819755554199199</v>
      </c>
      <c r="P660" s="247">
        <v>13.920813560485801</v>
      </c>
      <c r="Q660" s="247">
        <v>13.821713447570801</v>
      </c>
      <c r="R660" s="247">
        <v>13.8340721130371</v>
      </c>
      <c r="S660" s="247">
        <v>13.8936500549316</v>
      </c>
      <c r="T660" s="247">
        <v>13.8356838226318</v>
      </c>
      <c r="U660" s="247">
        <v>14.0806474685669</v>
      </c>
      <c r="V660" s="247">
        <v>14.2383365631104</v>
      </c>
      <c r="W660" s="247">
        <v>14.3749399185181</v>
      </c>
      <c r="X660" s="247">
        <v>14.5092010498047</v>
      </c>
      <c r="Y660" s="247">
        <v>14.605681419372599</v>
      </c>
      <c r="Z660" s="281">
        <f>Y660+($AI$490-$Y$660)/10</f>
        <v>15.03173973157025</v>
      </c>
    </row>
    <row r="661" spans="1:26" x14ac:dyDescent="0.25">
      <c r="A661" s="243" t="s">
        <v>467</v>
      </c>
      <c r="B661" s="247">
        <v>3.83150410652161</v>
      </c>
      <c r="C661" s="247">
        <v>4.4939312934875497</v>
      </c>
      <c r="D661" s="247">
        <v>4.5839381217956499</v>
      </c>
      <c r="E661" s="247">
        <v>4.8374896049499503</v>
      </c>
      <c r="F661" s="247">
        <v>5.1729192733764604</v>
      </c>
      <c r="G661" s="247">
        <v>5.1682701110839799</v>
      </c>
      <c r="H661" s="247">
        <v>5.1688323020935103</v>
      </c>
      <c r="I661" s="247">
        <v>5.1695828437805202</v>
      </c>
      <c r="J661" s="247">
        <v>5.16760349273682</v>
      </c>
      <c r="K661" s="247">
        <v>5.1733479499816903</v>
      </c>
      <c r="L661" s="247">
        <v>5.1798586845397896</v>
      </c>
      <c r="M661" s="247">
        <v>5.1877336502075204</v>
      </c>
      <c r="N661" s="247">
        <v>5.1953010559081996</v>
      </c>
      <c r="O661" s="247">
        <v>5.2001247406005904</v>
      </c>
      <c r="P661" s="247">
        <v>5.2810626029968297</v>
      </c>
      <c r="Q661" s="247">
        <v>5.3552770614623997</v>
      </c>
      <c r="R661" s="247">
        <v>5.4362750053405797</v>
      </c>
      <c r="S661" s="247">
        <v>5.5152239799499503</v>
      </c>
      <c r="T661" s="247">
        <v>5.5921721458435103</v>
      </c>
      <c r="U661" s="247">
        <v>5.6705627441406303</v>
      </c>
      <c r="V661" s="247">
        <v>5.7475032806396502</v>
      </c>
      <c r="W661" s="247">
        <v>5.8269476890564</v>
      </c>
      <c r="X661" s="247">
        <v>5.9046044349670401</v>
      </c>
      <c r="Y661" s="247">
        <v>5.9824995994567898</v>
      </c>
    </row>
    <row r="662" spans="1:26" x14ac:dyDescent="0.25">
      <c r="A662" s="243" t="s">
        <v>477</v>
      </c>
      <c r="B662" s="247">
        <v>15.146578788757299</v>
      </c>
      <c r="C662" s="247">
        <v>16.654964447021499</v>
      </c>
      <c r="D662" s="247">
        <v>20.603065490722699</v>
      </c>
      <c r="E662" s="247">
        <v>20.419296264648398</v>
      </c>
      <c r="F662" s="247">
        <v>17.4092102050781</v>
      </c>
      <c r="G662" s="247">
        <v>17.409763336181602</v>
      </c>
      <c r="H662" s="247">
        <v>17.1964435577393</v>
      </c>
      <c r="I662" s="247">
        <v>17.156021118164102</v>
      </c>
      <c r="J662" s="247">
        <v>17.248268127441399</v>
      </c>
      <c r="K662" s="247">
        <v>17.105394363403299</v>
      </c>
      <c r="L662" s="247">
        <v>17.085474014282202</v>
      </c>
      <c r="M662" s="247">
        <v>16.997465133666999</v>
      </c>
      <c r="N662" s="247">
        <v>16.7497043609619</v>
      </c>
      <c r="O662" s="247">
        <v>16.830522537231399</v>
      </c>
      <c r="P662" s="247">
        <v>16.954969406127901</v>
      </c>
      <c r="Q662" s="247">
        <v>17.1650085449219</v>
      </c>
      <c r="R662" s="247">
        <v>17.2562961578369</v>
      </c>
      <c r="S662" s="247">
        <v>17.321376800537099</v>
      </c>
      <c r="T662" s="247">
        <v>17.262313842773398</v>
      </c>
      <c r="U662" s="247">
        <v>17.454835891723601</v>
      </c>
      <c r="V662" s="247">
        <v>17.584600448608398</v>
      </c>
      <c r="W662" s="247">
        <v>17.847267150878899</v>
      </c>
      <c r="X662" s="247">
        <v>17.9585571289063</v>
      </c>
      <c r="Y662" s="247">
        <v>18.1527404785156</v>
      </c>
    </row>
    <row r="663" spans="1:26" x14ac:dyDescent="0.25">
      <c r="A663" s="243" t="s">
        <v>478</v>
      </c>
      <c r="B663" s="247">
        <v>7.2317700386047399</v>
      </c>
      <c r="C663" s="247">
        <v>9.0444478988647496</v>
      </c>
      <c r="D663" s="247">
        <v>9.7142210006713903</v>
      </c>
      <c r="E663" s="247">
        <v>9.7955017089843803</v>
      </c>
      <c r="F663" s="247">
        <v>9.2987012863159197</v>
      </c>
      <c r="G663" s="247">
        <v>9.0087041854858398</v>
      </c>
      <c r="H663" s="247">
        <v>8.73461818695068</v>
      </c>
      <c r="I663" s="247">
        <v>8.6602125167846697</v>
      </c>
      <c r="J663" s="247">
        <v>8.6087532043456996</v>
      </c>
      <c r="K663" s="247">
        <v>8.6854057312011701</v>
      </c>
      <c r="L663" s="247">
        <v>8.7734069824218803</v>
      </c>
      <c r="M663" s="247">
        <v>8.9131555557250994</v>
      </c>
      <c r="N663" s="247">
        <v>9.0697097778320295</v>
      </c>
      <c r="O663" s="247">
        <v>9.1761322021484393</v>
      </c>
      <c r="P663" s="247">
        <v>9.2086582183837908</v>
      </c>
      <c r="Q663" s="247">
        <v>9.1414461135864293</v>
      </c>
      <c r="R663" s="247">
        <v>9.1881532669067401</v>
      </c>
      <c r="S663" s="247">
        <v>9.3183298110961896</v>
      </c>
      <c r="T663" s="247">
        <v>9.5262966156005895</v>
      </c>
      <c r="U663" s="247">
        <v>9.6340904235839808</v>
      </c>
      <c r="V663" s="247">
        <v>9.6386470794677699</v>
      </c>
      <c r="W663" s="247">
        <v>9.6553201675415004</v>
      </c>
      <c r="X663" s="247">
        <v>9.7052288055419904</v>
      </c>
      <c r="Y663" s="247">
        <v>9.7829256057739293</v>
      </c>
    </row>
    <row r="664" spans="1:26" x14ac:dyDescent="0.25">
      <c r="A664" s="276" t="s">
        <v>483</v>
      </c>
      <c r="B664" s="247">
        <v>14.6543264389038</v>
      </c>
      <c r="C664" s="247">
        <v>16.232709884643601</v>
      </c>
      <c r="D664" s="247">
        <v>19.6646022796631</v>
      </c>
      <c r="E664" s="247">
        <v>19.716905593872099</v>
      </c>
      <c r="F664" s="247">
        <v>20.910398483276399</v>
      </c>
      <c r="G664" s="247">
        <v>20.088336944580099</v>
      </c>
      <c r="H664" s="247">
        <v>20.034643173217798</v>
      </c>
      <c r="I664" s="247">
        <v>19.876234054565401</v>
      </c>
      <c r="J664" s="247">
        <v>19.0899848937988</v>
      </c>
      <c r="K664" s="247">
        <v>19.0770473480225</v>
      </c>
      <c r="L664" s="247">
        <v>18.9334907531738</v>
      </c>
      <c r="M664" s="247">
        <v>18.8203315734863</v>
      </c>
      <c r="N664" s="247">
        <v>18.8769016265869</v>
      </c>
      <c r="O664" s="247">
        <v>18.733657836914102</v>
      </c>
      <c r="P664" s="247">
        <v>18.836368560791001</v>
      </c>
      <c r="Q664" s="247">
        <v>18.717578887939499</v>
      </c>
      <c r="R664" s="247">
        <v>18.677961349487301</v>
      </c>
      <c r="S664" s="247">
        <v>18.768825531005898</v>
      </c>
      <c r="T664" s="247">
        <v>18.702945709228501</v>
      </c>
      <c r="U664" s="247">
        <v>19.039726257324201</v>
      </c>
      <c r="V664" s="247">
        <v>19.213029861450199</v>
      </c>
      <c r="W664" s="247">
        <v>19.429216384887699</v>
      </c>
      <c r="X664" s="247">
        <v>19.537574768066399</v>
      </c>
      <c r="Y664" s="247">
        <v>19.6945476531982</v>
      </c>
      <c r="Z664" s="283">
        <f>Y664+($AI$494-$Y$664)/10</f>
        <v>19.593947309306923</v>
      </c>
    </row>
    <row r="665" spans="1:26" x14ac:dyDescent="0.25">
      <c r="A665" s="243" t="s">
        <v>465</v>
      </c>
      <c r="B665" s="247">
        <v>20.034517288208001</v>
      </c>
      <c r="C665" s="247">
        <v>20.636144638061499</v>
      </c>
      <c r="D665" s="247">
        <v>21.2071418762207</v>
      </c>
      <c r="E665" s="247">
        <v>20.9249382019043</v>
      </c>
      <c r="F665" s="247">
        <v>20.016746520996101</v>
      </c>
      <c r="G665" s="247">
        <v>19.1842136383057</v>
      </c>
      <c r="H665" s="247">
        <v>18.876358032226602</v>
      </c>
      <c r="I665" s="247">
        <v>18.930015563964801</v>
      </c>
      <c r="J665" s="247">
        <v>18.9569396972656</v>
      </c>
      <c r="K665" s="247">
        <v>18.971715927123999</v>
      </c>
      <c r="L665" s="247">
        <v>19.161241531372099</v>
      </c>
      <c r="M665" s="247">
        <v>19.352525711059599</v>
      </c>
      <c r="N665" s="247">
        <v>19.6624240875244</v>
      </c>
      <c r="O665" s="247">
        <v>19.699916839599599</v>
      </c>
      <c r="P665" s="247">
        <v>19.754545211791999</v>
      </c>
      <c r="Q665" s="247">
        <v>19.6803493499756</v>
      </c>
      <c r="R665" s="247">
        <v>19.749149322509801</v>
      </c>
      <c r="S665" s="247">
        <v>19.913064956665</v>
      </c>
      <c r="T665" s="247">
        <v>20.148523330688501</v>
      </c>
      <c r="U665" s="247">
        <v>20.261070251464801</v>
      </c>
      <c r="V665" s="247">
        <v>20.168498992919901</v>
      </c>
      <c r="W665" s="247">
        <v>20.043989181518601</v>
      </c>
      <c r="X665" s="247">
        <v>20.096965789794901</v>
      </c>
      <c r="Y665" s="247">
        <v>20.154518127441399</v>
      </c>
    </row>
    <row r="666" spans="1:26" x14ac:dyDescent="0.25">
      <c r="A666" s="243" t="s">
        <v>426</v>
      </c>
      <c r="B666" s="247" t="s">
        <v>426</v>
      </c>
      <c r="C666" s="247" t="s">
        <v>426</v>
      </c>
      <c r="D666" s="247" t="s">
        <v>426</v>
      </c>
      <c r="E666" s="247" t="s">
        <v>426</v>
      </c>
      <c r="F666" s="247" t="s">
        <v>426</v>
      </c>
      <c r="G666" s="247" t="s">
        <v>426</v>
      </c>
      <c r="H666" s="247" t="s">
        <v>426</v>
      </c>
      <c r="I666" s="247" t="s">
        <v>426</v>
      </c>
      <c r="J666" s="247" t="s">
        <v>426</v>
      </c>
      <c r="K666" s="247" t="s">
        <v>426</v>
      </c>
      <c r="L666" s="247" t="s">
        <v>426</v>
      </c>
      <c r="M666" s="247" t="s">
        <v>426</v>
      </c>
      <c r="N666" s="247" t="s">
        <v>426</v>
      </c>
      <c r="O666" s="247" t="s">
        <v>426</v>
      </c>
      <c r="P666" s="247" t="s">
        <v>426</v>
      </c>
      <c r="Q666" s="247" t="s">
        <v>426</v>
      </c>
      <c r="R666" s="247" t="s">
        <v>426</v>
      </c>
      <c r="S666" s="247" t="s">
        <v>426</v>
      </c>
      <c r="T666" s="247" t="s">
        <v>426</v>
      </c>
      <c r="U666" s="247" t="s">
        <v>426</v>
      </c>
      <c r="V666" s="247" t="s">
        <v>426</v>
      </c>
      <c r="W666" s="247" t="s">
        <v>426</v>
      </c>
      <c r="X666" s="247" t="s">
        <v>426</v>
      </c>
      <c r="Y666" s="247" t="s">
        <v>426</v>
      </c>
    </row>
    <row r="667" spans="1:26" x14ac:dyDescent="0.25">
      <c r="A667" s="243" t="s">
        <v>484</v>
      </c>
      <c r="B667" s="247">
        <v>10.2607097625732</v>
      </c>
      <c r="C667" s="247">
        <v>11.4965677261353</v>
      </c>
      <c r="D667" s="247">
        <v>12.4990587234497</v>
      </c>
      <c r="E667" s="247">
        <v>12.3170623779297</v>
      </c>
      <c r="F667" s="247">
        <v>12.135007858276399</v>
      </c>
      <c r="G667" s="247">
        <v>11.845267295837401</v>
      </c>
      <c r="H667" s="247">
        <v>11.6573295593262</v>
      </c>
      <c r="I667" s="247">
        <v>11.6295518875122</v>
      </c>
      <c r="J667" s="247">
        <v>11.5503234863281</v>
      </c>
      <c r="K667" s="247">
        <v>11.540096282959</v>
      </c>
      <c r="L667" s="247">
        <v>11.6076335906982</v>
      </c>
      <c r="M667" s="247">
        <v>11.667243003845201</v>
      </c>
      <c r="N667" s="247">
        <v>11.774538040161101</v>
      </c>
      <c r="O667" s="247">
        <v>11.796236991882299</v>
      </c>
      <c r="P667" s="247">
        <v>11.871965408325201</v>
      </c>
      <c r="Q667" s="247">
        <v>11.843188285827599</v>
      </c>
      <c r="R667" s="247">
        <v>11.9137773513794</v>
      </c>
      <c r="S667" s="247">
        <v>12.034348487854</v>
      </c>
      <c r="T667" s="247">
        <v>12.153738975524901</v>
      </c>
      <c r="U667" s="247">
        <v>12.3460960388184</v>
      </c>
      <c r="V667" s="247">
        <v>12.4321403503418</v>
      </c>
      <c r="W667" s="247">
        <v>12.5191946029663</v>
      </c>
      <c r="X667" s="247">
        <v>12.636996269226101</v>
      </c>
      <c r="Y667" s="247">
        <v>12.8200740814209</v>
      </c>
    </row>
    <row r="668" spans="1:26" x14ac:dyDescent="0.25">
      <c r="A668" s="243" t="s">
        <v>469</v>
      </c>
      <c r="B668" s="247">
        <v>7.8488264083862296</v>
      </c>
      <c r="C668" s="247">
        <v>9.3171482086181605</v>
      </c>
      <c r="D668" s="247">
        <v>10.527009010314901</v>
      </c>
      <c r="E668" s="247">
        <v>10.2968044281006</v>
      </c>
      <c r="F668" s="247">
        <v>10.2268390655518</v>
      </c>
      <c r="G668" s="247">
        <v>10.0435380935669</v>
      </c>
      <c r="H668" s="247">
        <v>9.9028997421264595</v>
      </c>
      <c r="I668" s="247">
        <v>9.8629217147827095</v>
      </c>
      <c r="J668" s="247">
        <v>9.7728738784790004</v>
      </c>
      <c r="K668" s="247">
        <v>9.75823974609375</v>
      </c>
      <c r="L668" s="247">
        <v>9.7822933197021502</v>
      </c>
      <c r="M668" s="247">
        <v>9.7888011932372994</v>
      </c>
      <c r="N668" s="247">
        <v>9.8279809951782209</v>
      </c>
      <c r="O668" s="247">
        <v>9.8149814605712908</v>
      </c>
      <c r="P668" s="247">
        <v>9.8643417358398402</v>
      </c>
      <c r="Q668" s="247">
        <v>9.8190460205078107</v>
      </c>
      <c r="R668" s="247">
        <v>9.8615427017211896</v>
      </c>
      <c r="S668" s="247">
        <v>9.9469861984252894</v>
      </c>
      <c r="T668" s="247">
        <v>10.0096731185913</v>
      </c>
      <c r="U668" s="247">
        <v>10.190193176269499</v>
      </c>
      <c r="V668" s="247">
        <v>10.288735389709499</v>
      </c>
      <c r="W668" s="247">
        <v>10.396104812622101</v>
      </c>
      <c r="X668" s="247">
        <v>10.5091648101807</v>
      </c>
      <c r="Y668" s="247">
        <v>10.694952964782701</v>
      </c>
    </row>
    <row r="669" spans="1:26" x14ac:dyDescent="0.25">
      <c r="A669" s="243" t="s">
        <v>465</v>
      </c>
      <c r="B669" s="247">
        <v>21.599882125854499</v>
      </c>
      <c r="C669" s="247">
        <v>21.735733032226602</v>
      </c>
      <c r="D669" s="247">
        <v>21.731866836547901</v>
      </c>
      <c r="E669" s="247">
        <v>21.659553527831999</v>
      </c>
      <c r="F669" s="247">
        <v>20.918876647949201</v>
      </c>
      <c r="G669" s="247">
        <v>20.055833816528299</v>
      </c>
      <c r="H669" s="247">
        <v>19.596654891967798</v>
      </c>
      <c r="I669" s="247">
        <v>19.579929351806602</v>
      </c>
      <c r="J669" s="247">
        <v>19.517631530761701</v>
      </c>
      <c r="K669" s="247">
        <v>19.486770629882798</v>
      </c>
      <c r="L669" s="247">
        <v>19.702039718627901</v>
      </c>
      <c r="M669" s="247">
        <v>19.955158233642599</v>
      </c>
      <c r="N669" s="247">
        <v>20.317079544067401</v>
      </c>
      <c r="O669" s="247">
        <v>20.442613601684599</v>
      </c>
      <c r="P669" s="247">
        <v>20.578334808349599</v>
      </c>
      <c r="Q669" s="247">
        <v>20.580734252929702</v>
      </c>
      <c r="R669" s="247">
        <v>20.7274265289307</v>
      </c>
      <c r="S669" s="247">
        <v>20.953577041626001</v>
      </c>
      <c r="T669" s="247">
        <v>21.262916564941399</v>
      </c>
      <c r="U669" s="247">
        <v>21.454774856567401</v>
      </c>
      <c r="V669" s="247">
        <v>21.4308891296387</v>
      </c>
      <c r="W669" s="247">
        <v>21.3733520507813</v>
      </c>
      <c r="X669" s="247">
        <v>21.452013015747099</v>
      </c>
      <c r="Y669" s="247">
        <v>21.5757865905762</v>
      </c>
    </row>
    <row r="670" spans="1:26" x14ac:dyDescent="0.25">
      <c r="A670" s="243" t="s">
        <v>426</v>
      </c>
      <c r="B670" s="247" t="s">
        <v>426</v>
      </c>
      <c r="C670" s="247" t="s">
        <v>426</v>
      </c>
      <c r="D670" s="247" t="s">
        <v>426</v>
      </c>
      <c r="E670" s="247" t="s">
        <v>426</v>
      </c>
      <c r="F670" s="247" t="s">
        <v>426</v>
      </c>
      <c r="G670" s="247" t="s">
        <v>426</v>
      </c>
      <c r="H670" s="247" t="s">
        <v>426</v>
      </c>
      <c r="I670" s="247" t="s">
        <v>426</v>
      </c>
      <c r="J670" s="247" t="s">
        <v>426</v>
      </c>
      <c r="K670" s="247" t="s">
        <v>426</v>
      </c>
      <c r="L670" s="247" t="s">
        <v>426</v>
      </c>
      <c r="M670" s="247" t="s">
        <v>426</v>
      </c>
      <c r="N670" s="247" t="s">
        <v>426</v>
      </c>
      <c r="O670" s="247" t="s">
        <v>426</v>
      </c>
      <c r="P670" s="247" t="s">
        <v>426</v>
      </c>
      <c r="Q670" s="247" t="s">
        <v>426</v>
      </c>
      <c r="R670" s="247" t="s">
        <v>426</v>
      </c>
      <c r="S670" s="247" t="s">
        <v>426</v>
      </c>
      <c r="T670" s="247" t="s">
        <v>426</v>
      </c>
      <c r="U670" s="247" t="s">
        <v>426</v>
      </c>
      <c r="V670" s="247" t="s">
        <v>426</v>
      </c>
      <c r="W670" s="247" t="s">
        <v>426</v>
      </c>
      <c r="X670" s="247" t="s">
        <v>426</v>
      </c>
      <c r="Y670" s="247" t="s">
        <v>426</v>
      </c>
    </row>
    <row r="671" spans="1:26" x14ac:dyDescent="0.25">
      <c r="A671" s="243" t="s">
        <v>485</v>
      </c>
      <c r="B671" s="247" t="s">
        <v>426</v>
      </c>
      <c r="C671" s="247" t="s">
        <v>426</v>
      </c>
      <c r="D671" s="247" t="s">
        <v>426</v>
      </c>
      <c r="E671" s="247" t="s">
        <v>426</v>
      </c>
      <c r="F671" s="247" t="s">
        <v>426</v>
      </c>
      <c r="G671" s="247" t="s">
        <v>426</v>
      </c>
      <c r="H671" s="247" t="s">
        <v>426</v>
      </c>
      <c r="I671" s="247" t="s">
        <v>426</v>
      </c>
      <c r="J671" s="247" t="s">
        <v>426</v>
      </c>
      <c r="K671" s="247" t="s">
        <v>426</v>
      </c>
      <c r="L671" s="247" t="s">
        <v>426</v>
      </c>
      <c r="M671" s="247" t="s">
        <v>426</v>
      </c>
      <c r="N671" s="247" t="s">
        <v>426</v>
      </c>
      <c r="O671" s="247" t="s">
        <v>426</v>
      </c>
      <c r="P671" s="247" t="s">
        <v>426</v>
      </c>
      <c r="Q671" s="247" t="s">
        <v>426</v>
      </c>
      <c r="R671" s="247" t="s">
        <v>426</v>
      </c>
      <c r="S671" s="247" t="s">
        <v>426</v>
      </c>
      <c r="T671" s="247" t="s">
        <v>426</v>
      </c>
      <c r="U671" s="247" t="s">
        <v>426</v>
      </c>
      <c r="V671" s="247" t="s">
        <v>426</v>
      </c>
      <c r="W671" s="247" t="s">
        <v>426</v>
      </c>
      <c r="X671" s="247" t="s">
        <v>426</v>
      </c>
      <c r="Y671" s="247" t="s">
        <v>426</v>
      </c>
    </row>
    <row r="672" spans="1:26" x14ac:dyDescent="0.25">
      <c r="A672" s="243" t="s">
        <v>486</v>
      </c>
      <c r="B672" s="247">
        <v>1.8996955156326301</v>
      </c>
      <c r="C672" s="247">
        <v>2.2409727573394802</v>
      </c>
      <c r="D672" s="247">
        <v>2.4239859580993701</v>
      </c>
      <c r="E672" s="247">
        <v>2.3793189525604199</v>
      </c>
      <c r="F672" s="247">
        <v>2.2557969093322798</v>
      </c>
      <c r="G672" s="247">
        <v>2.16659760475159</v>
      </c>
      <c r="H672" s="247">
        <v>2.1260316371917698</v>
      </c>
      <c r="I672" s="247">
        <v>2.1242508888244598</v>
      </c>
      <c r="J672" s="247">
        <v>2.1216156482696502</v>
      </c>
      <c r="K672" s="247">
        <v>2.1531240940093999</v>
      </c>
      <c r="L672" s="247">
        <v>2.1922359466552699</v>
      </c>
      <c r="M672" s="247">
        <v>2.2451419830322301</v>
      </c>
      <c r="N672" s="247">
        <v>2.2968165874481201</v>
      </c>
      <c r="O672" s="247">
        <v>2.3293662071228001</v>
      </c>
      <c r="P672" s="247">
        <v>2.3501963615417498</v>
      </c>
      <c r="Q672" s="247">
        <v>2.3520054817199698</v>
      </c>
      <c r="R672" s="247">
        <v>2.3871843814849898</v>
      </c>
      <c r="S672" s="247">
        <v>2.4302341938018799</v>
      </c>
      <c r="T672" s="247">
        <v>2.5017471313476598</v>
      </c>
      <c r="U672" s="247">
        <v>2.5190291404724099</v>
      </c>
      <c r="V672" s="247">
        <v>2.50686860084534</v>
      </c>
      <c r="W672" s="247">
        <v>2.48747658729553</v>
      </c>
      <c r="X672" s="247">
        <v>2.5030989646911599</v>
      </c>
      <c r="Y672" s="247">
        <v>2.5170097351074201</v>
      </c>
    </row>
    <row r="673" spans="1:26" x14ac:dyDescent="0.25">
      <c r="A673" s="243" t="s">
        <v>488</v>
      </c>
      <c r="B673" s="247">
        <v>4.3748912811279297</v>
      </c>
      <c r="C673" s="247">
        <v>5.2786889076232901</v>
      </c>
      <c r="D673" s="247">
        <v>5.9517350196838397</v>
      </c>
      <c r="E673" s="247">
        <v>5.8146204948425302</v>
      </c>
      <c r="F673" s="247">
        <v>6.06520652770996</v>
      </c>
      <c r="G673" s="247">
        <v>6.0658583641052202</v>
      </c>
      <c r="H673" s="247">
        <v>6.0610094070434597</v>
      </c>
      <c r="I673" s="247">
        <v>6.0499844551086399</v>
      </c>
      <c r="J673" s="247">
        <v>6.0430412292480504</v>
      </c>
      <c r="K673" s="247">
        <v>6.00789546966553</v>
      </c>
      <c r="L673" s="247">
        <v>5.9784431457519496</v>
      </c>
      <c r="M673" s="247">
        <v>5.9840416908264196</v>
      </c>
      <c r="N673" s="247">
        <v>6.0042037963867196</v>
      </c>
      <c r="O673" s="247">
        <v>6.0128812789917001</v>
      </c>
      <c r="P673" s="247">
        <v>6.0971722602844203</v>
      </c>
      <c r="Q673" s="247">
        <v>6.1627969741821298</v>
      </c>
      <c r="R673" s="247">
        <v>6.2556800842285201</v>
      </c>
      <c r="S673" s="247">
        <v>6.3419466018676802</v>
      </c>
      <c r="T673" s="247">
        <v>6.4189195632934597</v>
      </c>
      <c r="U673" s="247">
        <v>6.5561437606811497</v>
      </c>
      <c r="V673" s="247">
        <v>6.6497230529785201</v>
      </c>
      <c r="W673" s="247">
        <v>6.7551417350768999</v>
      </c>
      <c r="X673" s="247">
        <v>6.8526744842529297</v>
      </c>
      <c r="Y673" s="247">
        <v>6.9808459281921396</v>
      </c>
    </row>
    <row r="674" spans="1:26" x14ac:dyDescent="0.25">
      <c r="A674" s="243" t="s">
        <v>462</v>
      </c>
      <c r="B674" s="247">
        <v>5.6938004493713397</v>
      </c>
      <c r="C674" s="247">
        <v>6.4773354530334499</v>
      </c>
      <c r="D674" s="247">
        <v>7.1750593185424796</v>
      </c>
      <c r="E674" s="247">
        <v>6.8899416923522896</v>
      </c>
      <c r="F674" s="247">
        <v>7.0708780288696298</v>
      </c>
      <c r="G674" s="247">
        <v>7.0249619483947798</v>
      </c>
      <c r="H674" s="247">
        <v>6.9838500022888201</v>
      </c>
      <c r="I674" s="247">
        <v>6.9665460586547896</v>
      </c>
      <c r="J674" s="247">
        <v>6.9450497627258301</v>
      </c>
      <c r="K674" s="247">
        <v>6.8211231231689498</v>
      </c>
      <c r="L674" s="247">
        <v>6.8083920478820801</v>
      </c>
      <c r="M674" s="247">
        <v>6.7952175140380904</v>
      </c>
      <c r="N674" s="247">
        <v>6.8354115486145002</v>
      </c>
      <c r="O674" s="247">
        <v>6.8402228355407697</v>
      </c>
      <c r="P674" s="247">
        <v>6.9283905029296902</v>
      </c>
      <c r="Q674" s="247">
        <v>6.9566001892089799</v>
      </c>
      <c r="R674" s="247">
        <v>7.0452814102172896</v>
      </c>
      <c r="S674" s="247">
        <v>7.1418867111206099</v>
      </c>
      <c r="T674" s="247">
        <v>7.2127375602722203</v>
      </c>
      <c r="U674" s="247">
        <v>7.4472899436950701</v>
      </c>
      <c r="V674" s="247">
        <v>7.5714774131774902</v>
      </c>
      <c r="W674" s="247">
        <v>7.7267389297485396</v>
      </c>
      <c r="X674" s="247">
        <v>7.8528199195861799</v>
      </c>
      <c r="Y674" s="247">
        <v>8.0614786148071307</v>
      </c>
    </row>
    <row r="675" spans="1:26" x14ac:dyDescent="0.25">
      <c r="A675" s="243" t="s">
        <v>467</v>
      </c>
      <c r="B675" s="247">
        <v>3.9850425720214799</v>
      </c>
      <c r="C675" s="247">
        <v>4.7911210060119602</v>
      </c>
      <c r="D675" s="247">
        <v>5.5054440498352104</v>
      </c>
      <c r="E675" s="247">
        <v>5.3836627006530797</v>
      </c>
      <c r="F675" s="247">
        <v>5.6116971969604501</v>
      </c>
      <c r="G675" s="247">
        <v>5.6101722717285201</v>
      </c>
      <c r="H675" s="247">
        <v>5.61515140533447</v>
      </c>
      <c r="I675" s="247">
        <v>5.6134881973266602</v>
      </c>
      <c r="J675" s="247">
        <v>5.6123900413513201</v>
      </c>
      <c r="K675" s="247">
        <v>5.6186213493347203</v>
      </c>
      <c r="L675" s="247">
        <v>5.6204733848571804</v>
      </c>
      <c r="M675" s="247">
        <v>5.6265015602111799</v>
      </c>
      <c r="N675" s="247">
        <v>5.6295571327209499</v>
      </c>
      <c r="O675" s="247">
        <v>5.6379580497741699</v>
      </c>
      <c r="P675" s="247">
        <v>5.71999168395996</v>
      </c>
      <c r="Q675" s="247">
        <v>5.7965455055236799</v>
      </c>
      <c r="R675" s="247">
        <v>5.8776378631591797</v>
      </c>
      <c r="S675" s="247">
        <v>5.9570369720459002</v>
      </c>
      <c r="T675" s="247">
        <v>6.0351238250732404</v>
      </c>
      <c r="U675" s="247">
        <v>6.1149992942810103</v>
      </c>
      <c r="V675" s="247">
        <v>6.1950988769531303</v>
      </c>
      <c r="W675" s="247">
        <v>6.27585792541504</v>
      </c>
      <c r="X675" s="247">
        <v>6.3545475006103498</v>
      </c>
      <c r="Y675" s="247">
        <v>6.4353322982788104</v>
      </c>
    </row>
    <row r="676" spans="1:26" x14ac:dyDescent="0.25">
      <c r="A676" s="268" t="s">
        <v>464</v>
      </c>
      <c r="B676" s="247">
        <v>3.6857740879058798</v>
      </c>
      <c r="C676" s="247">
        <v>5.4593739509582502</v>
      </c>
      <c r="D676" s="247">
        <v>5.9836130142211896</v>
      </c>
      <c r="E676" s="247">
        <v>5.9218006134033203</v>
      </c>
      <c r="F676" s="247">
        <v>5.2758417129516602</v>
      </c>
      <c r="G676" s="247">
        <v>4.86041164398193</v>
      </c>
      <c r="H676" s="247">
        <v>4.5085921287536603</v>
      </c>
      <c r="I676" s="247">
        <v>4.4009499549865696</v>
      </c>
      <c r="J676" s="247">
        <v>4.3143215179443404</v>
      </c>
      <c r="K676" s="247">
        <v>4.3619651794433603</v>
      </c>
      <c r="L676" s="247">
        <v>4.4577717781066903</v>
      </c>
      <c r="M676" s="247">
        <v>4.5935211181640598</v>
      </c>
      <c r="N676" s="247">
        <v>4.72908592224121</v>
      </c>
      <c r="O676" s="247">
        <v>4.8101162910461399</v>
      </c>
      <c r="P676" s="247">
        <v>4.8377823829650897</v>
      </c>
      <c r="Q676" s="247">
        <v>4.7923994064331099</v>
      </c>
      <c r="R676" s="247">
        <v>4.8652648925781303</v>
      </c>
      <c r="S676" s="247">
        <v>5.0083761215209996</v>
      </c>
      <c r="T676" s="247">
        <v>5.2321648597717303</v>
      </c>
      <c r="U676" s="247">
        <v>5.32541704177856</v>
      </c>
      <c r="V676" s="247">
        <v>5.3230118751525897</v>
      </c>
      <c r="W676" s="247">
        <v>5.3357062339782697</v>
      </c>
      <c r="X676" s="247">
        <v>5.3972234725952104</v>
      </c>
      <c r="Y676" s="247">
        <v>5.4970946311950701</v>
      </c>
      <c r="Z676" s="277">
        <f>Y676+($AI$506-$Y$676)/10</f>
        <v>5.5250455710201605</v>
      </c>
    </row>
    <row r="677" spans="1:26" x14ac:dyDescent="0.25">
      <c r="A677" s="272" t="s">
        <v>472</v>
      </c>
      <c r="B677" s="247">
        <v>1.2699717283248899</v>
      </c>
      <c r="C677" s="247">
        <v>1.27919089794159</v>
      </c>
      <c r="D677" s="247">
        <v>1.2835900783538801</v>
      </c>
      <c r="E677" s="247">
        <v>1.28959560394287</v>
      </c>
      <c r="F677" s="247">
        <v>1.29778397083282</v>
      </c>
      <c r="G677" s="247">
        <v>1.28695380687714</v>
      </c>
      <c r="H677" s="247">
        <v>1.28577756881714</v>
      </c>
      <c r="I677" s="247">
        <v>1.27679371833801</v>
      </c>
      <c r="J677" s="247">
        <v>1.26281106472015</v>
      </c>
      <c r="K677" s="247">
        <v>1.25397908687592</v>
      </c>
      <c r="L677" s="247">
        <v>1.2489364147186299</v>
      </c>
      <c r="M677" s="247">
        <v>1.2449804544448899</v>
      </c>
      <c r="N677" s="247">
        <v>1.2430621385574301</v>
      </c>
      <c r="O677" s="247">
        <v>1.24259686470032</v>
      </c>
      <c r="P677" s="247">
        <v>1.24424111843109</v>
      </c>
      <c r="Q677" s="247">
        <v>1.2428184747695901</v>
      </c>
      <c r="R677" s="247">
        <v>1.24728739261627</v>
      </c>
      <c r="S677" s="247">
        <v>1.2513284683227499</v>
      </c>
      <c r="T677" s="247">
        <v>1.2762980461120601</v>
      </c>
      <c r="U677" s="247">
        <v>1.2851967811584499</v>
      </c>
      <c r="V677" s="247">
        <v>1.2969329357147199</v>
      </c>
      <c r="W677" s="247">
        <v>1.3016670942306501</v>
      </c>
      <c r="X677" s="247">
        <v>1.31676089763641</v>
      </c>
      <c r="Y677" s="247">
        <v>1.3290703296661399</v>
      </c>
      <c r="Z677" s="285">
        <f>Y677+($AI$507-$Y$677)/10</f>
        <v>1.3327822261431892</v>
      </c>
    </row>
    <row r="678" spans="1:26" x14ac:dyDescent="0.25">
      <c r="A678" s="243" t="s">
        <v>426</v>
      </c>
      <c r="B678" s="247" t="s">
        <v>426</v>
      </c>
      <c r="C678" s="247" t="s">
        <v>426</v>
      </c>
      <c r="D678" s="247" t="s">
        <v>426</v>
      </c>
      <c r="E678" s="247" t="s">
        <v>426</v>
      </c>
      <c r="F678" s="247" t="s">
        <v>426</v>
      </c>
      <c r="G678" s="247" t="s">
        <v>426</v>
      </c>
      <c r="H678" s="247" t="s">
        <v>426</v>
      </c>
      <c r="I678" s="247" t="s">
        <v>426</v>
      </c>
      <c r="J678" s="247" t="s">
        <v>426</v>
      </c>
      <c r="K678" s="247" t="s">
        <v>426</v>
      </c>
      <c r="L678" s="247" t="s">
        <v>426</v>
      </c>
      <c r="M678" s="247" t="s">
        <v>426</v>
      </c>
      <c r="N678" s="247" t="s">
        <v>426</v>
      </c>
      <c r="O678" s="247" t="s">
        <v>426</v>
      </c>
      <c r="P678" s="247" t="s">
        <v>426</v>
      </c>
      <c r="Q678" s="247" t="s">
        <v>426</v>
      </c>
      <c r="R678" s="247" t="s">
        <v>426</v>
      </c>
      <c r="S678" s="247" t="s">
        <v>426</v>
      </c>
      <c r="T678" s="247" t="s">
        <v>426</v>
      </c>
      <c r="U678" s="247" t="s">
        <v>426</v>
      </c>
      <c r="V678" s="247" t="s">
        <v>426</v>
      </c>
      <c r="W678" s="247" t="s">
        <v>426</v>
      </c>
      <c r="X678" s="247" t="s">
        <v>426</v>
      </c>
      <c r="Y678" s="247" t="s">
        <v>426</v>
      </c>
    </row>
    <row r="679" spans="1:26" x14ac:dyDescent="0.25">
      <c r="A679" s="243" t="s">
        <v>489</v>
      </c>
      <c r="B679" s="247" t="s">
        <v>426</v>
      </c>
      <c r="C679" s="247" t="s">
        <v>426</v>
      </c>
      <c r="D679" s="247" t="s">
        <v>426</v>
      </c>
      <c r="E679" s="247" t="s">
        <v>426</v>
      </c>
      <c r="F679" s="247" t="s">
        <v>426</v>
      </c>
      <c r="G679" s="247" t="s">
        <v>426</v>
      </c>
      <c r="H679" s="247" t="s">
        <v>426</v>
      </c>
      <c r="I679" s="247" t="s">
        <v>426</v>
      </c>
      <c r="J679" s="247" t="s">
        <v>426</v>
      </c>
      <c r="K679" s="247" t="s">
        <v>426</v>
      </c>
      <c r="L679" s="247" t="s">
        <v>426</v>
      </c>
      <c r="M679" s="247" t="s">
        <v>426</v>
      </c>
      <c r="N679" s="247" t="s">
        <v>426</v>
      </c>
      <c r="O679" s="247" t="s">
        <v>426</v>
      </c>
      <c r="P679" s="247" t="s">
        <v>426</v>
      </c>
      <c r="Q679" s="247" t="s">
        <v>426</v>
      </c>
      <c r="R679" s="247" t="s">
        <v>426</v>
      </c>
      <c r="S679" s="247" t="s">
        <v>426</v>
      </c>
      <c r="T679" s="247" t="s">
        <v>426</v>
      </c>
      <c r="U679" s="247" t="s">
        <v>426</v>
      </c>
      <c r="V679" s="247" t="s">
        <v>426</v>
      </c>
      <c r="W679" s="247" t="s">
        <v>426</v>
      </c>
      <c r="X679" s="247" t="s">
        <v>426</v>
      </c>
      <c r="Y679" s="247" t="s">
        <v>426</v>
      </c>
    </row>
    <row r="680" spans="1:26" x14ac:dyDescent="0.25">
      <c r="A680" s="243" t="s">
        <v>490</v>
      </c>
      <c r="B680" s="247">
        <v>9.0916013717651403</v>
      </c>
      <c r="C680" s="247">
        <v>10.5092258453369</v>
      </c>
      <c r="D680" s="247">
        <v>12.005053520202599</v>
      </c>
      <c r="E680" s="247">
        <v>11.6376342773438</v>
      </c>
      <c r="F680" s="247">
        <v>11.8251142501831</v>
      </c>
      <c r="G680" s="247">
        <v>11.7351989746094</v>
      </c>
      <c r="H680" s="247">
        <v>11.6926622390747</v>
      </c>
      <c r="I680" s="247">
        <v>11.6848964691162</v>
      </c>
      <c r="J680" s="247">
        <v>11.6311902999878</v>
      </c>
      <c r="K680" s="247">
        <v>11.6124935150146</v>
      </c>
      <c r="L680" s="247">
        <v>11.616386413574199</v>
      </c>
      <c r="M680" s="247">
        <v>11.566198348999</v>
      </c>
      <c r="N680" s="247">
        <v>11.5507049560547</v>
      </c>
      <c r="O680" s="247">
        <v>11.475526809692401</v>
      </c>
      <c r="P680" s="247">
        <v>11.520403861999499</v>
      </c>
      <c r="Q680" s="247">
        <v>11.477831840515099</v>
      </c>
      <c r="R680" s="247">
        <v>11.5152139663696</v>
      </c>
      <c r="S680" s="247">
        <v>11.577165603637701</v>
      </c>
      <c r="T680" s="247">
        <v>11.5678558349609</v>
      </c>
      <c r="U680" s="247">
        <v>11.7752237319946</v>
      </c>
      <c r="V680" s="247">
        <v>11.90793800354</v>
      </c>
      <c r="W680" s="247">
        <v>12.0465354919434</v>
      </c>
      <c r="X680" s="247">
        <v>12.1843271255493</v>
      </c>
      <c r="Y680" s="247">
        <v>12.407506942749</v>
      </c>
    </row>
    <row r="681" spans="1:26" x14ac:dyDescent="0.25">
      <c r="A681" s="243" t="s">
        <v>491</v>
      </c>
      <c r="B681" s="247">
        <v>8.7129955291747994</v>
      </c>
      <c r="C681" s="247">
        <v>9.89868068695068</v>
      </c>
      <c r="D681" s="247">
        <v>10.9323635101318</v>
      </c>
      <c r="E681" s="247">
        <v>10.516573905944799</v>
      </c>
      <c r="F681" s="247">
        <v>10.8896884918213</v>
      </c>
      <c r="G681" s="247">
        <v>11.1545400619507</v>
      </c>
      <c r="H681" s="247">
        <v>11.1602163314819</v>
      </c>
      <c r="I681" s="247">
        <v>11.210696220397899</v>
      </c>
      <c r="J681" s="247">
        <v>11.2655477523804</v>
      </c>
      <c r="K681" s="247">
        <v>11.312797546386699</v>
      </c>
      <c r="L681" s="247">
        <v>11.4240579605103</v>
      </c>
      <c r="M681" s="247">
        <v>11.453408241271999</v>
      </c>
      <c r="N681" s="247">
        <v>11.43030834198</v>
      </c>
      <c r="O681" s="247">
        <v>11.241268157959</v>
      </c>
      <c r="P681" s="247">
        <v>11.0996809005737</v>
      </c>
      <c r="Q681" s="247">
        <v>10.9476537704468</v>
      </c>
      <c r="R681" s="247">
        <v>10.947796821594199</v>
      </c>
      <c r="S681" s="247">
        <v>10.974308013916</v>
      </c>
      <c r="T681" s="247">
        <v>11.019621849060099</v>
      </c>
      <c r="U681" s="247">
        <v>11.1190385818481</v>
      </c>
      <c r="V681" s="247">
        <v>11.172901153564499</v>
      </c>
      <c r="W681" s="247">
        <v>11.2430562973022</v>
      </c>
      <c r="X681" s="247">
        <v>11.376879692077599</v>
      </c>
      <c r="Y681" s="247">
        <v>11.7449541091919</v>
      </c>
    </row>
    <row r="682" spans="1:26" x14ac:dyDescent="0.25">
      <c r="A682" s="243" t="s">
        <v>492</v>
      </c>
      <c r="B682" s="247">
        <v>6.0538434982299796</v>
      </c>
      <c r="C682" s="247">
        <v>6.4578518867492702</v>
      </c>
      <c r="D682" s="247">
        <v>8.1168746948242205</v>
      </c>
      <c r="E682" s="247">
        <v>7.6875567436218297</v>
      </c>
      <c r="F682" s="247">
        <v>7.8739576339721697</v>
      </c>
      <c r="G682" s="247">
        <v>7.8265089988708496</v>
      </c>
      <c r="H682" s="247">
        <v>7.9840884208679199</v>
      </c>
      <c r="I682" s="247">
        <v>8.0166091918945295</v>
      </c>
      <c r="J682" s="247">
        <v>7.8608303070068404</v>
      </c>
      <c r="K682" s="247">
        <v>7.81276655197144</v>
      </c>
      <c r="L682" s="247">
        <v>7.8045797348022496</v>
      </c>
      <c r="M682" s="247">
        <v>7.7928524017334002</v>
      </c>
      <c r="N682" s="247">
        <v>7.7725591659545898</v>
      </c>
      <c r="O682" s="247">
        <v>7.7157216072082502</v>
      </c>
      <c r="P682" s="247">
        <v>7.7164225578308097</v>
      </c>
      <c r="Q682" s="247">
        <v>7.6991229057312003</v>
      </c>
      <c r="R682" s="247">
        <v>7.7546834945678702</v>
      </c>
      <c r="S682" s="247">
        <v>7.8412432670593297</v>
      </c>
      <c r="T682" s="247">
        <v>7.8916783332824698</v>
      </c>
      <c r="U682" s="247">
        <v>8.0530261993408203</v>
      </c>
      <c r="V682" s="247">
        <v>8.1459932327270508</v>
      </c>
      <c r="W682" s="247">
        <v>8.2922735214233398</v>
      </c>
      <c r="X682" s="247">
        <v>8.4199304580688494</v>
      </c>
      <c r="Y682" s="247">
        <v>8.7479171752929705</v>
      </c>
    </row>
    <row r="683" spans="1:26" x14ac:dyDescent="0.25">
      <c r="A683" s="243" t="s">
        <v>493</v>
      </c>
      <c r="B683" s="247">
        <v>9.5166797637939506</v>
      </c>
      <c r="C683" s="247">
        <v>13.0396432876587</v>
      </c>
      <c r="D683" s="247">
        <v>15.6858806610107</v>
      </c>
      <c r="E683" s="247">
        <v>14.0740518569946</v>
      </c>
      <c r="F683" s="247">
        <v>13.2904262542725</v>
      </c>
      <c r="G683" s="247">
        <v>13.309534072876</v>
      </c>
      <c r="H683" s="247">
        <v>13.149743080139199</v>
      </c>
      <c r="I683" s="247">
        <v>13.0244760513306</v>
      </c>
      <c r="J683" s="247">
        <v>13.1580867767334</v>
      </c>
      <c r="K683" s="247">
        <v>12.982262611389199</v>
      </c>
      <c r="L683" s="247">
        <v>12.9337568283081</v>
      </c>
      <c r="M683" s="247">
        <v>12.8646802902222</v>
      </c>
      <c r="N683" s="247">
        <v>12.621651649475099</v>
      </c>
      <c r="O683" s="247">
        <v>12.775475502014199</v>
      </c>
      <c r="P683" s="247">
        <v>12.937217712402299</v>
      </c>
      <c r="Q683" s="247">
        <v>13.1492967605591</v>
      </c>
      <c r="R683" s="247">
        <v>13.286898612976101</v>
      </c>
      <c r="S683" s="247">
        <v>13.3753395080566</v>
      </c>
      <c r="T683" s="247">
        <v>13.277045249939</v>
      </c>
      <c r="U683" s="247">
        <v>13.584378242492701</v>
      </c>
      <c r="V683" s="247">
        <v>13.775920867919901</v>
      </c>
      <c r="W683" s="247">
        <v>13.987989425659199</v>
      </c>
      <c r="X683" s="247">
        <v>14.116153717041</v>
      </c>
      <c r="Y683" s="247">
        <v>14.3756980895996</v>
      </c>
    </row>
    <row r="684" spans="1:26" x14ac:dyDescent="0.25">
      <c r="A684" s="243" t="s">
        <v>494</v>
      </c>
      <c r="B684" s="247">
        <v>11.3185987472534</v>
      </c>
      <c r="C684" s="247">
        <v>12.9258327484131</v>
      </c>
      <c r="D684" s="247">
        <v>14.650143623352101</v>
      </c>
      <c r="E684" s="247">
        <v>14.344244956970201</v>
      </c>
      <c r="F684" s="247">
        <v>14.6975507736206</v>
      </c>
      <c r="G684" s="247">
        <v>14.347893714904799</v>
      </c>
      <c r="H684" s="247">
        <v>14.238919258117701</v>
      </c>
      <c r="I684" s="247">
        <v>14.238542556762701</v>
      </c>
      <c r="J684" s="247">
        <v>14.0666351318359</v>
      </c>
      <c r="K684" s="247">
        <v>14.0516872406006</v>
      </c>
      <c r="L684" s="247">
        <v>14.0139780044556</v>
      </c>
      <c r="M684" s="247">
        <v>13.894681930541999</v>
      </c>
      <c r="N684" s="247">
        <v>13.9225015640259</v>
      </c>
      <c r="O684" s="247">
        <v>13.8080444335938</v>
      </c>
      <c r="P684" s="247">
        <v>13.9091501235962</v>
      </c>
      <c r="Q684" s="247">
        <v>13.810170173645</v>
      </c>
      <c r="R684" s="247">
        <v>13.822598457336399</v>
      </c>
      <c r="S684" s="247">
        <v>13.882239341735801</v>
      </c>
      <c r="T684" s="247">
        <v>13.824323654174799</v>
      </c>
      <c r="U684" s="247">
        <v>14.0693578720093</v>
      </c>
      <c r="V684" s="247">
        <v>14.2271223068237</v>
      </c>
      <c r="W684" s="247">
        <v>14.3637847900391</v>
      </c>
      <c r="X684" s="247">
        <v>14.4981489181519</v>
      </c>
      <c r="Y684" s="247">
        <v>14.5947113037109</v>
      </c>
    </row>
    <row r="685" spans="1:26" x14ac:dyDescent="0.25">
      <c r="A685" s="243" t="s">
        <v>495</v>
      </c>
      <c r="B685" s="247">
        <v>3.9308724403381299</v>
      </c>
      <c r="C685" s="247">
        <v>4.6628575325012198</v>
      </c>
      <c r="D685" s="247">
        <v>5.07232666015625</v>
      </c>
      <c r="E685" s="247">
        <v>5.1433587074279803</v>
      </c>
      <c r="F685" s="247">
        <v>5.4173622131347701</v>
      </c>
      <c r="G685" s="247">
        <v>5.4097323417663601</v>
      </c>
      <c r="H685" s="247">
        <v>5.3977632522582999</v>
      </c>
      <c r="I685" s="247">
        <v>5.3867764472961399</v>
      </c>
      <c r="J685" s="247">
        <v>5.3854241371154803</v>
      </c>
      <c r="K685" s="247">
        <v>5.3919448852539098</v>
      </c>
      <c r="L685" s="247">
        <v>5.3981180191040004</v>
      </c>
      <c r="M685" s="247">
        <v>5.4056487083435103</v>
      </c>
      <c r="N685" s="247">
        <v>5.4104261398315403</v>
      </c>
      <c r="O685" s="247">
        <v>5.4168543815612802</v>
      </c>
      <c r="P685" s="247">
        <v>5.4972262382507298</v>
      </c>
      <c r="Q685" s="247">
        <v>5.5698432922363299</v>
      </c>
      <c r="R685" s="247">
        <v>5.6456804275512704</v>
      </c>
      <c r="S685" s="247">
        <v>5.7250947952270499</v>
      </c>
      <c r="T685" s="247">
        <v>5.8020553588867196</v>
      </c>
      <c r="U685" s="247">
        <v>5.88106393814087</v>
      </c>
      <c r="V685" s="247">
        <v>5.9598326683044398</v>
      </c>
      <c r="W685" s="247">
        <v>6.0394186973571804</v>
      </c>
      <c r="X685" s="247">
        <v>6.11779880523682</v>
      </c>
      <c r="Y685" s="247">
        <v>6.2010583877563503</v>
      </c>
    </row>
    <row r="686" spans="1:26" x14ac:dyDescent="0.25">
      <c r="A686" s="243" t="s">
        <v>496</v>
      </c>
      <c r="B686" s="247">
        <v>5.1461992263793901</v>
      </c>
      <c r="C686" s="247">
        <v>6.8558807373046902</v>
      </c>
      <c r="D686" s="247">
        <v>7.3508062362670898</v>
      </c>
      <c r="E686" s="247">
        <v>7.3840570449829102</v>
      </c>
      <c r="F686" s="247">
        <v>6.7167382240295401</v>
      </c>
      <c r="G686" s="247">
        <v>6.27575588226318</v>
      </c>
      <c r="H686" s="247">
        <v>5.86295366287231</v>
      </c>
      <c r="I686" s="247">
        <v>5.7038016319274902</v>
      </c>
      <c r="J686" s="247">
        <v>5.5520119667053196</v>
      </c>
      <c r="K686" s="247">
        <v>5.5432248115539604</v>
      </c>
      <c r="L686" s="247">
        <v>5.5985813140869096</v>
      </c>
      <c r="M686" s="247">
        <v>5.70459079742432</v>
      </c>
      <c r="N686" s="247">
        <v>5.8318381309509304</v>
      </c>
      <c r="O686" s="247">
        <v>5.9191007614135698</v>
      </c>
      <c r="P686" s="247">
        <v>5.9519534111022896</v>
      </c>
      <c r="Q686" s="247">
        <v>5.8878293037414604</v>
      </c>
      <c r="R686" s="247">
        <v>5.94315385818481</v>
      </c>
      <c r="S686" s="247">
        <v>6.08443307876587</v>
      </c>
      <c r="T686" s="247">
        <v>6.3156557083129901</v>
      </c>
      <c r="U686" s="247">
        <v>6.4281539916992196</v>
      </c>
      <c r="V686" s="247">
        <v>6.4433326721191397</v>
      </c>
      <c r="W686" s="247">
        <v>6.4763746261596697</v>
      </c>
      <c r="X686" s="247">
        <v>6.5396862030029297</v>
      </c>
      <c r="Y686" s="247">
        <v>6.6462817192077601</v>
      </c>
    </row>
    <row r="687" spans="1:26" x14ac:dyDescent="0.25">
      <c r="A687" s="243" t="s">
        <v>497</v>
      </c>
      <c r="B687" s="247">
        <v>1.2938040494918801</v>
      </c>
      <c r="C687" s="247">
        <v>1.29924309253693</v>
      </c>
      <c r="D687" s="247">
        <v>1.3041912317276001</v>
      </c>
      <c r="E687" s="247">
        <v>1.3119194507598899</v>
      </c>
      <c r="F687" s="247">
        <v>1.3187216520309399</v>
      </c>
      <c r="G687" s="247">
        <v>1.3072546720504801</v>
      </c>
      <c r="H687" s="247">
        <v>1.3059933185577399</v>
      </c>
      <c r="I687" s="247">
        <v>1.2971544265747099</v>
      </c>
      <c r="J687" s="247">
        <v>1.2836289405822801</v>
      </c>
      <c r="K687" s="247">
        <v>1.2749706506729099</v>
      </c>
      <c r="L687" s="247">
        <v>1.26953566074371</v>
      </c>
      <c r="M687" s="247">
        <v>1.2652333974838299</v>
      </c>
      <c r="N687" s="247">
        <v>1.2631930112838701</v>
      </c>
      <c r="O687" s="247">
        <v>1.2626041173934901</v>
      </c>
      <c r="P687" s="247">
        <v>1.26433837413788</v>
      </c>
      <c r="Q687" s="247">
        <v>1.26277422904968</v>
      </c>
      <c r="R687" s="247">
        <v>1.2691743373870801</v>
      </c>
      <c r="S687" s="247">
        <v>1.27585673332214</v>
      </c>
      <c r="T687" s="247">
        <v>1.3034254312515301</v>
      </c>
      <c r="U687" s="247">
        <v>1.3139834403991699</v>
      </c>
      <c r="V687" s="247">
        <v>1.32844221591949</v>
      </c>
      <c r="W687" s="247">
        <v>1.3343856334686299</v>
      </c>
      <c r="X687" s="247">
        <v>1.3519768714904801</v>
      </c>
      <c r="Y687" s="247">
        <v>1.3668735027313199</v>
      </c>
    </row>
    <row r="688" spans="1:26" x14ac:dyDescent="0.25">
      <c r="A688" s="243" t="s">
        <v>498</v>
      </c>
      <c r="B688" s="247">
        <v>14.6543264389038</v>
      </c>
      <c r="C688" s="247">
        <v>16.232709884643601</v>
      </c>
      <c r="D688" s="247">
        <v>19.6646022796631</v>
      </c>
      <c r="E688" s="247">
        <v>19.716905593872099</v>
      </c>
      <c r="F688" s="247">
        <v>20.910398483276399</v>
      </c>
      <c r="G688" s="247">
        <v>20.088336944580099</v>
      </c>
      <c r="H688" s="247">
        <v>20.034643173217798</v>
      </c>
      <c r="I688" s="247">
        <v>19.876234054565401</v>
      </c>
      <c r="J688" s="247">
        <v>19.0899848937988</v>
      </c>
      <c r="K688" s="247">
        <v>19.0770473480225</v>
      </c>
      <c r="L688" s="247">
        <v>18.9334907531738</v>
      </c>
      <c r="M688" s="247">
        <v>18.8203315734863</v>
      </c>
      <c r="N688" s="247">
        <v>18.8769016265869</v>
      </c>
      <c r="O688" s="247">
        <v>18.733657836914102</v>
      </c>
      <c r="P688" s="247">
        <v>18.836368560791001</v>
      </c>
      <c r="Q688" s="247">
        <v>18.717578887939499</v>
      </c>
      <c r="R688" s="247">
        <v>18.677961349487301</v>
      </c>
      <c r="S688" s="247">
        <v>18.768825531005898</v>
      </c>
      <c r="T688" s="247">
        <v>18.702945709228501</v>
      </c>
      <c r="U688" s="247">
        <v>19.039726257324201</v>
      </c>
      <c r="V688" s="247">
        <v>19.213029861450199</v>
      </c>
      <c r="W688" s="247">
        <v>19.429216384887699</v>
      </c>
      <c r="X688" s="247">
        <v>19.537574768066399</v>
      </c>
      <c r="Y688" s="247">
        <v>19.6945476531982</v>
      </c>
    </row>
    <row r="689" spans="1:28" x14ac:dyDescent="0.25">
      <c r="A689" s="243" t="s">
        <v>465</v>
      </c>
      <c r="B689" s="247">
        <v>21.599882125854499</v>
      </c>
      <c r="C689" s="247">
        <v>21.735733032226602</v>
      </c>
      <c r="D689" s="247">
        <v>21.731866836547901</v>
      </c>
      <c r="E689" s="247">
        <v>21.659553527831999</v>
      </c>
      <c r="F689" s="247">
        <v>20.918876647949201</v>
      </c>
      <c r="G689" s="247">
        <v>20.055833816528299</v>
      </c>
      <c r="H689" s="247">
        <v>19.596654891967798</v>
      </c>
      <c r="I689" s="247">
        <v>19.579929351806602</v>
      </c>
      <c r="J689" s="247">
        <v>19.517631530761701</v>
      </c>
      <c r="K689" s="247">
        <v>19.486770629882798</v>
      </c>
      <c r="L689" s="247">
        <v>19.702039718627901</v>
      </c>
      <c r="M689" s="247">
        <v>19.955158233642599</v>
      </c>
      <c r="N689" s="247">
        <v>20.317079544067401</v>
      </c>
      <c r="O689" s="247">
        <v>20.442613601684599</v>
      </c>
      <c r="P689" s="247">
        <v>20.578334808349599</v>
      </c>
      <c r="Q689" s="247">
        <v>20.580734252929702</v>
      </c>
      <c r="R689" s="247">
        <v>20.7274265289307</v>
      </c>
      <c r="S689" s="247">
        <v>20.953577041626001</v>
      </c>
      <c r="T689" s="247">
        <v>21.262916564941399</v>
      </c>
      <c r="U689" s="247">
        <v>21.454774856567401</v>
      </c>
      <c r="V689" s="247">
        <v>21.4308891296387</v>
      </c>
      <c r="W689" s="247">
        <v>21.3733520507813</v>
      </c>
      <c r="X689" s="247">
        <v>21.452013015747099</v>
      </c>
      <c r="Y689" s="247">
        <v>21.5757865905762</v>
      </c>
    </row>
    <row r="690" spans="1:28" x14ac:dyDescent="0.25">
      <c r="A690" s="243" t="s">
        <v>426</v>
      </c>
      <c r="B690" s="247" t="s">
        <v>426</v>
      </c>
      <c r="C690" s="247" t="s">
        <v>426</v>
      </c>
      <c r="D690" s="247" t="s">
        <v>426</v>
      </c>
      <c r="E690" s="247" t="s">
        <v>426</v>
      </c>
      <c r="F690" s="247" t="s">
        <v>426</v>
      </c>
      <c r="G690" s="247" t="s">
        <v>426</v>
      </c>
      <c r="H690" s="247" t="s">
        <v>426</v>
      </c>
      <c r="I690" s="247" t="s">
        <v>426</v>
      </c>
      <c r="J690" s="247" t="s">
        <v>426</v>
      </c>
      <c r="K690" s="247" t="s">
        <v>426</v>
      </c>
      <c r="L690" s="247" t="s">
        <v>426</v>
      </c>
      <c r="M690" s="247" t="s">
        <v>426</v>
      </c>
      <c r="N690" s="247" t="s">
        <v>426</v>
      </c>
      <c r="O690" s="247" t="s">
        <v>426</v>
      </c>
      <c r="P690" s="247" t="s">
        <v>426</v>
      </c>
      <c r="Q690" s="247" t="s">
        <v>426</v>
      </c>
      <c r="R690" s="247" t="s">
        <v>426</v>
      </c>
      <c r="S690" s="247" t="s">
        <v>426</v>
      </c>
      <c r="T690" s="247" t="s">
        <v>426</v>
      </c>
      <c r="U690" s="247" t="s">
        <v>426</v>
      </c>
      <c r="V690" s="247" t="s">
        <v>426</v>
      </c>
      <c r="W690" s="247" t="s">
        <v>426</v>
      </c>
      <c r="X690" s="247" t="s">
        <v>426</v>
      </c>
      <c r="Y690" s="247" t="s">
        <v>426</v>
      </c>
    </row>
    <row r="691" spans="1:28" x14ac:dyDescent="0.25">
      <c r="A691" s="243" t="s">
        <v>499</v>
      </c>
      <c r="B691" s="247" t="s">
        <v>426</v>
      </c>
      <c r="C691" s="247" t="s">
        <v>426</v>
      </c>
      <c r="D691" s="247" t="s">
        <v>426</v>
      </c>
      <c r="E691" s="247" t="s">
        <v>426</v>
      </c>
      <c r="F691" s="247" t="s">
        <v>426</v>
      </c>
      <c r="G691" s="247" t="s">
        <v>426</v>
      </c>
      <c r="H691" s="247" t="s">
        <v>426</v>
      </c>
      <c r="I691" s="247" t="s">
        <v>426</v>
      </c>
      <c r="J691" s="247" t="s">
        <v>426</v>
      </c>
      <c r="K691" s="247" t="s">
        <v>426</v>
      </c>
      <c r="L691" s="247" t="s">
        <v>426</v>
      </c>
      <c r="M691" s="247" t="s">
        <v>426</v>
      </c>
      <c r="N691" s="247" t="s">
        <v>426</v>
      </c>
      <c r="O691" s="247" t="s">
        <v>426</v>
      </c>
      <c r="P691" s="247" t="s">
        <v>426</v>
      </c>
      <c r="Q691" s="247" t="s">
        <v>426</v>
      </c>
      <c r="R691" s="247" t="s">
        <v>426</v>
      </c>
      <c r="S691" s="247" t="s">
        <v>426</v>
      </c>
      <c r="T691" s="247" t="s">
        <v>426</v>
      </c>
      <c r="U691" s="247" t="s">
        <v>426</v>
      </c>
      <c r="V691" s="247" t="s">
        <v>426</v>
      </c>
      <c r="W691" s="247" t="s">
        <v>426</v>
      </c>
      <c r="X691" s="247" t="s">
        <v>426</v>
      </c>
      <c r="Y691" s="247" t="s">
        <v>426</v>
      </c>
    </row>
    <row r="692" spans="1:28" x14ac:dyDescent="0.25">
      <c r="A692" s="243" t="s">
        <v>500</v>
      </c>
      <c r="B692" s="247" t="s">
        <v>426</v>
      </c>
      <c r="C692" s="247" t="s">
        <v>426</v>
      </c>
      <c r="D692" s="247" t="s">
        <v>426</v>
      </c>
      <c r="E692" s="247" t="s">
        <v>426</v>
      </c>
      <c r="F692" s="247" t="s">
        <v>426</v>
      </c>
      <c r="G692" s="247" t="s">
        <v>426</v>
      </c>
      <c r="H692" s="247" t="s">
        <v>426</v>
      </c>
      <c r="I692" s="247" t="s">
        <v>426</v>
      </c>
      <c r="J692" s="247" t="s">
        <v>426</v>
      </c>
      <c r="K692" s="247" t="s">
        <v>426</v>
      </c>
      <c r="L692" s="247" t="s">
        <v>426</v>
      </c>
      <c r="M692" s="247" t="s">
        <v>426</v>
      </c>
      <c r="N692" s="247" t="s">
        <v>426</v>
      </c>
      <c r="O692" s="247" t="s">
        <v>426</v>
      </c>
      <c r="P692" s="247" t="s">
        <v>426</v>
      </c>
      <c r="Q692" s="247" t="s">
        <v>426</v>
      </c>
      <c r="R692" s="247" t="s">
        <v>426</v>
      </c>
      <c r="S692" s="247" t="s">
        <v>426</v>
      </c>
      <c r="T692" s="247" t="s">
        <v>426</v>
      </c>
      <c r="U692" s="247" t="s">
        <v>426</v>
      </c>
      <c r="V692" s="247" t="s">
        <v>426</v>
      </c>
      <c r="W692" s="247" t="s">
        <v>426</v>
      </c>
      <c r="X692" s="247" t="s">
        <v>426</v>
      </c>
      <c r="Y692" s="247" t="s">
        <v>426</v>
      </c>
    </row>
    <row r="693" spans="1:28" x14ac:dyDescent="0.25">
      <c r="A693" s="243" t="s">
        <v>459</v>
      </c>
      <c r="B693" s="247">
        <v>163.90481567382801</v>
      </c>
      <c r="C693" s="247">
        <v>177.16523742675801</v>
      </c>
      <c r="D693" s="247">
        <v>181.73590087890599</v>
      </c>
      <c r="E693" s="247">
        <v>185.241622924805</v>
      </c>
      <c r="F693" s="247">
        <v>180.05682373046901</v>
      </c>
      <c r="G693" s="247">
        <v>176.427001953125</v>
      </c>
      <c r="H693" s="247">
        <v>175.07618713378901</v>
      </c>
      <c r="I693" s="247">
        <v>176.51165771484401</v>
      </c>
      <c r="J693" s="247">
        <v>178.08059692382801</v>
      </c>
      <c r="K693" s="247">
        <v>180.014236450195</v>
      </c>
      <c r="L693" s="247">
        <v>183.85498046875</v>
      </c>
      <c r="M693" s="247">
        <v>187.18310546875</v>
      </c>
      <c r="N693" s="247">
        <v>191.43936157226599</v>
      </c>
      <c r="O693" s="247">
        <v>194.37899780273401</v>
      </c>
      <c r="P693" s="247">
        <v>197.52023315429699</v>
      </c>
      <c r="Q693" s="247">
        <v>198.76248168945301</v>
      </c>
      <c r="R693" s="247">
        <v>201.94073486328099</v>
      </c>
      <c r="S693" s="247">
        <v>206.017013549805</v>
      </c>
      <c r="T693" s="247">
        <v>211.20541381835901</v>
      </c>
      <c r="U693" s="247">
        <v>214.41099548339801</v>
      </c>
      <c r="V693" s="247">
        <v>216.40347290039099</v>
      </c>
      <c r="W693" s="247">
        <v>218.64796447753901</v>
      </c>
      <c r="X693" s="247">
        <v>222.25126647949199</v>
      </c>
      <c r="Y693" s="247">
        <v>225.36584472656301</v>
      </c>
      <c r="AA693" s="299"/>
      <c r="AB693" s="299"/>
    </row>
    <row r="694" spans="1:28" x14ac:dyDescent="0.25">
      <c r="A694" s="243" t="s">
        <v>466</v>
      </c>
      <c r="B694" s="247">
        <v>122.690147399902</v>
      </c>
      <c r="C694" s="247">
        <v>128.153732299805</v>
      </c>
      <c r="D694" s="247">
        <v>130.48612976074199</v>
      </c>
      <c r="E694" s="247">
        <v>132.29133605957</v>
      </c>
      <c r="F694" s="247">
        <v>129.27566528320301</v>
      </c>
      <c r="G694" s="247">
        <v>126.887260437012</v>
      </c>
      <c r="H694" s="247">
        <v>126.692184448242</v>
      </c>
      <c r="I694" s="247">
        <v>129.41491699218801</v>
      </c>
      <c r="J694" s="247">
        <v>131.90731811523401</v>
      </c>
      <c r="K694" s="247">
        <v>135.04089355468801</v>
      </c>
      <c r="L694" s="247">
        <v>139.741943359375</v>
      </c>
      <c r="M694" s="247">
        <v>144.63902282714801</v>
      </c>
      <c r="N694" s="247">
        <v>150.53921508789099</v>
      </c>
      <c r="O694" s="247">
        <v>154.864669799805</v>
      </c>
      <c r="P694" s="247">
        <v>159.25378417968801</v>
      </c>
      <c r="Q694" s="247">
        <v>162.59527587890599</v>
      </c>
      <c r="R694" s="247">
        <v>167.29981994628901</v>
      </c>
      <c r="S694" s="247">
        <v>172.854415893555</v>
      </c>
      <c r="T694" s="247">
        <v>179.18412780761699</v>
      </c>
      <c r="U694" s="247">
        <v>184.76553344726599</v>
      </c>
      <c r="V694" s="247">
        <v>188.65592956543</v>
      </c>
      <c r="W694" s="247">
        <v>192.56275939941401</v>
      </c>
      <c r="X694" s="247">
        <v>197.80290222168</v>
      </c>
      <c r="Y694" s="247">
        <v>203.64804077148401</v>
      </c>
    </row>
    <row r="695" spans="1:28" x14ac:dyDescent="0.25">
      <c r="A695" s="243" t="s">
        <v>501</v>
      </c>
      <c r="B695" s="247">
        <v>124.39901733398401</v>
      </c>
      <c r="C695" s="247">
        <v>147.11244201660199</v>
      </c>
      <c r="D695" s="247">
        <v>168.13270568847699</v>
      </c>
      <c r="E695" s="247">
        <v>167.53501892089801</v>
      </c>
      <c r="F695" s="247">
        <v>157.82022094726599</v>
      </c>
      <c r="G695" s="247">
        <v>152.842697143555</v>
      </c>
      <c r="H695" s="247">
        <v>151.28466796875</v>
      </c>
      <c r="I695" s="247">
        <v>151.59564208984401</v>
      </c>
      <c r="J695" s="247">
        <v>151.94683837890599</v>
      </c>
      <c r="K695" s="247">
        <v>152.62234497070301</v>
      </c>
      <c r="L695" s="247">
        <v>154.60144042968801</v>
      </c>
      <c r="M695" s="247">
        <v>156.88139343261699</v>
      </c>
      <c r="N695" s="247">
        <v>159.98997497558599</v>
      </c>
      <c r="O695" s="247">
        <v>162.62356567382801</v>
      </c>
      <c r="P695" s="247">
        <v>164.507247924805</v>
      </c>
      <c r="Q695" s="247">
        <v>166.59835815429699</v>
      </c>
      <c r="R695" s="247">
        <v>170.382568359375</v>
      </c>
      <c r="S695" s="247">
        <v>174.95167541503901</v>
      </c>
      <c r="T695" s="247">
        <v>179.57080078125</v>
      </c>
      <c r="U695" s="247">
        <v>184.12712097168</v>
      </c>
      <c r="V695" s="247">
        <v>186.42012023925801</v>
      </c>
      <c r="W695" s="247">
        <v>189.56260681152301</v>
      </c>
      <c r="X695" s="247">
        <v>192.98284912109401</v>
      </c>
      <c r="Y695" s="247">
        <v>198.25885009765599</v>
      </c>
    </row>
    <row r="696" spans="1:28" x14ac:dyDescent="0.25">
      <c r="A696" s="243" t="s">
        <v>473</v>
      </c>
      <c r="B696" s="247">
        <v>263.72879028320301</v>
      </c>
      <c r="C696" s="247">
        <v>302.59255981445301</v>
      </c>
      <c r="D696" s="247">
        <v>352.23825073242199</v>
      </c>
      <c r="E696" s="247">
        <v>351.13717651367199</v>
      </c>
      <c r="F696" s="247">
        <v>366.34793090820301</v>
      </c>
      <c r="G696" s="247">
        <v>368.76159667968801</v>
      </c>
      <c r="H696" s="247">
        <v>374.76626586914102</v>
      </c>
      <c r="I696" s="247">
        <v>382.39471435546898</v>
      </c>
      <c r="J696" s="247">
        <v>385.90115356445301</v>
      </c>
      <c r="K696" s="247">
        <v>392.12625122070301</v>
      </c>
      <c r="L696" s="247">
        <v>398.68222045898398</v>
      </c>
      <c r="M696" s="247">
        <v>403.06192016601602</v>
      </c>
      <c r="N696" s="247">
        <v>409.94515991210898</v>
      </c>
      <c r="O696" s="247">
        <v>412.30630493164102</v>
      </c>
      <c r="P696" s="247">
        <v>418.64147949218801</v>
      </c>
      <c r="Q696" s="247">
        <v>421.60382080078102</v>
      </c>
      <c r="R696" s="247">
        <v>428.44393920898398</v>
      </c>
      <c r="S696" s="247">
        <v>436.35858154296898</v>
      </c>
      <c r="T696" s="247">
        <v>441.71078491210898</v>
      </c>
      <c r="U696" s="247">
        <v>454.05059814453102</v>
      </c>
      <c r="V696" s="247">
        <v>464.07431030273398</v>
      </c>
      <c r="W696" s="247">
        <v>474.87463378906301</v>
      </c>
      <c r="X696" s="247">
        <v>486.72909545898398</v>
      </c>
      <c r="Y696" s="247">
        <v>501.322265625</v>
      </c>
    </row>
    <row r="697" spans="1:28" x14ac:dyDescent="0.25">
      <c r="A697" s="243" t="s">
        <v>502</v>
      </c>
      <c r="B697" s="247">
        <v>674.72277832031295</v>
      </c>
      <c r="C697" s="247">
        <v>755.02398681640602</v>
      </c>
      <c r="D697" s="247">
        <v>832.593017578125</v>
      </c>
      <c r="E697" s="247">
        <v>836.20513916015602</v>
      </c>
      <c r="F697" s="247">
        <v>833.50061035156295</v>
      </c>
      <c r="G697" s="247">
        <v>824.91857910156295</v>
      </c>
      <c r="H697" s="247">
        <v>827.8193359375</v>
      </c>
      <c r="I697" s="247">
        <v>839.91693115234398</v>
      </c>
      <c r="J697" s="247">
        <v>847.8359375</v>
      </c>
      <c r="K697" s="247">
        <v>859.8037109375</v>
      </c>
      <c r="L697" s="247">
        <v>876.880615234375</v>
      </c>
      <c r="M697" s="247">
        <v>891.76544189453102</v>
      </c>
      <c r="N697" s="247">
        <v>911.91369628906295</v>
      </c>
      <c r="O697" s="247">
        <v>924.17352294921898</v>
      </c>
      <c r="P697" s="247">
        <v>939.92272949218795</v>
      </c>
      <c r="Q697" s="247">
        <v>949.55993652343795</v>
      </c>
      <c r="R697" s="247">
        <v>968.06707763671898</v>
      </c>
      <c r="S697" s="247">
        <v>990.18170166015602</v>
      </c>
      <c r="T697" s="247">
        <v>1011.67114257813</v>
      </c>
      <c r="U697" s="247">
        <v>1037.35424804688</v>
      </c>
      <c r="V697" s="247">
        <v>1055.55383300781</v>
      </c>
      <c r="W697" s="247">
        <v>1075.64794921875</v>
      </c>
      <c r="X697" s="247">
        <v>1099.76611328125</v>
      </c>
      <c r="Y697" s="247">
        <v>1128.59497070313</v>
      </c>
    </row>
    <row r="698" spans="1:28" x14ac:dyDescent="0.25">
      <c r="A698" s="243" t="s">
        <v>503</v>
      </c>
      <c r="B698" s="247">
        <v>1.1704622767865699E-2</v>
      </c>
      <c r="C698" s="247">
        <v>1.72001253813505E-2</v>
      </c>
      <c r="D698" s="247">
        <v>2.0739471539855E-2</v>
      </c>
      <c r="E698" s="247">
        <v>2.2715086117386801E-2</v>
      </c>
      <c r="F698" s="247">
        <v>2.5078095495700801E-2</v>
      </c>
      <c r="G698" s="247">
        <v>2.8324941173195801E-2</v>
      </c>
      <c r="H698" s="247">
        <v>3.1410280615091303E-2</v>
      </c>
      <c r="I698" s="247">
        <v>3.5102743655443198E-2</v>
      </c>
      <c r="J698" s="247">
        <v>3.9645586162805599E-2</v>
      </c>
      <c r="K698" s="247">
        <v>4.3348435312509502E-2</v>
      </c>
      <c r="L698" s="247">
        <v>4.6531450003385502E-2</v>
      </c>
      <c r="M698" s="247">
        <v>4.9735426902771003E-2</v>
      </c>
      <c r="N698" s="247">
        <v>5.3442426025867497E-2</v>
      </c>
      <c r="O698" s="247">
        <v>5.6060969829559298E-2</v>
      </c>
      <c r="P698" s="247">
        <v>6.0336232185363797E-2</v>
      </c>
      <c r="Q698" s="247">
        <v>6.3296250998973805E-2</v>
      </c>
      <c r="R698" s="247">
        <v>6.6096656024455996E-2</v>
      </c>
      <c r="S698" s="247">
        <v>6.9950148463249207E-2</v>
      </c>
      <c r="T698" s="247">
        <v>7.2811737656593295E-2</v>
      </c>
      <c r="U698" s="247">
        <v>7.6670221984386402E-2</v>
      </c>
      <c r="V698" s="247">
        <v>8.0276548862457303E-2</v>
      </c>
      <c r="W698" s="247">
        <v>8.4626309573650402E-2</v>
      </c>
      <c r="X698" s="247">
        <v>8.8446177542209597E-2</v>
      </c>
      <c r="Y698" s="247">
        <v>9.2330038547515897E-2</v>
      </c>
    </row>
    <row r="699" spans="1:28" x14ac:dyDescent="0.25">
      <c r="A699" s="243" t="s">
        <v>504</v>
      </c>
      <c r="B699" s="247">
        <v>674.73449707031295</v>
      </c>
      <c r="C699" s="247">
        <v>755.04119873046898</v>
      </c>
      <c r="D699" s="247">
        <v>832.61376953125</v>
      </c>
      <c r="E699" s="247">
        <v>836.22784423828102</v>
      </c>
      <c r="F699" s="247">
        <v>833.52569580078102</v>
      </c>
      <c r="G699" s="247">
        <v>824.94689941406295</v>
      </c>
      <c r="H699" s="247">
        <v>827.85076904296898</v>
      </c>
      <c r="I699" s="247">
        <v>839.95202636718795</v>
      </c>
      <c r="J699" s="247">
        <v>847.87561035156295</v>
      </c>
      <c r="K699" s="247">
        <v>859.84704589843795</v>
      </c>
      <c r="L699" s="247">
        <v>876.92712402343795</v>
      </c>
      <c r="M699" s="247">
        <v>891.815185546875</v>
      </c>
      <c r="N699" s="247">
        <v>911.96716308593795</v>
      </c>
      <c r="O699" s="247">
        <v>924.22961425781295</v>
      </c>
      <c r="P699" s="247">
        <v>939.98309326171898</v>
      </c>
      <c r="Q699" s="247">
        <v>949.62322998046898</v>
      </c>
      <c r="R699" s="247">
        <v>968.13317871093795</v>
      </c>
      <c r="S699" s="247">
        <v>990.25164794921898</v>
      </c>
      <c r="T699" s="247">
        <v>1011.74395751953</v>
      </c>
      <c r="U699" s="247">
        <v>1037.43090820313</v>
      </c>
      <c r="V699" s="247">
        <v>1055.63415527344</v>
      </c>
      <c r="W699" s="247">
        <v>1075.73254394531</v>
      </c>
      <c r="X699" s="247">
        <v>1099.85461425781</v>
      </c>
      <c r="Y699" s="247">
        <v>1128.68725585938</v>
      </c>
    </row>
    <row r="700" spans="1:28" x14ac:dyDescent="0.25">
      <c r="A700" s="243" t="s">
        <v>577</v>
      </c>
      <c r="B700" s="247"/>
      <c r="C700" s="247"/>
      <c r="D700" s="247"/>
      <c r="E700" s="247"/>
      <c r="F700" s="247"/>
      <c r="G700" s="247"/>
      <c r="H700" s="247"/>
      <c r="I700" s="247"/>
      <c r="J700" s="247"/>
      <c r="K700" s="247"/>
      <c r="L700" s="247"/>
      <c r="M700" s="247"/>
      <c r="N700" s="247"/>
      <c r="O700" s="247"/>
      <c r="P700" s="247"/>
      <c r="Q700" s="247"/>
      <c r="R700" s="247"/>
      <c r="S700" s="247"/>
      <c r="T700" s="247"/>
      <c r="U700" s="247"/>
      <c r="V700" s="247"/>
      <c r="W700" s="247"/>
      <c r="X700" s="247"/>
      <c r="Y700" s="247"/>
    </row>
    <row r="701" spans="1:28" x14ac:dyDescent="0.25">
      <c r="A701" s="296" t="s">
        <v>1054</v>
      </c>
      <c r="B701" s="292">
        <v>1.1960935989170374</v>
      </c>
      <c r="C701" s="292">
        <v>1.1960935989170374</v>
      </c>
      <c r="D701" s="292">
        <v>1.1960935989170374</v>
      </c>
      <c r="E701" s="292">
        <v>1.1960935989170374</v>
      </c>
      <c r="F701" s="292">
        <v>1.1960935989170374</v>
      </c>
      <c r="G701" s="292">
        <v>1.1960935989170374</v>
      </c>
      <c r="H701" s="292">
        <v>1.1960935989170374</v>
      </c>
      <c r="I701" s="292">
        <v>1.1960935989170374</v>
      </c>
      <c r="J701" s="292">
        <v>1.1960935989170374</v>
      </c>
      <c r="K701" s="292">
        <v>1.198027460839296</v>
      </c>
      <c r="L701" s="292">
        <v>1.2067298394894606</v>
      </c>
      <c r="M701" s="292">
        <v>1.2415393540901181</v>
      </c>
      <c r="N701" s="292">
        <v>1.244440146973506</v>
      </c>
      <c r="O701" s="292">
        <v>1.2657126281183524</v>
      </c>
      <c r="P701" s="292">
        <v>1.2686134210017406</v>
      </c>
      <c r="Q701" s="292">
        <v>1.2840843163798106</v>
      </c>
      <c r="R701" s="292">
        <v>1.2792496615741635</v>
      </c>
      <c r="S701" s="292">
        <v>1.3034229356023981</v>
      </c>
      <c r="T701" s="292">
        <v>1.3217946238638563</v>
      </c>
      <c r="U701" s="292">
        <v>1.3759427576871011</v>
      </c>
      <c r="V701" s="292">
        <v>1.3943144459485595</v>
      </c>
      <c r="W701" s="293">
        <v>1.4001160317153356</v>
      </c>
      <c r="X701" s="293">
        <v>1.4242893057435699</v>
      </c>
      <c r="Y701" s="293">
        <v>1.4378263391993813</v>
      </c>
      <c r="Z701" s="290">
        <f>Y701+($AI$531-$Y$701)/10</f>
        <v>1.5542937052794432</v>
      </c>
    </row>
    <row r="702" spans="1:28" x14ac:dyDescent="0.25">
      <c r="A702" s="276" t="s">
        <v>308</v>
      </c>
      <c r="B702" s="292">
        <v>8.7353999999999985</v>
      </c>
      <c r="C702" s="292">
        <v>8.7353999999999985</v>
      </c>
      <c r="D702" s="292">
        <v>8.7353999999999985</v>
      </c>
      <c r="E702" s="292">
        <v>8.7353999999999985</v>
      </c>
      <c r="F702" s="292">
        <v>8.7353999999999985</v>
      </c>
      <c r="G702" s="292">
        <v>8.7353999999999985</v>
      </c>
      <c r="H702" s="292">
        <v>8.7353999999999985</v>
      </c>
      <c r="I702" s="292">
        <v>8.7353999999999985</v>
      </c>
      <c r="J702" s="292">
        <v>8.7353999999999985</v>
      </c>
      <c r="K702" s="292">
        <v>8.7353999999999985</v>
      </c>
      <c r="L702" s="292">
        <v>8.7353999999999985</v>
      </c>
      <c r="M702" s="292">
        <v>8.7353999999999985</v>
      </c>
      <c r="N702" s="292">
        <v>8.7353999999999985</v>
      </c>
      <c r="O702" s="292">
        <v>8.7353999999999985</v>
      </c>
      <c r="P702" s="292">
        <v>8.7353999999999985</v>
      </c>
      <c r="Q702" s="292">
        <v>8.7353999999999985</v>
      </c>
      <c r="R702" s="292">
        <v>8.7353999999999985</v>
      </c>
      <c r="S702" s="292">
        <v>8.7353999999999985</v>
      </c>
      <c r="T702" s="292">
        <v>8.7353999999999985</v>
      </c>
      <c r="U702" s="292">
        <v>8.7353999999999985</v>
      </c>
      <c r="V702" s="292">
        <v>8.7353999999999985</v>
      </c>
      <c r="W702" s="293">
        <v>8.7353999999999985</v>
      </c>
      <c r="X702" s="293">
        <v>8.7353999999999985</v>
      </c>
      <c r="Y702" s="293">
        <v>8.7353999999999985</v>
      </c>
      <c r="Z702" s="293">
        <v>8.7353999999999985</v>
      </c>
    </row>
    <row r="703" spans="1:28" x14ac:dyDescent="0.25">
      <c r="A703" s="297" t="s">
        <v>579</v>
      </c>
      <c r="B703" s="294">
        <v>4.78</v>
      </c>
      <c r="C703" s="294">
        <v>4.78</v>
      </c>
      <c r="D703" s="294">
        <v>4.78</v>
      </c>
      <c r="E703" s="294">
        <v>4.78</v>
      </c>
      <c r="F703" s="294">
        <v>4.78</v>
      </c>
      <c r="G703" s="294">
        <v>4.78</v>
      </c>
      <c r="H703" s="294">
        <v>4.78</v>
      </c>
      <c r="I703" s="294">
        <v>4.78</v>
      </c>
      <c r="J703" s="294">
        <v>4.78</v>
      </c>
      <c r="K703" s="294">
        <v>4.78</v>
      </c>
      <c r="L703" s="294">
        <v>4.78</v>
      </c>
      <c r="M703" s="294">
        <v>4.78</v>
      </c>
      <c r="N703" s="294">
        <v>4.78</v>
      </c>
      <c r="O703" s="294">
        <v>4.78</v>
      </c>
      <c r="P703" s="294">
        <v>4.78</v>
      </c>
      <c r="Q703" s="294">
        <v>4.78</v>
      </c>
      <c r="R703" s="294">
        <v>4.78</v>
      </c>
      <c r="S703" s="294">
        <v>4.78</v>
      </c>
      <c r="T703" s="294">
        <v>4.78</v>
      </c>
      <c r="U703" s="294">
        <v>4.78</v>
      </c>
      <c r="V703" s="294">
        <v>4.78</v>
      </c>
      <c r="W703" s="294">
        <v>4.78</v>
      </c>
      <c r="X703" s="294">
        <v>4.78</v>
      </c>
      <c r="Y703" s="294">
        <v>4.78</v>
      </c>
      <c r="Z703" s="294">
        <v>4.78</v>
      </c>
    </row>
    <row r="704" spans="1:28" x14ac:dyDescent="0.25">
      <c r="A704" s="298" t="s">
        <v>580</v>
      </c>
      <c r="B704" s="293" t="e">
        <f t="shared" ref="B704:Z704" si="81">B703*GJ_p_MMBtu</f>
        <v>#NAME?</v>
      </c>
      <c r="C704" s="293" t="e">
        <f t="shared" si="81"/>
        <v>#NAME?</v>
      </c>
      <c r="D704" s="293" t="e">
        <f t="shared" si="81"/>
        <v>#NAME?</v>
      </c>
      <c r="E704" s="293" t="e">
        <f t="shared" si="81"/>
        <v>#NAME?</v>
      </c>
      <c r="F704" s="293" t="e">
        <f t="shared" si="81"/>
        <v>#NAME?</v>
      </c>
      <c r="G704" s="293" t="e">
        <f t="shared" si="81"/>
        <v>#NAME?</v>
      </c>
      <c r="H704" s="293" t="e">
        <f t="shared" si="81"/>
        <v>#NAME?</v>
      </c>
      <c r="I704" s="293" t="e">
        <f t="shared" si="81"/>
        <v>#NAME?</v>
      </c>
      <c r="J704" s="293" t="e">
        <f t="shared" si="81"/>
        <v>#NAME?</v>
      </c>
      <c r="K704" s="293" t="e">
        <f t="shared" si="81"/>
        <v>#NAME?</v>
      </c>
      <c r="L704" s="293" t="e">
        <f t="shared" si="81"/>
        <v>#NAME?</v>
      </c>
      <c r="M704" s="293" t="e">
        <f t="shared" si="81"/>
        <v>#NAME?</v>
      </c>
      <c r="N704" s="293" t="e">
        <f t="shared" si="81"/>
        <v>#NAME?</v>
      </c>
      <c r="O704" s="293" t="e">
        <f t="shared" si="81"/>
        <v>#NAME?</v>
      </c>
      <c r="P704" s="293" t="e">
        <f t="shared" si="81"/>
        <v>#NAME?</v>
      </c>
      <c r="Q704" s="293" t="e">
        <f t="shared" si="81"/>
        <v>#NAME?</v>
      </c>
      <c r="R704" s="293" t="e">
        <f t="shared" si="81"/>
        <v>#NAME?</v>
      </c>
      <c r="S704" s="293" t="e">
        <f t="shared" si="81"/>
        <v>#NAME?</v>
      </c>
      <c r="T704" s="293" t="e">
        <f t="shared" si="81"/>
        <v>#NAME?</v>
      </c>
      <c r="U704" s="293" t="e">
        <f t="shared" si="81"/>
        <v>#NAME?</v>
      </c>
      <c r="V704" s="293" t="e">
        <f t="shared" si="81"/>
        <v>#NAME?</v>
      </c>
      <c r="W704" s="293" t="e">
        <f t="shared" si="81"/>
        <v>#NAME?</v>
      </c>
      <c r="X704" s="293" t="e">
        <f t="shared" si="81"/>
        <v>#NAME?</v>
      </c>
      <c r="Y704" s="293" t="e">
        <f t="shared" si="81"/>
        <v>#NAME?</v>
      </c>
      <c r="Z704" s="293" t="e">
        <f t="shared" si="81"/>
        <v>#NAME?</v>
      </c>
    </row>
    <row r="705" spans="1:26" x14ac:dyDescent="0.25">
      <c r="A705" s="296" t="s">
        <v>581</v>
      </c>
      <c r="B705" s="247"/>
      <c r="C705" s="247"/>
      <c r="D705" s="247"/>
      <c r="E705" s="247"/>
      <c r="F705" s="247"/>
      <c r="G705" s="247"/>
      <c r="H705" s="247"/>
      <c r="I705" s="247"/>
      <c r="J705" s="247"/>
      <c r="K705" s="247"/>
      <c r="L705" s="247"/>
      <c r="M705" s="247"/>
      <c r="N705" s="247"/>
      <c r="O705" s="247"/>
      <c r="P705" s="247"/>
      <c r="Q705" s="247"/>
      <c r="R705" s="247"/>
      <c r="S705" s="247"/>
      <c r="T705" s="247"/>
      <c r="U705" s="247"/>
      <c r="V705" s="247"/>
      <c r="W705" s="247"/>
      <c r="X705" s="247"/>
      <c r="Y705" s="247"/>
      <c r="Z705" s="247"/>
    </row>
    <row r="706" spans="1:26" x14ac:dyDescent="0.25">
      <c r="A706" s="243" t="s">
        <v>505</v>
      </c>
      <c r="B706" s="247"/>
      <c r="C706" s="247"/>
      <c r="D706" s="247"/>
      <c r="E706" s="247" t="s">
        <v>426</v>
      </c>
      <c r="F706" s="247" t="s">
        <v>426</v>
      </c>
      <c r="G706" s="247" t="s">
        <v>426</v>
      </c>
      <c r="H706" s="247" t="s">
        <v>426</v>
      </c>
      <c r="I706" s="247" t="s">
        <v>426</v>
      </c>
      <c r="J706" s="247" t="s">
        <v>426</v>
      </c>
      <c r="K706" s="247" t="s">
        <v>426</v>
      </c>
      <c r="L706" s="247" t="s">
        <v>426</v>
      </c>
      <c r="M706" s="247" t="s">
        <v>426</v>
      </c>
      <c r="N706" s="247" t="s">
        <v>426</v>
      </c>
      <c r="O706" s="247" t="s">
        <v>426</v>
      </c>
      <c r="P706" s="247" t="s">
        <v>426</v>
      </c>
      <c r="Q706" s="247" t="s">
        <v>426</v>
      </c>
      <c r="R706" s="247" t="s">
        <v>426</v>
      </c>
      <c r="S706" s="247" t="s">
        <v>426</v>
      </c>
      <c r="T706" s="247" t="s">
        <v>426</v>
      </c>
      <c r="U706" s="247" t="s">
        <v>426</v>
      </c>
      <c r="V706" s="247" t="s">
        <v>426</v>
      </c>
      <c r="W706" s="247" t="s">
        <v>426</v>
      </c>
      <c r="X706" s="247" t="s">
        <v>426</v>
      </c>
      <c r="Y706" s="247" t="s">
        <v>426</v>
      </c>
    </row>
    <row r="707" spans="1:26" x14ac:dyDescent="0.25">
      <c r="A707" s="243" t="s">
        <v>506</v>
      </c>
      <c r="B707" s="244"/>
      <c r="C707" s="244"/>
      <c r="D707" s="244"/>
      <c r="E707" s="244"/>
      <c r="F707" s="244"/>
      <c r="G707" s="244"/>
      <c r="H707" s="244"/>
      <c r="I707" s="244"/>
      <c r="J707" s="244"/>
      <c r="K707" s="244"/>
      <c r="L707" s="244"/>
      <c r="M707" s="244"/>
      <c r="N707" s="244"/>
      <c r="O707" s="244"/>
      <c r="P707" s="244"/>
      <c r="Q707" s="244"/>
      <c r="R707" s="244"/>
      <c r="S707" s="244"/>
      <c r="T707" s="244"/>
      <c r="U707" s="244"/>
      <c r="V707" s="244"/>
      <c r="W707" s="244"/>
      <c r="X707" s="244"/>
      <c r="Y707" s="244"/>
    </row>
    <row r="708" spans="1:26" x14ac:dyDescent="0.25">
      <c r="A708" s="243" t="s">
        <v>507</v>
      </c>
      <c r="B708" s="244"/>
      <c r="C708" s="244"/>
      <c r="D708" s="244"/>
      <c r="E708" s="244"/>
      <c r="F708" s="244"/>
      <c r="G708" s="244"/>
      <c r="H708" s="244"/>
      <c r="I708" s="244"/>
      <c r="J708" s="244"/>
      <c r="K708" s="244"/>
      <c r="L708" s="244"/>
      <c r="M708" s="244"/>
      <c r="N708" s="244"/>
      <c r="O708" s="244"/>
      <c r="P708" s="244"/>
      <c r="Q708" s="244"/>
      <c r="R708" s="244"/>
      <c r="S708" s="244"/>
      <c r="T708" s="244"/>
      <c r="U708" s="244"/>
      <c r="V708" s="244"/>
      <c r="W708" s="244"/>
      <c r="X708" s="244"/>
      <c r="Y708" s="244"/>
    </row>
    <row r="709" spans="1:26" x14ac:dyDescent="0.25">
      <c r="A709" s="243" t="s">
        <v>508</v>
      </c>
      <c r="B709" s="244"/>
      <c r="C709" s="244"/>
      <c r="D709" s="244"/>
      <c r="E709" s="244"/>
      <c r="F709" s="244"/>
      <c r="G709" s="244"/>
      <c r="H709" s="244"/>
      <c r="I709" s="244"/>
      <c r="J709" s="244"/>
      <c r="K709" s="244"/>
      <c r="L709" s="244"/>
      <c r="M709" s="244"/>
      <c r="N709" s="244"/>
      <c r="O709" s="244"/>
      <c r="P709" s="244"/>
      <c r="Q709" s="244"/>
      <c r="R709" s="244"/>
      <c r="S709" s="244"/>
      <c r="T709" s="244"/>
      <c r="U709" s="244"/>
      <c r="V709" s="244"/>
      <c r="W709" s="244"/>
      <c r="X709" s="244"/>
      <c r="Y709" s="244"/>
    </row>
    <row r="710" spans="1:26" x14ac:dyDescent="0.25">
      <c r="A710" s="243" t="s">
        <v>509</v>
      </c>
      <c r="B710" s="244"/>
      <c r="C710" s="244"/>
      <c r="D710" s="244"/>
      <c r="E710" s="244"/>
      <c r="F710" s="244"/>
      <c r="G710" s="244"/>
      <c r="H710" s="244"/>
      <c r="I710" s="244"/>
      <c r="J710" s="244"/>
      <c r="K710" s="244"/>
      <c r="L710" s="244"/>
      <c r="M710" s="244"/>
      <c r="N710" s="244"/>
      <c r="O710" s="244"/>
      <c r="P710" s="244"/>
      <c r="Q710" s="244"/>
      <c r="R710" s="244"/>
      <c r="S710" s="244"/>
      <c r="T710" s="244"/>
      <c r="U710" s="244"/>
      <c r="V710" s="244"/>
      <c r="W710" s="244"/>
      <c r="X710" s="244"/>
      <c r="Y710" s="244"/>
    </row>
    <row r="711" spans="1:26" x14ac:dyDescent="0.25">
      <c r="A711" s="243" t="s">
        <v>510</v>
      </c>
      <c r="B711" s="244"/>
      <c r="C711" s="244"/>
      <c r="D711" s="244"/>
      <c r="E711" s="244"/>
      <c r="F711" s="244"/>
      <c r="G711" s="244"/>
      <c r="H711" s="244"/>
      <c r="I711" s="244"/>
      <c r="J711" s="244"/>
      <c r="K711" s="244"/>
      <c r="L711" s="244"/>
      <c r="M711" s="244"/>
      <c r="N711" s="244"/>
      <c r="O711" s="244"/>
      <c r="P711" s="244"/>
      <c r="Q711" s="244"/>
      <c r="R711" s="244"/>
      <c r="S711" s="244"/>
      <c r="T711" s="244"/>
      <c r="U711" s="244"/>
      <c r="V711" s="244"/>
      <c r="W711" s="244"/>
      <c r="X711" s="244"/>
      <c r="Y711" s="244"/>
    </row>
    <row r="712" spans="1:26" x14ac:dyDescent="0.25">
      <c r="A712" s="243" t="s">
        <v>511</v>
      </c>
      <c r="B712" s="244"/>
      <c r="C712" s="244"/>
      <c r="D712" s="244"/>
      <c r="E712" s="244"/>
      <c r="F712" s="244"/>
      <c r="G712" s="244"/>
      <c r="H712" s="244"/>
      <c r="I712" s="244"/>
      <c r="J712" s="244"/>
      <c r="K712" s="244"/>
      <c r="L712" s="244"/>
      <c r="M712" s="244"/>
      <c r="N712" s="244"/>
      <c r="O712" s="244"/>
      <c r="P712" s="244"/>
      <c r="Q712" s="244"/>
      <c r="R712" s="244"/>
      <c r="S712" s="244"/>
      <c r="T712" s="244"/>
      <c r="U712" s="244"/>
      <c r="V712" s="244"/>
      <c r="W712" s="244"/>
      <c r="X712" s="244"/>
      <c r="Y712" s="244"/>
    </row>
    <row r="713" spans="1:26" x14ac:dyDescent="0.25">
      <c r="A713" s="243" t="s">
        <v>512</v>
      </c>
      <c r="B713" s="244"/>
      <c r="C713" s="244"/>
      <c r="D713" s="244"/>
      <c r="E713" s="244"/>
      <c r="F713" s="244"/>
      <c r="G713" s="244"/>
      <c r="H713" s="244"/>
      <c r="I713" s="244"/>
      <c r="J713" s="244"/>
      <c r="K713" s="244"/>
      <c r="L713" s="244"/>
      <c r="M713" s="244"/>
      <c r="N713" s="244"/>
      <c r="O713" s="244"/>
      <c r="P713" s="244"/>
      <c r="Q713" s="244"/>
      <c r="R713" s="244"/>
      <c r="S713" s="244"/>
      <c r="T713" s="244"/>
      <c r="U713" s="244"/>
      <c r="V713" s="244"/>
      <c r="W713" s="244"/>
      <c r="X713" s="244"/>
      <c r="Y713" s="244"/>
    </row>
    <row r="714" spans="1:26" x14ac:dyDescent="0.25">
      <c r="A714" s="243" t="s">
        <v>513</v>
      </c>
      <c r="B714" s="244"/>
      <c r="C714" s="244"/>
      <c r="D714" s="244"/>
      <c r="E714" s="244"/>
      <c r="F714" s="244"/>
      <c r="G714" s="244"/>
      <c r="H714" s="244"/>
      <c r="I714" s="244"/>
      <c r="J714" s="244"/>
      <c r="K714" s="244"/>
      <c r="L714" s="244"/>
      <c r="M714" s="244"/>
      <c r="N714" s="244"/>
      <c r="O714" s="244"/>
      <c r="P714" s="244"/>
      <c r="Q714" s="244"/>
      <c r="R714" s="244"/>
      <c r="S714" s="244"/>
      <c r="T714" s="244"/>
      <c r="U714" s="244"/>
      <c r="V714" s="244"/>
      <c r="W714" s="244"/>
      <c r="X714" s="244"/>
      <c r="Y714" s="244"/>
    </row>
    <row r="715" spans="1:26" x14ac:dyDescent="0.25">
      <c r="A715" s="243" t="s">
        <v>518</v>
      </c>
      <c r="B715" s="244"/>
      <c r="C715" s="244"/>
      <c r="D715" s="244"/>
      <c r="E715" s="244"/>
      <c r="F715" s="244"/>
      <c r="G715" s="244"/>
      <c r="H715" s="244"/>
      <c r="I715" s="244"/>
      <c r="J715" s="244"/>
      <c r="K715" s="244"/>
      <c r="L715" s="244"/>
      <c r="M715" s="244"/>
      <c r="N715" s="244"/>
      <c r="O715" s="244"/>
      <c r="P715" s="244"/>
      <c r="Q715" s="244"/>
      <c r="R715" s="244"/>
      <c r="S715" s="244"/>
      <c r="T715" s="244"/>
      <c r="U715" s="244"/>
      <c r="V715" s="244"/>
      <c r="W715" s="244"/>
      <c r="X715" s="244"/>
      <c r="Y715" s="244"/>
    </row>
    <row r="716" spans="1:26" x14ac:dyDescent="0.25">
      <c r="A716" s="243" t="s">
        <v>528</v>
      </c>
      <c r="B716" s="244"/>
      <c r="C716" s="244"/>
      <c r="D716" s="244"/>
      <c r="E716" s="244"/>
      <c r="F716" s="244"/>
      <c r="G716" s="244"/>
      <c r="H716" s="244"/>
      <c r="I716" s="244"/>
      <c r="J716" s="244"/>
      <c r="K716" s="244"/>
      <c r="L716" s="244"/>
      <c r="M716" s="244"/>
      <c r="N716" s="244"/>
      <c r="O716" s="244"/>
      <c r="P716" s="244"/>
      <c r="Q716" s="244"/>
      <c r="R716" s="244"/>
      <c r="S716" s="244"/>
      <c r="T716" s="244"/>
      <c r="U716" s="244"/>
      <c r="V716" s="244"/>
      <c r="W716" s="244"/>
      <c r="X716" s="244"/>
      <c r="Y716" s="244"/>
    </row>
    <row r="717" spans="1:26" x14ac:dyDescent="0.25">
      <c r="A717" s="243" t="s">
        <v>529</v>
      </c>
      <c r="B717" s="244"/>
      <c r="C717" s="244"/>
      <c r="D717" s="244"/>
      <c r="E717" s="244"/>
      <c r="F717" s="244"/>
      <c r="G717" s="244"/>
      <c r="H717" s="244"/>
      <c r="I717" s="244"/>
      <c r="J717" s="244"/>
      <c r="K717" s="244"/>
      <c r="L717" s="244"/>
      <c r="M717" s="244"/>
      <c r="N717" s="244"/>
      <c r="O717" s="244"/>
      <c r="P717" s="244"/>
      <c r="Q717" s="244"/>
      <c r="R717" s="244"/>
      <c r="S717" s="244"/>
      <c r="T717" s="244"/>
      <c r="U717" s="244"/>
      <c r="V717" s="244"/>
      <c r="W717" s="244"/>
      <c r="X717" s="244"/>
      <c r="Y717" s="244"/>
    </row>
    <row r="718" spans="1:26" x14ac:dyDescent="0.25">
      <c r="A718" s="243" t="s">
        <v>530</v>
      </c>
      <c r="B718" s="244"/>
      <c r="C718" s="244"/>
      <c r="D718" s="244"/>
      <c r="E718" s="244"/>
      <c r="F718" s="244"/>
      <c r="G718" s="244"/>
      <c r="H718" s="244"/>
      <c r="I718" s="244"/>
      <c r="J718" s="244"/>
      <c r="K718" s="244"/>
      <c r="L718" s="244"/>
      <c r="M718" s="244"/>
      <c r="N718" s="244"/>
      <c r="O718" s="244"/>
      <c r="P718" s="244"/>
      <c r="Q718" s="244"/>
      <c r="R718" s="244"/>
      <c r="S718" s="244"/>
      <c r="T718" s="244"/>
      <c r="U718" s="244"/>
      <c r="V718" s="244"/>
      <c r="W718" s="244"/>
      <c r="X718" s="244"/>
      <c r="Y718" s="244"/>
    </row>
    <row r="719" spans="1:26" x14ac:dyDescent="0.25">
      <c r="A719" s="243" t="s">
        <v>531</v>
      </c>
      <c r="B719" s="244"/>
      <c r="C719" s="244"/>
      <c r="D719" s="244"/>
      <c r="E719" s="244"/>
      <c r="F719" s="244"/>
      <c r="G719" s="244"/>
      <c r="H719" s="244"/>
      <c r="I719" s="244"/>
      <c r="J719" s="244"/>
      <c r="K719" s="244"/>
      <c r="L719" s="244"/>
      <c r="M719" s="244"/>
      <c r="N719" s="244"/>
      <c r="O719" s="244"/>
      <c r="P719" s="244"/>
      <c r="Q719" s="244"/>
      <c r="R719" s="244"/>
      <c r="S719" s="244"/>
      <c r="T719" s="244"/>
      <c r="U719" s="244"/>
      <c r="V719" s="244"/>
      <c r="W719" s="244"/>
      <c r="X719" s="244"/>
      <c r="Y719" s="244"/>
    </row>
    <row r="720" spans="1:26" x14ac:dyDescent="0.25">
      <c r="A720" s="243" t="s">
        <v>532</v>
      </c>
      <c r="B720" s="244"/>
      <c r="C720" s="244"/>
      <c r="D720" s="244"/>
      <c r="E720" s="244"/>
      <c r="F720" s="244"/>
      <c r="G720" s="244"/>
      <c r="H720" s="244"/>
      <c r="I720" s="244"/>
      <c r="J720" s="244"/>
      <c r="K720" s="244"/>
      <c r="L720" s="244"/>
      <c r="M720" s="244"/>
      <c r="N720" s="244"/>
      <c r="O720" s="244"/>
      <c r="P720" s="244"/>
      <c r="Q720" s="244"/>
      <c r="R720" s="244"/>
      <c r="S720" s="244"/>
      <c r="T720" s="244"/>
      <c r="U720" s="244"/>
      <c r="V720" s="244"/>
      <c r="W720" s="244"/>
      <c r="X720" s="244"/>
      <c r="Y720" s="244"/>
    </row>
    <row r="721" spans="1:25" x14ac:dyDescent="0.25">
      <c r="A721" s="243" t="s">
        <v>533</v>
      </c>
      <c r="B721" s="244"/>
      <c r="C721" s="244"/>
      <c r="D721" s="244"/>
      <c r="E721" s="244"/>
      <c r="F721" s="244"/>
      <c r="G721" s="244"/>
      <c r="H721" s="244"/>
      <c r="I721" s="244"/>
      <c r="J721" s="244"/>
      <c r="K721" s="244"/>
      <c r="L721" s="244"/>
      <c r="M721" s="244"/>
      <c r="N721" s="244"/>
      <c r="O721" s="244"/>
      <c r="P721" s="244"/>
      <c r="Q721" s="244"/>
      <c r="R721" s="244"/>
      <c r="S721" s="244"/>
      <c r="T721" s="244"/>
      <c r="U721" s="244"/>
      <c r="V721" s="244"/>
      <c r="W721" s="244"/>
      <c r="X721" s="244"/>
      <c r="Y721" s="244"/>
    </row>
    <row r="722" spans="1:25" x14ac:dyDescent="0.25">
      <c r="A722" s="243" t="s">
        <v>534</v>
      </c>
      <c r="B722" s="244"/>
      <c r="C722" s="244"/>
      <c r="D722" s="244"/>
      <c r="E722" s="244"/>
      <c r="F722" s="244"/>
      <c r="G722" s="244"/>
      <c r="H722" s="244"/>
      <c r="I722" s="244"/>
      <c r="J722" s="244"/>
      <c r="K722" s="244"/>
      <c r="L722" s="244"/>
      <c r="M722" s="244"/>
      <c r="N722" s="244"/>
      <c r="O722" s="244"/>
      <c r="P722" s="244"/>
      <c r="Q722" s="244"/>
      <c r="R722" s="244"/>
      <c r="S722" s="244"/>
      <c r="T722" s="244"/>
      <c r="U722" s="244"/>
      <c r="V722" s="244"/>
      <c r="W722" s="244"/>
      <c r="X722" s="244"/>
      <c r="Y722" s="244"/>
    </row>
    <row r="723" spans="1:25" x14ac:dyDescent="0.25">
      <c r="A723" s="243" t="s">
        <v>537</v>
      </c>
      <c r="B723" s="244"/>
      <c r="C723" s="244"/>
      <c r="D723" s="244"/>
      <c r="E723" s="244"/>
      <c r="F723" s="244"/>
      <c r="G723" s="244"/>
      <c r="H723" s="244"/>
      <c r="I723" s="244"/>
      <c r="J723" s="244"/>
      <c r="K723" s="244"/>
      <c r="L723" s="244"/>
      <c r="M723" s="244"/>
      <c r="N723" s="244"/>
      <c r="O723" s="244"/>
      <c r="P723" s="244"/>
      <c r="Q723" s="244"/>
      <c r="R723" s="244"/>
      <c r="S723" s="244"/>
      <c r="T723" s="244"/>
      <c r="U723" s="244"/>
      <c r="V723" s="244"/>
      <c r="W723" s="244"/>
      <c r="X723" s="244"/>
      <c r="Y723" s="244"/>
    </row>
    <row r="724" spans="1:25" x14ac:dyDescent="0.25">
      <c r="A724" s="243" t="s">
        <v>538</v>
      </c>
      <c r="B724" s="244"/>
      <c r="C724" s="244"/>
      <c r="D724" s="244"/>
      <c r="E724" s="244"/>
      <c r="F724" s="244"/>
      <c r="G724" s="244"/>
      <c r="H724" s="244"/>
      <c r="I724" s="244"/>
      <c r="J724" s="244"/>
      <c r="K724" s="244"/>
      <c r="L724" s="244"/>
      <c r="M724" s="244"/>
      <c r="N724" s="244"/>
      <c r="O724" s="244"/>
      <c r="P724" s="244"/>
      <c r="Q724" s="244"/>
      <c r="R724" s="244"/>
      <c r="S724" s="244"/>
      <c r="T724" s="244"/>
      <c r="U724" s="244"/>
      <c r="V724" s="244"/>
      <c r="W724" s="244"/>
      <c r="X724" s="244"/>
      <c r="Y724" s="244"/>
    </row>
    <row r="725" spans="1:25" x14ac:dyDescent="0.25">
      <c r="A725" s="243" t="s">
        <v>539</v>
      </c>
      <c r="B725" s="244"/>
      <c r="C725" s="244"/>
      <c r="D725" s="244"/>
      <c r="E725" s="244"/>
      <c r="F725" s="244"/>
      <c r="G725" s="244"/>
      <c r="H725" s="244"/>
      <c r="I725" s="244"/>
      <c r="J725" s="244"/>
      <c r="K725" s="244"/>
      <c r="L725" s="244"/>
      <c r="M725" s="244"/>
      <c r="N725" s="244"/>
      <c r="O725" s="244"/>
      <c r="P725" s="244"/>
      <c r="Q725" s="244"/>
      <c r="R725" s="244"/>
      <c r="S725" s="244"/>
      <c r="T725" s="244"/>
      <c r="U725" s="244"/>
      <c r="V725" s="244"/>
      <c r="W725" s="244"/>
      <c r="X725" s="244"/>
      <c r="Y725" s="244"/>
    </row>
    <row r="726" spans="1:25" x14ac:dyDescent="0.25">
      <c r="A726" s="243" t="s">
        <v>540</v>
      </c>
      <c r="B726" s="244"/>
      <c r="C726" s="244"/>
      <c r="D726" s="244"/>
      <c r="E726" s="244"/>
      <c r="F726" s="244"/>
      <c r="G726" s="244"/>
      <c r="H726" s="244"/>
      <c r="I726" s="244"/>
      <c r="J726" s="244"/>
      <c r="K726" s="244"/>
      <c r="L726" s="244"/>
      <c r="M726" s="244"/>
      <c r="N726" s="244"/>
      <c r="O726" s="244"/>
      <c r="P726" s="244"/>
      <c r="Q726" s="244"/>
      <c r="R726" s="244"/>
      <c r="S726" s="244"/>
      <c r="T726" s="244"/>
      <c r="U726" s="244"/>
      <c r="V726" s="244"/>
      <c r="W726" s="244"/>
      <c r="X726" s="244"/>
      <c r="Y726" s="244"/>
    </row>
    <row r="727" spans="1:25" x14ac:dyDescent="0.25">
      <c r="A727" s="243" t="s">
        <v>541</v>
      </c>
      <c r="B727" s="244"/>
      <c r="C727" s="244"/>
      <c r="D727" s="244"/>
      <c r="E727" s="244"/>
      <c r="F727" s="244"/>
      <c r="G727" s="244"/>
      <c r="H727" s="244"/>
      <c r="I727" s="244"/>
      <c r="J727" s="244"/>
      <c r="K727" s="244"/>
      <c r="L727" s="244"/>
      <c r="M727" s="244"/>
      <c r="N727" s="244"/>
      <c r="O727" s="244"/>
      <c r="P727" s="244"/>
      <c r="Q727" s="244"/>
      <c r="R727" s="244"/>
      <c r="S727" s="244"/>
      <c r="T727" s="244"/>
      <c r="U727" s="244"/>
      <c r="V727" s="244"/>
      <c r="W727" s="244"/>
      <c r="X727" s="244"/>
      <c r="Y727" s="244"/>
    </row>
    <row r="728" spans="1:25" x14ac:dyDescent="0.25">
      <c r="A728" s="243" t="s">
        <v>542</v>
      </c>
      <c r="B728" s="244"/>
      <c r="C728" s="244"/>
      <c r="D728" s="244"/>
      <c r="E728" s="244"/>
      <c r="F728" s="244"/>
      <c r="G728" s="244"/>
      <c r="H728" s="244"/>
      <c r="I728" s="244"/>
      <c r="J728" s="244"/>
      <c r="K728" s="244"/>
      <c r="L728" s="244"/>
      <c r="M728" s="244"/>
      <c r="N728" s="244"/>
      <c r="O728" s="244"/>
      <c r="P728" s="244"/>
      <c r="Q728" s="244"/>
      <c r="R728" s="244"/>
      <c r="S728" s="244"/>
      <c r="T728" s="244"/>
      <c r="U728" s="244"/>
      <c r="V728" s="244"/>
      <c r="W728" s="244"/>
      <c r="X728" s="244"/>
      <c r="Y728" s="244"/>
    </row>
    <row r="729" spans="1:25" x14ac:dyDescent="0.25">
      <c r="A729" s="243" t="s">
        <v>543</v>
      </c>
      <c r="B729" s="244"/>
      <c r="C729" s="244"/>
      <c r="D729" s="244"/>
      <c r="E729" s="244"/>
      <c r="F729" s="244"/>
      <c r="G729" s="244"/>
      <c r="H729" s="244"/>
      <c r="I729" s="244"/>
      <c r="J729" s="244"/>
      <c r="K729" s="244"/>
      <c r="L729" s="244"/>
      <c r="M729" s="244"/>
      <c r="N729" s="244"/>
      <c r="O729" s="244"/>
      <c r="P729" s="244"/>
      <c r="Q729" s="244"/>
      <c r="R729" s="244"/>
      <c r="S729" s="244"/>
      <c r="T729" s="244"/>
      <c r="U729" s="244"/>
      <c r="V729" s="244"/>
      <c r="W729" s="244"/>
      <c r="X729" s="244"/>
      <c r="Y729" s="244"/>
    </row>
    <row r="730" spans="1:25" x14ac:dyDescent="0.25">
      <c r="A730" s="243" t="s">
        <v>544</v>
      </c>
      <c r="B730" s="244"/>
      <c r="C730" s="244"/>
      <c r="D730" s="244"/>
      <c r="E730" s="244"/>
      <c r="F730" s="244"/>
      <c r="G730" s="244"/>
      <c r="H730" s="244"/>
      <c r="I730" s="244"/>
      <c r="J730" s="244"/>
      <c r="K730" s="244"/>
      <c r="L730" s="244"/>
      <c r="M730" s="244"/>
      <c r="N730" s="244"/>
      <c r="O730" s="244"/>
      <c r="P730" s="244"/>
      <c r="Q730" s="244"/>
      <c r="R730" s="244"/>
      <c r="S730" s="244"/>
      <c r="T730" s="244"/>
      <c r="U730" s="244"/>
      <c r="V730" s="244"/>
      <c r="W730" s="244"/>
      <c r="X730" s="244"/>
      <c r="Y730" s="244"/>
    </row>
    <row r="731" spans="1:25" ht="13.8" thickBot="1" x14ac:dyDescent="0.3">
      <c r="A731" s="248" t="s">
        <v>549</v>
      </c>
      <c r="B731" s="253"/>
      <c r="C731" s="253"/>
      <c r="D731" s="253"/>
      <c r="E731" s="253"/>
      <c r="F731" s="253"/>
      <c r="G731" s="253"/>
      <c r="H731" s="253"/>
      <c r="I731" s="253"/>
      <c r="J731" s="253"/>
      <c r="K731" s="253"/>
      <c r="L731" s="253"/>
      <c r="M731" s="253"/>
      <c r="N731" s="253"/>
      <c r="O731" s="253"/>
      <c r="P731" s="253"/>
      <c r="Q731" s="253"/>
      <c r="R731" s="253"/>
      <c r="S731" s="253"/>
      <c r="T731" s="253"/>
      <c r="U731" s="253"/>
      <c r="V731" s="253"/>
      <c r="W731" s="253"/>
      <c r="X731" s="253"/>
      <c r="Y731" s="253"/>
    </row>
    <row r="732" spans="1:25" x14ac:dyDescent="0.25">
      <c r="A732" s="1593" t="s">
        <v>423</v>
      </c>
      <c r="B732" s="1593"/>
      <c r="C732" s="1593"/>
      <c r="D732" s="1593"/>
      <c r="E732" s="1593"/>
      <c r="F732" s="1593"/>
      <c r="G732" s="1593"/>
      <c r="H732" s="1593"/>
      <c r="I732" s="1593"/>
      <c r="J732" s="1593"/>
      <c r="K732" s="1593"/>
      <c r="L732" s="1593"/>
      <c r="M732" s="1593"/>
      <c r="N732" s="289"/>
      <c r="O732" s="289"/>
      <c r="P732" s="289"/>
      <c r="Q732" s="289"/>
      <c r="R732" s="289"/>
      <c r="S732" s="289"/>
      <c r="T732" s="289"/>
      <c r="U732" s="289"/>
      <c r="V732" s="289"/>
      <c r="W732" s="289"/>
      <c r="X732" s="289"/>
      <c r="Y732" s="289"/>
    </row>
    <row r="733" spans="1:25" x14ac:dyDescent="0.25">
      <c r="A733" s="289" t="s">
        <v>1062</v>
      </c>
      <c r="B733" s="289"/>
      <c r="C733" s="289"/>
      <c r="D733" s="289"/>
      <c r="E733" s="289"/>
      <c r="F733" s="289"/>
      <c r="G733" s="289"/>
      <c r="H733" s="289"/>
      <c r="I733" s="289"/>
      <c r="J733" s="289"/>
      <c r="K733" s="289"/>
      <c r="L733" s="289"/>
      <c r="M733" s="289"/>
      <c r="N733" s="289"/>
      <c r="O733" s="289"/>
      <c r="P733" s="289"/>
      <c r="Q733" s="289"/>
      <c r="R733" s="289"/>
      <c r="S733" s="289"/>
      <c r="T733" s="289"/>
      <c r="U733" s="289"/>
      <c r="V733" s="289"/>
      <c r="W733" s="289"/>
      <c r="X733" s="289"/>
      <c r="Y733" s="289"/>
    </row>
    <row r="736" spans="1:25" ht="13.8" thickBot="1" x14ac:dyDescent="0.3">
      <c r="A736" s="1591" t="s">
        <v>550</v>
      </c>
      <c r="B736" s="1592"/>
      <c r="C736" s="1592"/>
      <c r="D736" s="254"/>
      <c r="E736" s="254"/>
      <c r="F736" s="254"/>
      <c r="G736" s="254"/>
      <c r="H736" s="254"/>
      <c r="I736" s="254"/>
      <c r="J736" s="254"/>
    </row>
    <row r="737" spans="1:10" ht="53.4" thickTop="1" x14ac:dyDescent="0.25">
      <c r="A737" s="255"/>
      <c r="B737" s="256" t="s">
        <v>551</v>
      </c>
      <c r="C737" s="256" t="s">
        <v>552</v>
      </c>
      <c r="D737" s="256" t="s">
        <v>553</v>
      </c>
      <c r="E737" s="256" t="s">
        <v>575</v>
      </c>
      <c r="F737" s="257"/>
      <c r="G737" s="257"/>
      <c r="H737" s="257"/>
      <c r="I737" s="257"/>
      <c r="J737" s="258"/>
    </row>
    <row r="738" spans="1:10" x14ac:dyDescent="0.25">
      <c r="A738" s="259"/>
      <c r="B738" s="260"/>
      <c r="C738" s="260"/>
      <c r="D738" s="260"/>
      <c r="E738" s="260"/>
      <c r="F738" s="260"/>
      <c r="G738" s="260"/>
      <c r="H738" s="260"/>
      <c r="I738" s="260"/>
      <c r="J738" s="261"/>
    </row>
    <row r="739" spans="1:10" x14ac:dyDescent="0.25">
      <c r="A739" s="259"/>
      <c r="B739" s="260"/>
      <c r="C739" s="260"/>
      <c r="D739" s="260"/>
      <c r="E739" s="260"/>
      <c r="F739" s="260"/>
      <c r="G739" s="260"/>
      <c r="H739" s="260"/>
      <c r="I739" s="260"/>
      <c r="J739" s="261"/>
    </row>
    <row r="740" spans="1:10" x14ac:dyDescent="0.25">
      <c r="A740" s="259" t="s">
        <v>554</v>
      </c>
      <c r="B740" s="271">
        <v>1.0439774739816527</v>
      </c>
      <c r="C740" s="271">
        <v>1.0284486209328481</v>
      </c>
      <c r="D740" s="271">
        <v>1.0094828736442827</v>
      </c>
      <c r="E740" s="271">
        <f t="shared" ref="E740:E747" si="82">F752/E752</f>
        <v>1.0704312355553662</v>
      </c>
      <c r="F740" s="260"/>
      <c r="G740" s="260"/>
      <c r="H740" s="260"/>
      <c r="I740" s="260"/>
      <c r="J740" s="261"/>
    </row>
    <row r="741" spans="1:10" x14ac:dyDescent="0.25">
      <c r="A741" s="259" t="s">
        <v>555</v>
      </c>
      <c r="B741" s="260">
        <v>1.2097805877102306</v>
      </c>
      <c r="C741" s="260">
        <v>1.1729343042703535</v>
      </c>
      <c r="D741" s="260">
        <v>1.0576447680901178</v>
      </c>
      <c r="E741" s="260">
        <f t="shared" si="82"/>
        <v>1.1340871534488071</v>
      </c>
      <c r="F741" s="260"/>
      <c r="G741" s="260"/>
      <c r="H741" s="260"/>
      <c r="I741" s="260"/>
      <c r="J741" s="261"/>
    </row>
    <row r="742" spans="1:10" x14ac:dyDescent="0.25">
      <c r="A742" s="259" t="s">
        <v>556</v>
      </c>
      <c r="B742" s="267">
        <v>1.1697889782905726</v>
      </c>
      <c r="C742" s="267">
        <v>1.1485262991479412</v>
      </c>
      <c r="D742" s="267">
        <v>1.049508766382647</v>
      </c>
      <c r="E742" s="267">
        <f t="shared" si="82"/>
        <v>1.1040561955262993</v>
      </c>
      <c r="F742" s="260"/>
      <c r="G742" s="260"/>
      <c r="H742" s="260"/>
      <c r="I742" s="260"/>
      <c r="J742" s="261"/>
    </row>
    <row r="743" spans="1:10" x14ac:dyDescent="0.25">
      <c r="A743" s="259" t="s">
        <v>557</v>
      </c>
      <c r="B743" s="260">
        <v>1.1587647303602575</v>
      </c>
      <c r="C743" s="260">
        <v>1.0854096786599328</v>
      </c>
      <c r="D743" s="260">
        <v>1.0284698928866443</v>
      </c>
      <c r="E743" s="260">
        <f t="shared" si="82"/>
        <v>1.363594657351775</v>
      </c>
      <c r="F743" s="260"/>
      <c r="G743" s="260"/>
      <c r="H743" s="260"/>
      <c r="I743" s="260"/>
      <c r="J743" s="261"/>
    </row>
    <row r="744" spans="1:10" x14ac:dyDescent="0.25">
      <c r="A744" s="259" t="s">
        <v>558</v>
      </c>
      <c r="B744" s="273">
        <v>1.1587647303602575</v>
      </c>
      <c r="C744" s="273">
        <v>1.0854096786599328</v>
      </c>
      <c r="D744" s="273">
        <v>1.0284698928866443</v>
      </c>
      <c r="E744" s="273">
        <f t="shared" si="82"/>
        <v>1.3635946573517748</v>
      </c>
      <c r="F744" s="260"/>
      <c r="G744" s="260"/>
      <c r="H744" s="260"/>
      <c r="I744" s="260"/>
      <c r="J744" s="261"/>
    </row>
    <row r="745" spans="1:10" x14ac:dyDescent="0.25">
      <c r="A745" s="259" t="s">
        <v>559</v>
      </c>
      <c r="B745" s="269">
        <v>0.99410318905494366</v>
      </c>
      <c r="C745" s="269">
        <v>1.0095287120834378</v>
      </c>
      <c r="D745" s="269">
        <v>1.0031762373611459</v>
      </c>
      <c r="E745" s="269">
        <f t="shared" si="82"/>
        <v>0.97316968165904427</v>
      </c>
      <c r="F745" s="260"/>
      <c r="G745" s="260"/>
      <c r="H745" s="260"/>
      <c r="I745" s="260"/>
      <c r="J745" s="261"/>
    </row>
    <row r="746" spans="1:10" x14ac:dyDescent="0.25">
      <c r="A746" s="259" t="s">
        <v>560</v>
      </c>
      <c r="B746" s="291">
        <v>1.0099752422488564</v>
      </c>
      <c r="C746" s="291">
        <v>1.0050974522479115</v>
      </c>
      <c r="D746" s="291">
        <v>1.0016991507493038</v>
      </c>
      <c r="E746" s="291">
        <f t="shared" si="82"/>
        <v>0.99922998787640482</v>
      </c>
      <c r="F746" s="260"/>
      <c r="G746" s="260"/>
      <c r="H746" s="260"/>
      <c r="I746" s="260"/>
      <c r="J746" s="261"/>
    </row>
    <row r="747" spans="1:10" x14ac:dyDescent="0.25">
      <c r="A747" s="259" t="s">
        <v>309</v>
      </c>
      <c r="B747" s="275">
        <v>1.0099752422488564</v>
      </c>
      <c r="C747" s="275">
        <v>1.0050974522479115</v>
      </c>
      <c r="D747" s="275">
        <v>1.0016991507493038</v>
      </c>
      <c r="E747" s="275">
        <f t="shared" si="82"/>
        <v>0.99922998787640471</v>
      </c>
      <c r="F747" s="260"/>
      <c r="G747" s="260"/>
      <c r="H747" s="260"/>
      <c r="I747" s="260"/>
      <c r="J747" s="261"/>
    </row>
    <row r="748" spans="1:10" x14ac:dyDescent="0.25">
      <c r="A748" s="259"/>
      <c r="B748" s="260"/>
      <c r="C748" s="260"/>
      <c r="D748" s="260"/>
      <c r="E748" s="260"/>
      <c r="F748" s="260"/>
      <c r="G748" s="260"/>
      <c r="H748" s="260"/>
      <c r="I748" s="260"/>
      <c r="J748" s="261"/>
    </row>
    <row r="749" spans="1:10" x14ac:dyDescent="0.25">
      <c r="A749" s="259"/>
      <c r="B749" s="260"/>
      <c r="C749" s="260"/>
      <c r="D749" s="260"/>
      <c r="E749" s="1590" t="s">
        <v>561</v>
      </c>
      <c r="F749" s="1590"/>
      <c r="G749" s="1590"/>
      <c r="H749" s="1590"/>
      <c r="I749" s="1590"/>
      <c r="J749" s="262"/>
    </row>
    <row r="750" spans="1:10" x14ac:dyDescent="0.25">
      <c r="A750" s="259" t="s">
        <v>562</v>
      </c>
      <c r="B750" s="260"/>
      <c r="C750" s="260" t="s">
        <v>563</v>
      </c>
      <c r="D750" s="260" t="s">
        <v>563</v>
      </c>
      <c r="E750" s="260"/>
      <c r="F750" s="260"/>
      <c r="G750" s="260"/>
      <c r="H750" s="260"/>
      <c r="I750" s="260"/>
      <c r="J750" s="261"/>
    </row>
    <row r="751" spans="1:10" x14ac:dyDescent="0.25">
      <c r="A751" s="259"/>
      <c r="B751" s="260" t="s">
        <v>1022</v>
      </c>
      <c r="C751" s="260">
        <v>2000</v>
      </c>
      <c r="D751" s="260">
        <v>2005</v>
      </c>
      <c r="E751" s="260">
        <v>2020</v>
      </c>
      <c r="F751" s="260">
        <v>2035</v>
      </c>
      <c r="G751" s="260">
        <v>2050</v>
      </c>
      <c r="H751" s="260">
        <v>2065</v>
      </c>
      <c r="I751" s="260">
        <v>2080</v>
      </c>
      <c r="J751" s="261"/>
    </row>
    <row r="752" spans="1:10" x14ac:dyDescent="0.25">
      <c r="A752" s="259" t="s">
        <v>554</v>
      </c>
      <c r="B752" s="260" t="s">
        <v>564</v>
      </c>
      <c r="C752" s="260">
        <v>25.276500000000002</v>
      </c>
      <c r="D752" s="260">
        <v>25.071000000000002</v>
      </c>
      <c r="E752" s="260">
        <v>24.427484559</v>
      </c>
      <c r="F752" s="260">
        <v>26.147942478000001</v>
      </c>
      <c r="G752" s="260">
        <v>27.297862937999998</v>
      </c>
      <c r="H752" s="260">
        <v>28.074449492999999</v>
      </c>
      <c r="I752" s="260">
        <v>29.9967939</v>
      </c>
      <c r="J752" s="261"/>
    </row>
    <row r="753" spans="1:10" x14ac:dyDescent="0.25">
      <c r="A753" s="259" t="s">
        <v>555</v>
      </c>
      <c r="B753" s="260" t="s">
        <v>565</v>
      </c>
      <c r="C753" s="260">
        <v>3.83</v>
      </c>
      <c r="D753" s="260">
        <v>2.88</v>
      </c>
      <c r="E753" s="260">
        <v>3.1020351176470586</v>
      </c>
      <c r="F753" s="260">
        <v>3.5179781764705877</v>
      </c>
      <c r="G753" s="260">
        <v>4.2559817058823528</v>
      </c>
      <c r="H753" s="260">
        <v>4.9919869411764699</v>
      </c>
      <c r="I753" s="260">
        <v>5.7211905294117642</v>
      </c>
      <c r="J753" s="261"/>
    </row>
    <row r="754" spans="1:10" x14ac:dyDescent="0.25">
      <c r="A754" s="259" t="s">
        <v>556</v>
      </c>
      <c r="B754" s="260" t="s">
        <v>565</v>
      </c>
      <c r="C754" s="260">
        <v>4.333333333333333</v>
      </c>
      <c r="D754" s="260">
        <v>3.2058823529411766</v>
      </c>
      <c r="E754" s="260">
        <v>4.0727964705882354</v>
      </c>
      <c r="F754" s="260">
        <v>4.4965961764705868</v>
      </c>
      <c r="G754" s="260">
        <v>5.2600686470588229</v>
      </c>
      <c r="H754" s="260">
        <v>6.0413271764705883</v>
      </c>
      <c r="I754" s="260">
        <v>6.8262844117647052</v>
      </c>
      <c r="J754" s="261"/>
    </row>
    <row r="755" spans="1:10" x14ac:dyDescent="0.25">
      <c r="A755" s="259" t="s">
        <v>557</v>
      </c>
      <c r="B755" s="260" t="s">
        <v>566</v>
      </c>
      <c r="C755" s="260">
        <v>28.35</v>
      </c>
      <c r="D755" s="260">
        <v>23.27</v>
      </c>
      <c r="E755" s="260">
        <v>17.294973600000002</v>
      </c>
      <c r="F755" s="260">
        <v>23.583333599999996</v>
      </c>
      <c r="G755" s="260">
        <v>27.327535199999996</v>
      </c>
      <c r="H755" s="260">
        <v>29.661571199999997</v>
      </c>
      <c r="I755" s="260"/>
      <c r="J755" s="261"/>
    </row>
    <row r="756" spans="1:10" x14ac:dyDescent="0.25">
      <c r="A756" s="259" t="s">
        <v>558</v>
      </c>
      <c r="B756" s="260" t="s">
        <v>567</v>
      </c>
      <c r="C756" s="260">
        <v>1.5176666666666667</v>
      </c>
      <c r="D756" s="260">
        <v>1.2925714285714285</v>
      </c>
      <c r="E756" s="260">
        <v>0.93587519480519499</v>
      </c>
      <c r="F756" s="260">
        <v>1.2761544155844153</v>
      </c>
      <c r="G756" s="260">
        <v>1.4787627272727271</v>
      </c>
      <c r="H756" s="260">
        <v>1.6050633766233764</v>
      </c>
      <c r="I756" s="260"/>
      <c r="J756" s="261"/>
    </row>
    <row r="757" spans="1:10" x14ac:dyDescent="0.25">
      <c r="A757" s="259" t="s">
        <v>559</v>
      </c>
      <c r="B757" s="260" t="s">
        <v>568</v>
      </c>
      <c r="C757" s="260">
        <v>6.9</v>
      </c>
      <c r="D757" s="260">
        <v>6.4</v>
      </c>
      <c r="E757" s="260">
        <v>6.9130361604720001</v>
      </c>
      <c r="F757" s="260">
        <v>6.7275571995839982</v>
      </c>
      <c r="G757" s="260">
        <v>6.6878860666559987</v>
      </c>
      <c r="H757" s="260">
        <v>6.7516130074319989</v>
      </c>
      <c r="I757" s="260">
        <v>6.8294477356799987</v>
      </c>
      <c r="J757" s="261"/>
    </row>
    <row r="758" spans="1:10" x14ac:dyDescent="0.25">
      <c r="A758" s="259" t="s">
        <v>560</v>
      </c>
      <c r="B758" s="260" t="s">
        <v>569</v>
      </c>
      <c r="C758" s="260"/>
      <c r="D758" s="260"/>
      <c r="E758" s="260">
        <v>3.8637053999999993</v>
      </c>
      <c r="F758" s="260">
        <v>3.8607302999999993</v>
      </c>
      <c r="G758" s="260">
        <v>3.8992420199999995</v>
      </c>
      <c r="H758" s="260">
        <v>3.9191182199999997</v>
      </c>
      <c r="I758" s="260">
        <v>4.4580291000000001</v>
      </c>
      <c r="J758" s="261"/>
    </row>
    <row r="759" spans="1:10" x14ac:dyDescent="0.25">
      <c r="A759" s="259" t="s">
        <v>309</v>
      </c>
      <c r="B759" s="260" t="s">
        <v>569</v>
      </c>
      <c r="C759" s="260"/>
      <c r="D759" s="260"/>
      <c r="E759" s="260">
        <v>19.318526999999996</v>
      </c>
      <c r="F759" s="260">
        <v>19.303651499999994</v>
      </c>
      <c r="G759" s="260">
        <v>19.496210099999995</v>
      </c>
      <c r="H759" s="260">
        <v>19.595591099999996</v>
      </c>
      <c r="I759" s="260">
        <v>22.290145499999998</v>
      </c>
      <c r="J759" s="261"/>
    </row>
    <row r="760" spans="1:10" x14ac:dyDescent="0.25">
      <c r="A760" s="259"/>
      <c r="B760" s="260"/>
      <c r="C760" s="260"/>
      <c r="D760" s="260"/>
      <c r="E760" s="260"/>
      <c r="F760" s="260"/>
      <c r="G760" s="260"/>
      <c r="H760" s="260"/>
      <c r="I760" s="260"/>
      <c r="J760" s="261"/>
    </row>
    <row r="761" spans="1:10" ht="39.6" x14ac:dyDescent="0.25">
      <c r="A761" s="263" t="s">
        <v>570</v>
      </c>
      <c r="B761" s="260" t="s">
        <v>564</v>
      </c>
      <c r="C761" s="260"/>
      <c r="D761" s="260"/>
      <c r="E761" s="260">
        <v>76.455732879999985</v>
      </c>
      <c r="F761" s="260">
        <v>76.404561159999986</v>
      </c>
      <c r="G761" s="260">
        <v>77.066962743999994</v>
      </c>
      <c r="H761" s="260">
        <v>77.40883338399999</v>
      </c>
      <c r="I761" s="260">
        <v>86.678100520000001</v>
      </c>
      <c r="J761" s="261"/>
    </row>
    <row r="762" spans="1:10" ht="13.8" thickBot="1" x14ac:dyDescent="0.3">
      <c r="A762" s="264"/>
      <c r="B762" s="265">
        <v>17.2</v>
      </c>
      <c r="C762" s="265" t="s">
        <v>571</v>
      </c>
      <c r="D762" s="265"/>
      <c r="E762" s="265"/>
      <c r="F762" s="265"/>
      <c r="G762" s="265"/>
      <c r="H762" s="265"/>
      <c r="I762" s="265"/>
      <c r="J762" s="266"/>
    </row>
    <row r="763" spans="1:10" ht="13.8" thickTop="1" x14ac:dyDescent="0.25"/>
    <row r="764" spans="1:10" x14ac:dyDescent="0.25">
      <c r="A764" s="435" t="s">
        <v>798</v>
      </c>
    </row>
    <row r="765" spans="1:10" x14ac:dyDescent="0.25">
      <c r="A765" t="s">
        <v>792</v>
      </c>
    </row>
    <row r="766" spans="1:10" x14ac:dyDescent="0.25">
      <c r="A766" t="s">
        <v>793</v>
      </c>
    </row>
    <row r="767" spans="1:10" x14ac:dyDescent="0.25">
      <c r="A767" t="s">
        <v>794</v>
      </c>
    </row>
    <row r="769" spans="1:27" x14ac:dyDescent="0.25">
      <c r="A769" t="s">
        <v>433</v>
      </c>
    </row>
    <row r="770" spans="1:27" x14ac:dyDescent="0.25">
      <c r="A770" t="s">
        <v>707</v>
      </c>
    </row>
    <row r="773" spans="1:27" x14ac:dyDescent="0.25">
      <c r="AA773" t="s">
        <v>795</v>
      </c>
    </row>
    <row r="774" spans="1:27" x14ac:dyDescent="0.25">
      <c r="B774" t="s">
        <v>439</v>
      </c>
      <c r="C774" t="s">
        <v>440</v>
      </c>
      <c r="D774" t="s">
        <v>441</v>
      </c>
      <c r="E774" t="s">
        <v>442</v>
      </c>
      <c r="F774" t="s">
        <v>443</v>
      </c>
      <c r="G774" t="s">
        <v>444</v>
      </c>
      <c r="H774" t="s">
        <v>445</v>
      </c>
      <c r="I774" t="s">
        <v>446</v>
      </c>
      <c r="J774" t="s">
        <v>447</v>
      </c>
      <c r="K774" t="s">
        <v>448</v>
      </c>
      <c r="L774" t="s">
        <v>449</v>
      </c>
      <c r="M774" t="s">
        <v>450</v>
      </c>
      <c r="N774" t="s">
        <v>451</v>
      </c>
      <c r="O774" t="s">
        <v>452</v>
      </c>
      <c r="P774" t="s">
        <v>453</v>
      </c>
      <c r="Q774" t="s">
        <v>454</v>
      </c>
      <c r="R774" t="s">
        <v>455</v>
      </c>
      <c r="S774" t="s">
        <v>456</v>
      </c>
      <c r="T774" t="s">
        <v>457</v>
      </c>
      <c r="U774" t="s">
        <v>458</v>
      </c>
      <c r="V774" t="s">
        <v>589</v>
      </c>
      <c r="W774" t="s">
        <v>590</v>
      </c>
      <c r="X774" t="s">
        <v>591</v>
      </c>
      <c r="Y774" t="s">
        <v>592</v>
      </c>
      <c r="Z774" t="s">
        <v>593</v>
      </c>
      <c r="AA774" t="s">
        <v>593</v>
      </c>
    </row>
    <row r="777" spans="1:27" x14ac:dyDescent="0.25">
      <c r="A777" t="s">
        <v>459</v>
      </c>
    </row>
    <row r="778" spans="1:27" x14ac:dyDescent="0.25">
      <c r="A778" t="s">
        <v>594</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595</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496</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465</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466</v>
      </c>
    </row>
    <row r="784" spans="1:27" x14ac:dyDescent="0.25">
      <c r="A784" t="s">
        <v>594</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595</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708</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496</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465</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597</v>
      </c>
    </row>
    <row r="791" spans="1:27" x14ac:dyDescent="0.25">
      <c r="A791" t="s">
        <v>594</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595</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596</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598</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599</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600</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601</v>
      </c>
      <c r="B797" t="s">
        <v>773</v>
      </c>
      <c r="C797" t="s">
        <v>773</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773</v>
      </c>
    </row>
    <row r="798" spans="1:27" x14ac:dyDescent="0.25">
      <c r="A798" t="s">
        <v>465</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473</v>
      </c>
    </row>
    <row r="801" spans="1:27" x14ac:dyDescent="0.25">
      <c r="A801" t="s">
        <v>602</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603</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604</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605</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709</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596</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607</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465</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608</v>
      </c>
    </row>
    <row r="811" spans="1:27" x14ac:dyDescent="0.25">
      <c r="A811" t="s">
        <v>595</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596</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496</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609</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610</v>
      </c>
    </row>
    <row r="817" spans="1:27" x14ac:dyDescent="0.25">
      <c r="A817" t="s">
        <v>594</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603</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604</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611</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595</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596</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496</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599</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612</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601</v>
      </c>
      <c r="B826" t="s">
        <v>773</v>
      </c>
      <c r="C826" t="s">
        <v>773</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773</v>
      </c>
    </row>
    <row r="827" spans="1:27" x14ac:dyDescent="0.25">
      <c r="A827" t="s">
        <v>465</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499</v>
      </c>
    </row>
    <row r="830" spans="1:27" x14ac:dyDescent="0.25">
      <c r="A830" t="s">
        <v>710</v>
      </c>
    </row>
    <row r="831" spans="1:27" x14ac:dyDescent="0.25">
      <c r="A831" t="s">
        <v>459</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466</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501</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473</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502</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614</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504</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711</v>
      </c>
    </row>
    <row r="841" spans="1:27" x14ac:dyDescent="0.25">
      <c r="A841" t="s">
        <v>459</v>
      </c>
    </row>
    <row r="842" spans="1:27" x14ac:dyDescent="0.25">
      <c r="A842" t="s">
        <v>594</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595</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496</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465</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466</v>
      </c>
    </row>
    <row r="848" spans="1:27" x14ac:dyDescent="0.25">
      <c r="A848" t="s">
        <v>594</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595</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708</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496</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465</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597</v>
      </c>
    </row>
    <row r="855" spans="1:27" x14ac:dyDescent="0.25">
      <c r="A855" t="s">
        <v>594</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595</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596</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598</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599</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600</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601</v>
      </c>
      <c r="B861" t="s">
        <v>773</v>
      </c>
      <c r="C861" t="s">
        <v>773</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773</v>
      </c>
    </row>
    <row r="862" spans="1:27" x14ac:dyDescent="0.25">
      <c r="A862" t="s">
        <v>465</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299" t="s">
        <v>473</v>
      </c>
      <c r="B864" s="299"/>
      <c r="C864" s="299"/>
      <c r="D864" s="299"/>
      <c r="E864" s="299"/>
      <c r="F864" s="299"/>
      <c r="G864" s="299"/>
      <c r="H864" s="299"/>
      <c r="I864" s="299"/>
      <c r="J864" s="299"/>
      <c r="K864" s="299"/>
      <c r="L864" s="299"/>
      <c r="M864" s="299"/>
      <c r="N864" s="299"/>
      <c r="O864" s="299"/>
      <c r="P864" s="299"/>
      <c r="Q864" s="299"/>
      <c r="R864" s="299"/>
      <c r="S864" s="299"/>
      <c r="T864" s="299"/>
      <c r="U864" s="299"/>
      <c r="V864" s="299"/>
      <c r="W864" s="299"/>
      <c r="X864" s="299"/>
      <c r="Y864" s="299"/>
      <c r="Z864" s="299"/>
    </row>
    <row r="865" spans="1:27" x14ac:dyDescent="0.25">
      <c r="A865" t="s">
        <v>602</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603</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604</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605</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709</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596</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607</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465</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608</v>
      </c>
    </row>
    <row r="875" spans="1:27" x14ac:dyDescent="0.25">
      <c r="A875" t="s">
        <v>595</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596</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496</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609</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610</v>
      </c>
    </row>
    <row r="881" spans="1:27" x14ac:dyDescent="0.25">
      <c r="A881" t="s">
        <v>594</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603</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604</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611</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595</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596</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496</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599</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612</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601</v>
      </c>
      <c r="B890" t="s">
        <v>773</v>
      </c>
      <c r="C890" t="s">
        <v>773</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773</v>
      </c>
    </row>
    <row r="891" spans="1:27" x14ac:dyDescent="0.25">
      <c r="A891" t="s">
        <v>465</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499</v>
      </c>
    </row>
    <row r="894" spans="1:27" x14ac:dyDescent="0.25">
      <c r="A894" t="s">
        <v>712</v>
      </c>
    </row>
    <row r="895" spans="1:27" x14ac:dyDescent="0.25">
      <c r="A895" t="s">
        <v>459</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466</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501</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473</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502</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614</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504</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615</v>
      </c>
    </row>
    <row r="906" spans="1:27" x14ac:dyDescent="0.25">
      <c r="A906" t="s">
        <v>616</v>
      </c>
    </row>
    <row r="907" spans="1:27" x14ac:dyDescent="0.25">
      <c r="A907" t="s">
        <v>617</v>
      </c>
    </row>
    <row r="908" spans="1:27" x14ac:dyDescent="0.25">
      <c r="A908" t="s">
        <v>713</v>
      </c>
    </row>
    <row r="909" spans="1:27" x14ac:dyDescent="0.25">
      <c r="A909" t="s">
        <v>714</v>
      </c>
    </row>
    <row r="910" spans="1:27" x14ac:dyDescent="0.25">
      <c r="A910" t="s">
        <v>634</v>
      </c>
    </row>
    <row r="911" spans="1:27" x14ac:dyDescent="0.25">
      <c r="A911" t="s">
        <v>635</v>
      </c>
    </row>
    <row r="912" spans="1:27" x14ac:dyDescent="0.25">
      <c r="A912" t="s">
        <v>636</v>
      </c>
    </row>
    <row r="913" spans="1:1" x14ac:dyDescent="0.25">
      <c r="A913" t="s">
        <v>637</v>
      </c>
    </row>
    <row r="914" spans="1:1" x14ac:dyDescent="0.25">
      <c r="A914" t="s">
        <v>638</v>
      </c>
    </row>
    <row r="915" spans="1:1" x14ac:dyDescent="0.25">
      <c r="A915" t="s">
        <v>639</v>
      </c>
    </row>
    <row r="916" spans="1:1" x14ac:dyDescent="0.25">
      <c r="A916" t="s">
        <v>531</v>
      </c>
    </row>
    <row r="917" spans="1:1" x14ac:dyDescent="0.25">
      <c r="A917" t="s">
        <v>715</v>
      </c>
    </row>
    <row r="918" spans="1:1" x14ac:dyDescent="0.25">
      <c r="A918" t="s">
        <v>716</v>
      </c>
    </row>
    <row r="919" spans="1:1" x14ac:dyDescent="0.25">
      <c r="A919" t="s">
        <v>717</v>
      </c>
    </row>
    <row r="920" spans="1:1" x14ac:dyDescent="0.25">
      <c r="A920" t="s">
        <v>718</v>
      </c>
    </row>
    <row r="921" spans="1:1" x14ac:dyDescent="0.25">
      <c r="A921" t="s">
        <v>719</v>
      </c>
    </row>
    <row r="922" spans="1:1" x14ac:dyDescent="0.25">
      <c r="A922" t="s">
        <v>720</v>
      </c>
    </row>
    <row r="923" spans="1:1" x14ac:dyDescent="0.25">
      <c r="A923" t="s">
        <v>721</v>
      </c>
    </row>
    <row r="924" spans="1:1" x14ac:dyDescent="0.25">
      <c r="A924" t="s">
        <v>722</v>
      </c>
    </row>
    <row r="925" spans="1:1" x14ac:dyDescent="0.25">
      <c r="A925" t="s">
        <v>723</v>
      </c>
    </row>
    <row r="926" spans="1:1" x14ac:dyDescent="0.25">
      <c r="A926" t="s">
        <v>724</v>
      </c>
    </row>
    <row r="927" spans="1:1" x14ac:dyDescent="0.25">
      <c r="A927" t="s">
        <v>796</v>
      </c>
    </row>
    <row r="928" spans="1:1" x14ac:dyDescent="0.25">
      <c r="A928" t="s">
        <v>726</v>
      </c>
    </row>
    <row r="929" spans="1:1" x14ac:dyDescent="0.25">
      <c r="A929" t="s">
        <v>797</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91" workbookViewId="0">
      <selection activeCell="A94" sqref="A94:A123"/>
    </sheetView>
  </sheetViews>
  <sheetFormatPr defaultRowHeight="13.2" x14ac:dyDescent="0.25"/>
  <cols>
    <col min="1" max="1" width="33" customWidth="1"/>
    <col min="2" max="2" width="28.5546875" customWidth="1"/>
    <col min="3" max="3" width="14" customWidth="1"/>
    <col min="4" max="4" width="12.6640625" customWidth="1"/>
    <col min="5" max="5" width="15.33203125" customWidth="1"/>
    <col min="6" max="6" width="21.4414062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546875" customWidth="1"/>
    <col min="16" max="18" width="18.6640625" customWidth="1"/>
    <col min="19" max="20" width="13.44140625" customWidth="1"/>
    <col min="23" max="23" width="12.44140625" bestFit="1" customWidth="1"/>
  </cols>
  <sheetData>
    <row r="1" spans="1:23" ht="13.8" x14ac:dyDescent="0.25">
      <c r="A1" s="468" t="s">
        <v>298</v>
      </c>
      <c r="B1" s="469"/>
      <c r="C1" s="469"/>
      <c r="D1" s="470"/>
      <c r="E1" s="469"/>
      <c r="F1" s="469"/>
      <c r="G1" s="469"/>
      <c r="H1" s="469"/>
      <c r="I1" s="469"/>
      <c r="J1" s="469"/>
      <c r="K1" s="469"/>
    </row>
    <row r="2" spans="1:23" ht="12.75" customHeight="1" x14ac:dyDescent="0.3">
      <c r="A2" s="1640" t="s">
        <v>847</v>
      </c>
      <c r="B2" s="1641"/>
      <c r="C2" s="1641"/>
      <c r="D2" s="1641"/>
      <c r="E2" s="1641"/>
      <c r="F2" s="1641"/>
      <c r="G2" s="1641"/>
      <c r="H2" s="1641"/>
      <c r="I2" s="1641"/>
      <c r="J2" s="1641"/>
      <c r="K2" s="1641"/>
    </row>
    <row r="3" spans="1:23" ht="13.8" thickBot="1" x14ac:dyDescent="0.3">
      <c r="A3" s="1642"/>
      <c r="B3" s="1642"/>
      <c r="C3" s="1642"/>
      <c r="D3" s="1642"/>
      <c r="E3" s="1642"/>
      <c r="F3" s="1642"/>
      <c r="G3" s="1642"/>
      <c r="H3" s="1642"/>
      <c r="I3" s="1642"/>
      <c r="J3" s="1642"/>
      <c r="K3" s="1642"/>
    </row>
    <row r="4" spans="1:23" ht="13.8" x14ac:dyDescent="0.25">
      <c r="A4" s="3" t="s">
        <v>299</v>
      </c>
      <c r="B4" s="4"/>
      <c r="C4" s="1643" t="s">
        <v>300</v>
      </c>
      <c r="D4" s="1643"/>
      <c r="E4" s="1643"/>
      <c r="F4" s="5"/>
      <c r="G4" s="1643" t="s">
        <v>301</v>
      </c>
      <c r="H4" s="1643"/>
      <c r="I4" s="1643"/>
      <c r="J4" s="5"/>
      <c r="K4" s="6" t="s">
        <v>302</v>
      </c>
      <c r="O4" s="2" t="s">
        <v>618</v>
      </c>
    </row>
    <row r="5" spans="1:23" x14ac:dyDescent="0.25">
      <c r="A5" s="7" t="s">
        <v>848</v>
      </c>
      <c r="B5" s="8"/>
      <c r="C5" s="9" t="s">
        <v>849</v>
      </c>
      <c r="D5" s="9" t="s">
        <v>303</v>
      </c>
      <c r="E5" s="9" t="s">
        <v>304</v>
      </c>
      <c r="F5" s="9"/>
      <c r="G5" s="9" t="s">
        <v>849</v>
      </c>
      <c r="H5" s="9" t="s">
        <v>303</v>
      </c>
      <c r="I5" s="9" t="s">
        <v>304</v>
      </c>
      <c r="J5" s="9"/>
      <c r="K5" s="10" t="s">
        <v>850</v>
      </c>
      <c r="O5" s="1"/>
      <c r="P5" s="1"/>
      <c r="Q5" s="479"/>
      <c r="R5" s="479">
        <v>2005</v>
      </c>
      <c r="S5" s="479">
        <v>2007</v>
      </c>
      <c r="T5" s="479">
        <v>2005</v>
      </c>
      <c r="U5" s="479">
        <v>2007</v>
      </c>
      <c r="V5" s="478"/>
      <c r="W5" s="478"/>
    </row>
    <row r="6" spans="1:23" x14ac:dyDescent="0.25">
      <c r="A6" s="15" t="s">
        <v>515</v>
      </c>
      <c r="B6" s="12"/>
      <c r="C6" s="13">
        <v>983</v>
      </c>
      <c r="D6" s="14">
        <f>C6/$K6*453.59</f>
        <v>20267.225909090906</v>
      </c>
      <c r="E6" s="471">
        <f>D6*1.05506/1000*2.2046</f>
        <v>47.141269049911173</v>
      </c>
      <c r="F6" s="13"/>
      <c r="G6" s="13">
        <v>1089</v>
      </c>
      <c r="H6" s="14">
        <f>G6/$K6*453.59</f>
        <v>22452.704999999998</v>
      </c>
      <c r="I6" s="471">
        <f>H6*1.05506/1000*2.2046</f>
        <v>52.224661236371581</v>
      </c>
      <c r="J6" s="13"/>
      <c r="K6" s="472">
        <v>22</v>
      </c>
      <c r="O6" s="1" t="s">
        <v>245</v>
      </c>
      <c r="P6" s="1" t="s">
        <v>1022</v>
      </c>
      <c r="Q6" s="479" t="s">
        <v>622</v>
      </c>
      <c r="R6" s="479" t="s">
        <v>621</v>
      </c>
      <c r="S6" s="479" t="s">
        <v>621</v>
      </c>
      <c r="T6" s="479" t="s">
        <v>1011</v>
      </c>
      <c r="U6" s="479" t="s">
        <v>1011</v>
      </c>
      <c r="V6" s="478"/>
      <c r="W6" s="478"/>
    </row>
    <row r="7" spans="1:23" x14ac:dyDescent="0.25">
      <c r="A7" s="15" t="s">
        <v>851</v>
      </c>
      <c r="B7" s="16"/>
      <c r="C7" s="473">
        <v>290</v>
      </c>
      <c r="D7" s="17">
        <f t="shared" ref="D7:D40" si="0">C7/K7*453.59</f>
        <v>51682.028917177428</v>
      </c>
      <c r="E7" s="474">
        <f t="shared" ref="E7:E40" si="1">D7*1.05506/1000*2.2046</f>
        <v>120.21163829516094</v>
      </c>
      <c r="F7" s="18"/>
      <c r="G7" s="19">
        <v>343</v>
      </c>
      <c r="H7" s="17">
        <f t="shared" ref="H7:H40" si="2">G7/$K7*453.59</f>
        <v>61127.365236523648</v>
      </c>
      <c r="I7" s="474">
        <f t="shared" ref="I7:I40" si="3">H7*1.05506/1000*2.2046</f>
        <v>142.1813515008283</v>
      </c>
      <c r="J7" s="18"/>
      <c r="K7" s="475">
        <v>2.5451999999999999</v>
      </c>
      <c r="O7" t="s">
        <v>830</v>
      </c>
      <c r="P7" t="s">
        <v>623</v>
      </c>
      <c r="Q7" s="478">
        <v>930</v>
      </c>
      <c r="R7" s="478">
        <v>1027</v>
      </c>
      <c r="S7" s="478">
        <v>1030</v>
      </c>
      <c r="T7" s="478">
        <f>R7/Q7</f>
        <v>1.1043010752688172</v>
      </c>
      <c r="U7" s="478">
        <f>S7/Q7</f>
        <v>1.10752688172043</v>
      </c>
      <c r="V7" s="478"/>
      <c r="W7" s="478"/>
    </row>
    <row r="8" spans="1:23" x14ac:dyDescent="0.25">
      <c r="A8" s="15" t="s">
        <v>852</v>
      </c>
      <c r="B8" s="16"/>
      <c r="C8" s="473">
        <v>1458</v>
      </c>
      <c r="D8" s="17">
        <f t="shared" si="0"/>
        <v>20162.628658536585</v>
      </c>
      <c r="E8" s="471">
        <f t="shared" si="1"/>
        <v>46.897977385211739</v>
      </c>
      <c r="F8" s="18"/>
      <c r="G8" s="19">
        <v>1584</v>
      </c>
      <c r="H8" s="17">
        <f t="shared" si="2"/>
        <v>21905.078048780488</v>
      </c>
      <c r="I8" s="471">
        <f t="shared" si="3"/>
        <v>50.950889011094226</v>
      </c>
      <c r="J8" s="18"/>
      <c r="K8" s="20">
        <v>32.799999999999997</v>
      </c>
      <c r="O8" t="s">
        <v>831</v>
      </c>
      <c r="P8" t="s">
        <v>623</v>
      </c>
      <c r="Q8" s="478">
        <v>930</v>
      </c>
      <c r="R8" s="478">
        <v>1027</v>
      </c>
      <c r="S8" s="478">
        <v>1030</v>
      </c>
      <c r="T8" s="478">
        <f>R8/Q8</f>
        <v>1.1043010752688172</v>
      </c>
      <c r="U8" s="478">
        <f>S8/Q8</f>
        <v>1.10752688172043</v>
      </c>
      <c r="V8" s="478"/>
      <c r="W8" s="478"/>
    </row>
    <row r="9" spans="1:23" x14ac:dyDescent="0.25">
      <c r="A9" s="7" t="s">
        <v>305</v>
      </c>
      <c r="B9" s="8"/>
      <c r="C9" s="9" t="s">
        <v>306</v>
      </c>
      <c r="D9" s="9" t="s">
        <v>303</v>
      </c>
      <c r="E9" s="9" t="s">
        <v>304</v>
      </c>
      <c r="F9" s="9"/>
      <c r="G9" s="9" t="s">
        <v>306</v>
      </c>
      <c r="H9" s="9" t="s">
        <v>303</v>
      </c>
      <c r="I9" s="9" t="s">
        <v>304</v>
      </c>
      <c r="J9" s="9"/>
      <c r="K9" s="10" t="s">
        <v>307</v>
      </c>
      <c r="O9" t="s">
        <v>832</v>
      </c>
      <c r="P9" t="s">
        <v>623</v>
      </c>
      <c r="Q9" s="478">
        <v>930</v>
      </c>
      <c r="R9" s="478">
        <v>1027</v>
      </c>
      <c r="S9" s="478">
        <v>1030</v>
      </c>
      <c r="T9" s="478">
        <f>R9/Q9</f>
        <v>1.1043010752688172</v>
      </c>
      <c r="U9" s="478">
        <f>S9/Q9</f>
        <v>1.10752688172043</v>
      </c>
      <c r="V9" s="478"/>
      <c r="W9" s="478"/>
    </row>
    <row r="10" spans="1:23" x14ac:dyDescent="0.25">
      <c r="A10" s="11" t="s">
        <v>853</v>
      </c>
      <c r="B10" s="16"/>
      <c r="C10" s="19">
        <v>129670</v>
      </c>
      <c r="D10" s="17">
        <f t="shared" si="0"/>
        <v>18351.642839313572</v>
      </c>
      <c r="E10" s="471">
        <f t="shared" si="1"/>
        <v>42.685651034654214</v>
      </c>
      <c r="F10" s="18"/>
      <c r="G10" s="19">
        <v>138350</v>
      </c>
      <c r="H10" s="17">
        <f t="shared" si="2"/>
        <v>19580.086271450855</v>
      </c>
      <c r="I10" s="471">
        <f t="shared" si="3"/>
        <v>45.542992370204438</v>
      </c>
      <c r="J10" s="18"/>
      <c r="K10" s="21">
        <v>3205</v>
      </c>
      <c r="O10" t="s">
        <v>907</v>
      </c>
      <c r="Q10" s="478"/>
      <c r="R10" s="478"/>
      <c r="S10" s="478"/>
      <c r="T10" s="478">
        <v>1</v>
      </c>
      <c r="U10" s="478">
        <v>1</v>
      </c>
      <c r="V10" s="478"/>
      <c r="W10" s="478"/>
    </row>
    <row r="11" spans="1:23" x14ac:dyDescent="0.25">
      <c r="A11" s="11" t="s">
        <v>854</v>
      </c>
      <c r="B11" s="16"/>
      <c r="C11" s="19">
        <v>116090</v>
      </c>
      <c r="D11" s="17">
        <f t="shared" si="0"/>
        <v>18679.412238382403</v>
      </c>
      <c r="E11" s="471">
        <f t="shared" si="1"/>
        <v>43.448037830811678</v>
      </c>
      <c r="F11" s="18"/>
      <c r="G11" s="19">
        <v>124340</v>
      </c>
      <c r="H11" s="17">
        <f t="shared" si="2"/>
        <v>20006.874991131608</v>
      </c>
      <c r="I11" s="471">
        <f t="shared" si="3"/>
        <v>46.535696648144757</v>
      </c>
      <c r="J11" s="18"/>
      <c r="K11" s="21">
        <v>2819</v>
      </c>
      <c r="O11" t="s">
        <v>909</v>
      </c>
      <c r="Q11" s="478"/>
      <c r="R11" s="478"/>
      <c r="S11" s="478"/>
      <c r="T11" s="478">
        <v>1</v>
      </c>
      <c r="U11" s="478">
        <v>1</v>
      </c>
      <c r="V11" s="478"/>
      <c r="W11" s="478"/>
    </row>
    <row r="12" spans="1:23" x14ac:dyDescent="0.25">
      <c r="A12" s="11" t="s">
        <v>855</v>
      </c>
      <c r="B12" s="16"/>
      <c r="C12" s="19">
        <v>113601.50975397152</v>
      </c>
      <c r="D12" s="17">
        <f t="shared" si="0"/>
        <v>18210.67343395916</v>
      </c>
      <c r="E12" s="471">
        <f t="shared" si="1"/>
        <v>42.357758273433376</v>
      </c>
      <c r="F12" s="18"/>
      <c r="G12" s="19">
        <v>121848.38036482914</v>
      </c>
      <c r="H12" s="17">
        <f t="shared" si="2"/>
        <v>19532.672304147527</v>
      </c>
      <c r="I12" s="471">
        <f t="shared" si="3"/>
        <v>45.432708180380153</v>
      </c>
      <c r="J12" s="18"/>
      <c r="K12" s="21">
        <v>2829.5773353012783</v>
      </c>
      <c r="O12" t="s">
        <v>833</v>
      </c>
      <c r="P12" t="s">
        <v>624</v>
      </c>
      <c r="Q12" s="480">
        <v>19546300</v>
      </c>
      <c r="R12" s="480">
        <v>20754000</v>
      </c>
      <c r="S12" s="480">
        <v>20231000</v>
      </c>
      <c r="T12" s="478">
        <f>R12/Q12</f>
        <v>1.0617866296946226</v>
      </c>
      <c r="U12" s="478">
        <f>S12/Q12</f>
        <v>1.0350296475547802</v>
      </c>
      <c r="V12" s="478"/>
      <c r="W12" s="478"/>
    </row>
    <row r="13" spans="1:23" x14ac:dyDescent="0.25">
      <c r="A13" s="11" t="s">
        <v>856</v>
      </c>
      <c r="B13" s="16"/>
      <c r="C13" s="19">
        <v>113927.15396104372</v>
      </c>
      <c r="D13" s="17">
        <f t="shared" si="0"/>
        <v>18271.813278014368</v>
      </c>
      <c r="E13" s="471">
        <f t="shared" si="1"/>
        <v>42.499968650482714</v>
      </c>
      <c r="F13" s="18"/>
      <c r="G13" s="19">
        <v>122174.43408423416</v>
      </c>
      <c r="H13" s="17">
        <f t="shared" si="2"/>
        <v>19594.524828536756</v>
      </c>
      <c r="I13" s="471">
        <f t="shared" si="3"/>
        <v>45.576576241392928</v>
      </c>
      <c r="J13" s="18"/>
      <c r="K13" s="21">
        <v>2828.193183616288</v>
      </c>
      <c r="O13" t="s">
        <v>890</v>
      </c>
      <c r="P13" t="s">
        <v>625</v>
      </c>
      <c r="Q13" s="480">
        <v>128450</v>
      </c>
      <c r="R13" s="480">
        <f>5825000/42</f>
        <v>138690.47619047618</v>
      </c>
      <c r="S13" s="480">
        <f>5799000/42</f>
        <v>138071.42857142858</v>
      </c>
      <c r="T13" s="478">
        <f>R13/Q13</f>
        <v>1.0797234425105191</v>
      </c>
      <c r="U13" s="478">
        <f>S13/Q13</f>
        <v>1.0749040760718458</v>
      </c>
      <c r="V13" s="478"/>
      <c r="W13" s="478"/>
    </row>
    <row r="14" spans="1:23" x14ac:dyDescent="0.25">
      <c r="A14" s="11" t="s">
        <v>857</v>
      </c>
      <c r="B14" s="16"/>
      <c r="C14" s="19">
        <v>128450</v>
      </c>
      <c r="D14" s="17">
        <f t="shared" si="0"/>
        <v>18397.106251973477</v>
      </c>
      <c r="E14" s="471">
        <f t="shared" si="1"/>
        <v>42.791398263097854</v>
      </c>
      <c r="F14" s="18"/>
      <c r="G14" s="19">
        <v>137380</v>
      </c>
      <c r="H14" s="17">
        <f t="shared" si="2"/>
        <v>19676.095421534574</v>
      </c>
      <c r="I14" s="471">
        <f t="shared" si="3"/>
        <v>45.766308239660439</v>
      </c>
      <c r="J14" s="18"/>
      <c r="K14" s="21">
        <v>3167</v>
      </c>
      <c r="O14" t="s">
        <v>888</v>
      </c>
      <c r="P14" t="s">
        <v>625</v>
      </c>
      <c r="Q14" s="480">
        <v>86668</v>
      </c>
      <c r="R14" s="480">
        <v>94706</v>
      </c>
      <c r="S14" s="480">
        <v>94854</v>
      </c>
      <c r="T14" s="478">
        <f>R14/Q14</f>
        <v>1.0927447270041999</v>
      </c>
      <c r="U14" s="478">
        <f>S14/Q14</f>
        <v>1.0944523930401071</v>
      </c>
      <c r="V14" s="478"/>
      <c r="W14" s="478"/>
    </row>
    <row r="15" spans="1:23" x14ac:dyDescent="0.25">
      <c r="A15" s="11" t="s">
        <v>514</v>
      </c>
      <c r="B15" s="16"/>
      <c r="C15" s="19">
        <v>129487.84757606639</v>
      </c>
      <c r="D15" s="17">
        <f t="shared" si="0"/>
        <v>18320.147467881456</v>
      </c>
      <c r="E15" s="471">
        <f t="shared" si="1"/>
        <v>42.612393264440954</v>
      </c>
      <c r="F15" s="18"/>
      <c r="G15" s="19">
        <v>138490</v>
      </c>
      <c r="H15" s="17">
        <f t="shared" si="2"/>
        <v>19593.786369307545</v>
      </c>
      <c r="I15" s="471">
        <f t="shared" si="3"/>
        <v>45.574858596098856</v>
      </c>
      <c r="J15" s="18"/>
      <c r="K15" s="21">
        <v>3206</v>
      </c>
      <c r="O15" t="s">
        <v>834</v>
      </c>
      <c r="P15" t="s">
        <v>625</v>
      </c>
      <c r="Q15" s="480"/>
      <c r="R15" s="480"/>
      <c r="S15" s="480"/>
      <c r="T15" s="478">
        <f>$I$19/$E$19</f>
        <v>1.1388646288209607</v>
      </c>
      <c r="U15" s="478">
        <f>$I$19/$E$19</f>
        <v>1.1388646288209607</v>
      </c>
      <c r="V15" s="478"/>
      <c r="W15" s="478"/>
    </row>
    <row r="16" spans="1:23" x14ac:dyDescent="0.25">
      <c r="A16" s="11" t="s">
        <v>858</v>
      </c>
      <c r="B16" s="16"/>
      <c r="C16" s="19">
        <v>116920</v>
      </c>
      <c r="D16" s="17">
        <f t="shared" si="0"/>
        <v>19320.124881602911</v>
      </c>
      <c r="E16" s="471">
        <f t="shared" si="1"/>
        <v>44.938326005089621</v>
      </c>
      <c r="F16" s="18"/>
      <c r="G16" s="19">
        <v>125080</v>
      </c>
      <c r="H16" s="17">
        <f t="shared" si="2"/>
        <v>20668.501712204008</v>
      </c>
      <c r="I16" s="471">
        <f t="shared" si="3"/>
        <v>48.074630659567319</v>
      </c>
      <c r="J16" s="18"/>
      <c r="K16" s="22">
        <v>2745</v>
      </c>
      <c r="O16" t="s">
        <v>893</v>
      </c>
      <c r="P16" t="s">
        <v>625</v>
      </c>
      <c r="Q16" s="480">
        <v>116090</v>
      </c>
      <c r="R16" s="480">
        <f>5194000/42</f>
        <v>123666.66666666667</v>
      </c>
      <c r="S16" s="480">
        <f>5218000/42</f>
        <v>124238.09523809524</v>
      </c>
      <c r="T16" s="478">
        <f>R16/Q16</f>
        <v>1.0652654549631033</v>
      </c>
      <c r="U16" s="478">
        <f>S16/Q16</f>
        <v>1.0701877443198831</v>
      </c>
      <c r="V16" s="478"/>
      <c r="W16" s="478"/>
    </row>
    <row r="17" spans="1:23" x14ac:dyDescent="0.25">
      <c r="A17" s="11" t="s">
        <v>859</v>
      </c>
      <c r="B17" s="16"/>
      <c r="C17" s="19">
        <v>111520</v>
      </c>
      <c r="D17" s="17">
        <f t="shared" si="0"/>
        <v>19081.236061863448</v>
      </c>
      <c r="E17" s="471">
        <f t="shared" si="1"/>
        <v>44.382674127774621</v>
      </c>
      <c r="F17" s="18"/>
      <c r="G17" s="19">
        <v>119740</v>
      </c>
      <c r="H17" s="17">
        <f t="shared" si="2"/>
        <v>20487.69015465862</v>
      </c>
      <c r="I17" s="471">
        <f t="shared" si="3"/>
        <v>47.654065638986118</v>
      </c>
      <c r="J17" s="18"/>
      <c r="K17" s="21">
        <v>2651</v>
      </c>
      <c r="O17" t="s">
        <v>835</v>
      </c>
      <c r="P17" t="s">
        <v>624</v>
      </c>
      <c r="Q17" s="480">
        <v>16811000</v>
      </c>
      <c r="R17" s="480">
        <v>17200000</v>
      </c>
      <c r="S17" s="480">
        <v>17200000</v>
      </c>
      <c r="T17" s="478">
        <f>R17/Q17</f>
        <v>1.0231396109690083</v>
      </c>
      <c r="U17" s="478">
        <f>S17/Q17</f>
        <v>1.0231396109690083</v>
      </c>
      <c r="V17" s="478"/>
      <c r="W17" s="478"/>
    </row>
    <row r="18" spans="1:23" x14ac:dyDescent="0.25">
      <c r="A18" s="11" t="s">
        <v>860</v>
      </c>
      <c r="B18" s="16"/>
      <c r="C18" s="19">
        <v>140352.52220119376</v>
      </c>
      <c r="D18" s="17">
        <f t="shared" si="0"/>
        <v>16967.617416108602</v>
      </c>
      <c r="E18" s="471">
        <f t="shared" si="1"/>
        <v>39.466428278669781</v>
      </c>
      <c r="F18" s="18"/>
      <c r="G18" s="19">
        <v>150110</v>
      </c>
      <c r="H18" s="17">
        <f t="shared" si="2"/>
        <v>18147.226785714287</v>
      </c>
      <c r="I18" s="471">
        <f t="shared" si="3"/>
        <v>42.210182303804245</v>
      </c>
      <c r="J18" s="18"/>
      <c r="K18" s="21">
        <v>3752</v>
      </c>
      <c r="O18" t="s">
        <v>836</v>
      </c>
      <c r="P18" t="s">
        <v>626</v>
      </c>
      <c r="Q18" s="481">
        <v>2.8300000000000001E-3</v>
      </c>
      <c r="R18" s="480"/>
      <c r="S18" s="480"/>
      <c r="T18" s="478">
        <v>1</v>
      </c>
      <c r="U18" s="478">
        <v>1</v>
      </c>
      <c r="V18" s="478"/>
      <c r="W18" s="478"/>
    </row>
    <row r="19" spans="1:23" x14ac:dyDescent="0.25">
      <c r="A19" s="11" t="s">
        <v>308</v>
      </c>
      <c r="B19" s="23"/>
      <c r="C19" s="19">
        <v>57250</v>
      </c>
      <c r="D19" s="17">
        <f t="shared" si="0"/>
        <v>8638.7317032601459</v>
      </c>
      <c r="E19" s="471">
        <f t="shared" si="1"/>
        <v>20.093562745097504</v>
      </c>
      <c r="F19" s="18"/>
      <c r="G19" s="19">
        <v>65200</v>
      </c>
      <c r="H19" s="17">
        <f t="shared" si="2"/>
        <v>9838.345974717231</v>
      </c>
      <c r="I19" s="471">
        <f t="shared" si="3"/>
        <v>22.883847877386152</v>
      </c>
      <c r="J19" s="18"/>
      <c r="K19" s="22">
        <v>3006</v>
      </c>
      <c r="Q19" s="478"/>
      <c r="R19" s="478"/>
      <c r="S19" s="478"/>
      <c r="T19" s="478"/>
      <c r="U19" s="478"/>
      <c r="V19" s="478"/>
      <c r="W19" s="478"/>
    </row>
    <row r="20" spans="1:23" x14ac:dyDescent="0.25">
      <c r="A20" s="11" t="s">
        <v>309</v>
      </c>
      <c r="B20" s="23"/>
      <c r="C20" s="19">
        <v>76330</v>
      </c>
      <c r="D20" s="17">
        <f t="shared" si="0"/>
        <v>11587.19032797858</v>
      </c>
      <c r="E20" s="471">
        <f t="shared" si="1"/>
        <v>26.95163409308779</v>
      </c>
      <c r="F20" s="18"/>
      <c r="G20" s="19">
        <v>84530</v>
      </c>
      <c r="H20" s="17">
        <f t="shared" si="2"/>
        <v>12831.982161981257</v>
      </c>
      <c r="I20" s="471">
        <f t="shared" si="3"/>
        <v>29.847001570663057</v>
      </c>
      <c r="J20" s="18"/>
      <c r="K20" s="22">
        <v>2988</v>
      </c>
      <c r="Q20" s="478"/>
      <c r="R20" s="478"/>
      <c r="S20" s="478"/>
      <c r="T20" s="478"/>
      <c r="U20" s="478"/>
      <c r="V20" s="478"/>
      <c r="W20" s="478"/>
    </row>
    <row r="21" spans="1:23" x14ac:dyDescent="0.25">
      <c r="A21" s="11" t="s">
        <v>941</v>
      </c>
      <c r="B21" s="23"/>
      <c r="C21" s="19">
        <v>99837</v>
      </c>
      <c r="D21" s="17">
        <f t="shared" si="0"/>
        <v>14774.898802610114</v>
      </c>
      <c r="E21" s="471">
        <f t="shared" si="1"/>
        <v>34.366197069261162</v>
      </c>
      <c r="F21" s="18"/>
      <c r="G21" s="19">
        <v>108458</v>
      </c>
      <c r="H21" s="17">
        <f t="shared" si="2"/>
        <v>16050.722420880913</v>
      </c>
      <c r="I21" s="471">
        <f t="shared" si="3"/>
        <v>37.33374402013208</v>
      </c>
      <c r="J21" s="18"/>
      <c r="K21" s="22">
        <v>3065</v>
      </c>
      <c r="Q21" s="478"/>
      <c r="R21" s="478"/>
      <c r="S21" s="478"/>
      <c r="T21" s="478"/>
      <c r="U21" s="478"/>
      <c r="V21" s="478"/>
      <c r="W21" s="478"/>
    </row>
    <row r="22" spans="1:23" x14ac:dyDescent="0.25">
      <c r="A22" s="11" t="s">
        <v>942</v>
      </c>
      <c r="B22" s="23"/>
      <c r="C22" s="19">
        <v>83127</v>
      </c>
      <c r="D22" s="17">
        <f t="shared" si="0"/>
        <v>12721.179463562754</v>
      </c>
      <c r="E22" s="471">
        <f t="shared" si="1"/>
        <v>29.589276125600549</v>
      </c>
      <c r="F22" s="18"/>
      <c r="G22" s="19">
        <v>89511</v>
      </c>
      <c r="H22" s="17">
        <f t="shared" si="2"/>
        <v>13698.142540485829</v>
      </c>
      <c r="I22" s="471">
        <f t="shared" si="3"/>
        <v>31.861677857719279</v>
      </c>
      <c r="J22" s="18"/>
      <c r="K22" s="22">
        <v>2964</v>
      </c>
      <c r="Q22" s="478"/>
      <c r="R22" s="478"/>
      <c r="S22" s="478"/>
      <c r="T22" s="478"/>
      <c r="U22" s="478"/>
      <c r="V22" s="478"/>
      <c r="W22" s="478"/>
    </row>
    <row r="23" spans="1:23" x14ac:dyDescent="0.25">
      <c r="A23" s="11" t="s">
        <v>861</v>
      </c>
      <c r="B23" s="23"/>
      <c r="C23" s="19">
        <v>116090</v>
      </c>
      <c r="D23" s="17">
        <f t="shared" si="0"/>
        <v>18679.412238382403</v>
      </c>
      <c r="E23" s="471">
        <f t="shared" si="1"/>
        <v>43.448037830811678</v>
      </c>
      <c r="F23" s="18"/>
      <c r="G23" s="19">
        <v>124340</v>
      </c>
      <c r="H23" s="17">
        <f t="shared" si="2"/>
        <v>20006.874991131608</v>
      </c>
      <c r="I23" s="471">
        <f t="shared" si="3"/>
        <v>46.535696648144757</v>
      </c>
      <c r="J23" s="18"/>
      <c r="K23" s="22">
        <v>2819</v>
      </c>
      <c r="Q23" s="478"/>
      <c r="R23" s="478"/>
      <c r="S23" s="478"/>
      <c r="T23" s="478"/>
      <c r="U23" s="478"/>
      <c r="V23" s="478"/>
      <c r="W23" s="478"/>
    </row>
    <row r="24" spans="1:23" x14ac:dyDescent="0.25">
      <c r="A24" s="11" t="s">
        <v>862</v>
      </c>
      <c r="B24" s="23"/>
      <c r="C24" s="19">
        <v>84950</v>
      </c>
      <c r="D24" s="17">
        <f t="shared" si="0"/>
        <v>20037.686167446696</v>
      </c>
      <c r="E24" s="471">
        <f t="shared" si="1"/>
        <v>46.607362990589891</v>
      </c>
      <c r="F24" s="18"/>
      <c r="G24" s="19">
        <v>91410</v>
      </c>
      <c r="H24" s="17">
        <f t="shared" si="2"/>
        <v>21561.446645865835</v>
      </c>
      <c r="I24" s="471">
        <f t="shared" si="3"/>
        <v>50.151607427543532</v>
      </c>
      <c r="J24" s="18"/>
      <c r="K24" s="22">
        <v>1923</v>
      </c>
      <c r="Q24" s="478"/>
      <c r="R24" s="478"/>
      <c r="S24" s="478"/>
      <c r="T24" s="478"/>
      <c r="U24" s="478"/>
      <c r="V24" s="478"/>
      <c r="W24" s="478"/>
    </row>
    <row r="25" spans="1:23" x14ac:dyDescent="0.25">
      <c r="A25" s="11" t="s">
        <v>863</v>
      </c>
      <c r="B25" s="23"/>
      <c r="C25" s="19">
        <v>74720</v>
      </c>
      <c r="D25" s="17">
        <f t="shared" si="0"/>
        <v>20908.23244910549</v>
      </c>
      <c r="E25" s="471">
        <f t="shared" si="1"/>
        <v>48.632240823804793</v>
      </c>
      <c r="F25" s="18"/>
      <c r="G25" s="19">
        <v>84820</v>
      </c>
      <c r="H25" s="17">
        <f t="shared" si="2"/>
        <v>23734.425539790249</v>
      </c>
      <c r="I25" s="471">
        <f t="shared" si="3"/>
        <v>55.205924339870478</v>
      </c>
      <c r="J25" s="18"/>
      <c r="K25" s="22">
        <v>1621</v>
      </c>
      <c r="Q25" s="478"/>
      <c r="R25" s="478"/>
      <c r="S25" s="478"/>
      <c r="T25" s="478"/>
      <c r="U25" s="478"/>
      <c r="V25" s="478"/>
      <c r="W25" s="478"/>
    </row>
    <row r="26" spans="1:23" x14ac:dyDescent="0.25">
      <c r="A26" s="11" t="s">
        <v>864</v>
      </c>
      <c r="B26" s="23"/>
      <c r="C26" s="19">
        <v>68930</v>
      </c>
      <c r="D26" s="17">
        <f t="shared" si="0"/>
        <v>12416.981215250198</v>
      </c>
      <c r="E26" s="471">
        <f t="shared" si="1"/>
        <v>28.881715479040551</v>
      </c>
      <c r="F26" s="18"/>
      <c r="G26" s="19">
        <v>75610</v>
      </c>
      <c r="H26" s="17">
        <f t="shared" si="2"/>
        <v>13620.3097299444</v>
      </c>
      <c r="I26" s="471">
        <f t="shared" si="3"/>
        <v>31.680639886410216</v>
      </c>
      <c r="J26" s="18"/>
      <c r="K26" s="22">
        <v>2518</v>
      </c>
      <c r="Q26" s="478"/>
      <c r="R26" s="478"/>
      <c r="S26" s="478"/>
      <c r="T26" s="478"/>
      <c r="U26" s="478"/>
      <c r="V26" s="478"/>
      <c r="W26" s="478"/>
    </row>
    <row r="27" spans="1:23" x14ac:dyDescent="0.25">
      <c r="A27" s="11" t="s">
        <v>865</v>
      </c>
      <c r="B27" s="23"/>
      <c r="C27" s="19">
        <v>72200</v>
      </c>
      <c r="D27" s="17">
        <f t="shared" si="0"/>
        <v>10061.197542242702</v>
      </c>
      <c r="E27" s="471">
        <f t="shared" si="1"/>
        <v>23.402197342183918</v>
      </c>
      <c r="F27" s="18"/>
      <c r="G27" s="19">
        <v>79196.89540113158</v>
      </c>
      <c r="H27" s="17">
        <f t="shared" si="2"/>
        <v>11036.227276497471</v>
      </c>
      <c r="I27" s="471">
        <f t="shared" si="3"/>
        <v>25.670102147722705</v>
      </c>
      <c r="J27" s="18"/>
      <c r="K27" s="22">
        <v>3255</v>
      </c>
      <c r="Q27" s="478"/>
      <c r="R27" s="478"/>
      <c r="S27" s="478"/>
      <c r="T27" s="478"/>
      <c r="U27" s="478"/>
      <c r="V27" s="478"/>
      <c r="W27" s="478"/>
    </row>
    <row r="28" spans="1:23" x14ac:dyDescent="0.25">
      <c r="A28" s="11" t="s">
        <v>866</v>
      </c>
      <c r="B28" s="23"/>
      <c r="C28" s="19">
        <v>119550</v>
      </c>
      <c r="D28" s="17">
        <f t="shared" si="0"/>
        <v>16134.09238321928</v>
      </c>
      <c r="E28" s="471">
        <f t="shared" si="1"/>
        <v>37.527661324991804</v>
      </c>
      <c r="F28" s="18"/>
      <c r="G28" s="19">
        <v>127960</v>
      </c>
      <c r="H28" s="17">
        <f t="shared" si="2"/>
        <v>17269.079559654863</v>
      </c>
      <c r="I28" s="471">
        <f t="shared" si="3"/>
        <v>40.167624785829787</v>
      </c>
      <c r="J28" s="18"/>
      <c r="K28" s="22">
        <v>3361</v>
      </c>
      <c r="Q28" s="478"/>
      <c r="R28" s="478"/>
      <c r="S28" s="478"/>
      <c r="T28" s="478"/>
      <c r="U28" s="478"/>
      <c r="V28" s="478"/>
      <c r="W28" s="478"/>
    </row>
    <row r="29" spans="1:23" x14ac:dyDescent="0.25">
      <c r="A29" s="11" t="s">
        <v>867</v>
      </c>
      <c r="B29" s="23"/>
      <c r="C29" s="19">
        <v>123670</v>
      </c>
      <c r="D29" s="17">
        <f t="shared" si="0"/>
        <v>18593.130692741131</v>
      </c>
      <c r="E29" s="471">
        <f t="shared" si="1"/>
        <v>43.247348226059557</v>
      </c>
      <c r="F29" s="18"/>
      <c r="G29" s="19">
        <v>130030</v>
      </c>
      <c r="H29" s="17">
        <f t="shared" si="2"/>
        <v>19549.323069274113</v>
      </c>
      <c r="I29" s="471">
        <f t="shared" si="3"/>
        <v>45.471437614898726</v>
      </c>
      <c r="J29" s="18"/>
      <c r="K29" s="22">
        <v>3017</v>
      </c>
      <c r="Q29" s="478"/>
      <c r="R29" s="478"/>
      <c r="S29" s="478"/>
      <c r="T29" s="478"/>
      <c r="U29" s="478"/>
      <c r="V29" s="478"/>
      <c r="W29" s="478"/>
    </row>
    <row r="30" spans="1:23" x14ac:dyDescent="0.25">
      <c r="A30" s="11" t="s">
        <v>943</v>
      </c>
      <c r="B30" s="23"/>
      <c r="C30" s="19">
        <v>117059</v>
      </c>
      <c r="D30" s="17">
        <f t="shared" si="0"/>
        <v>18729.027093474426</v>
      </c>
      <c r="E30" s="471">
        <f t="shared" si="1"/>
        <v>43.563441253226593</v>
      </c>
      <c r="F30" s="18"/>
      <c r="G30" s="19">
        <v>125294</v>
      </c>
      <c r="H30" s="17">
        <f t="shared" si="2"/>
        <v>20046.598045855379</v>
      </c>
      <c r="I30" s="471">
        <f t="shared" si="3"/>
        <v>46.628091888549989</v>
      </c>
      <c r="J30" s="18"/>
      <c r="K30" s="22">
        <v>2835</v>
      </c>
      <c r="Q30" s="478"/>
      <c r="R30" s="478"/>
      <c r="S30" s="478"/>
      <c r="T30" s="478"/>
      <c r="U30" s="478"/>
      <c r="V30" s="478"/>
      <c r="W30" s="478"/>
    </row>
    <row r="31" spans="1:23" x14ac:dyDescent="0.25">
      <c r="A31" s="11" t="s">
        <v>944</v>
      </c>
      <c r="B31" s="23"/>
      <c r="C31" s="19">
        <v>122887</v>
      </c>
      <c r="D31" s="17">
        <f t="shared" si="0"/>
        <v>18907.840681818183</v>
      </c>
      <c r="E31" s="471">
        <f t="shared" si="1"/>
        <v>43.979359026862895</v>
      </c>
      <c r="F31" s="18"/>
      <c r="G31" s="19">
        <v>130817</v>
      </c>
      <c r="H31" s="17">
        <f t="shared" si="2"/>
        <v>20127.979318181817</v>
      </c>
      <c r="I31" s="471">
        <f t="shared" si="3"/>
        <v>46.817383529723436</v>
      </c>
      <c r="J31" s="18"/>
      <c r="K31" s="22">
        <v>2948</v>
      </c>
      <c r="Q31" s="478"/>
      <c r="R31" s="478"/>
      <c r="S31" s="478"/>
      <c r="T31" s="478"/>
      <c r="U31" s="478"/>
      <c r="V31" s="478"/>
      <c r="W31" s="478"/>
    </row>
    <row r="32" spans="1:23" x14ac:dyDescent="0.25">
      <c r="A32" s="11" t="s">
        <v>945</v>
      </c>
      <c r="B32" s="23"/>
      <c r="C32" s="19">
        <v>115983</v>
      </c>
      <c r="D32" s="17">
        <f t="shared" si="0"/>
        <v>18589.656879858656</v>
      </c>
      <c r="E32" s="471">
        <f t="shared" si="1"/>
        <v>43.23926818844334</v>
      </c>
      <c r="F32" s="18"/>
      <c r="G32" s="19">
        <v>124230</v>
      </c>
      <c r="H32" s="17">
        <f t="shared" si="2"/>
        <v>19911.479045936394</v>
      </c>
      <c r="I32" s="471">
        <f t="shared" si="3"/>
        <v>46.313807084230582</v>
      </c>
      <c r="J32" s="18"/>
      <c r="K32" s="22">
        <v>2830</v>
      </c>
      <c r="Q32" s="478"/>
      <c r="R32" s="478"/>
      <c r="S32" s="478"/>
      <c r="T32" s="478"/>
      <c r="U32" s="478"/>
      <c r="V32" s="478"/>
      <c r="W32" s="478"/>
    </row>
    <row r="33" spans="1:23" x14ac:dyDescent="0.25">
      <c r="A33" s="11" t="s">
        <v>868</v>
      </c>
      <c r="B33" s="23"/>
      <c r="C33" s="19">
        <v>30500</v>
      </c>
      <c r="D33" s="17">
        <f t="shared" si="0"/>
        <v>51621.249999999993</v>
      </c>
      <c r="E33" s="474">
        <f t="shared" si="1"/>
        <v>120.070267428715</v>
      </c>
      <c r="F33" s="18"/>
      <c r="G33" s="19">
        <v>36020</v>
      </c>
      <c r="H33" s="17">
        <f t="shared" si="2"/>
        <v>60963.849999999991</v>
      </c>
      <c r="I33" s="474">
        <f t="shared" si="3"/>
        <v>141.80101746827262</v>
      </c>
      <c r="J33" s="18"/>
      <c r="K33" s="22">
        <v>268</v>
      </c>
      <c r="Q33" s="478"/>
      <c r="R33" s="478"/>
      <c r="S33" s="478"/>
      <c r="T33" s="478"/>
      <c r="U33" s="478"/>
      <c r="V33" s="478"/>
      <c r="W33" s="478"/>
    </row>
    <row r="34" spans="1:23" x14ac:dyDescent="0.25">
      <c r="A34" s="11" t="s">
        <v>869</v>
      </c>
      <c r="B34" s="23"/>
      <c r="C34" s="19">
        <v>93540</v>
      </c>
      <c r="D34" s="17">
        <f t="shared" si="0"/>
        <v>15093.848665955175</v>
      </c>
      <c r="E34" s="471">
        <f t="shared" si="1"/>
        <v>35.108069755183983</v>
      </c>
      <c r="F34" s="18"/>
      <c r="G34" s="19">
        <v>101130</v>
      </c>
      <c r="H34" s="17">
        <f t="shared" si="2"/>
        <v>16318.59007470651</v>
      </c>
      <c r="I34" s="471">
        <f t="shared" si="3"/>
        <v>37.95680023884708</v>
      </c>
      <c r="J34" s="18"/>
      <c r="K34" s="22">
        <v>2811</v>
      </c>
      <c r="Q34" s="478"/>
      <c r="R34" s="478"/>
      <c r="S34" s="478"/>
      <c r="T34" s="478"/>
      <c r="U34" s="478"/>
      <c r="V34" s="478"/>
      <c r="W34" s="478"/>
    </row>
    <row r="35" spans="1:23" x14ac:dyDescent="0.25">
      <c r="A35" s="11" t="s">
        <v>870</v>
      </c>
      <c r="B35" s="16"/>
      <c r="C35" s="19">
        <v>96720</v>
      </c>
      <c r="D35" s="17">
        <f t="shared" si="0"/>
        <v>15612.535516014234</v>
      </c>
      <c r="E35" s="471">
        <f t="shared" si="1"/>
        <v>36.314527731276172</v>
      </c>
      <c r="F35" s="18"/>
      <c r="G35" s="19">
        <v>104530</v>
      </c>
      <c r="H35" s="17">
        <f t="shared" si="2"/>
        <v>16873.225160142349</v>
      </c>
      <c r="I35" s="471">
        <f t="shared" si="3"/>
        <v>39.246873281123854</v>
      </c>
      <c r="J35" s="18"/>
      <c r="K35" s="21">
        <v>2810</v>
      </c>
      <c r="Q35" s="478"/>
      <c r="R35" s="478"/>
      <c r="S35" s="478"/>
      <c r="T35" s="478"/>
      <c r="U35" s="478"/>
      <c r="V35" s="478"/>
      <c r="W35" s="478"/>
    </row>
    <row r="36" spans="1:23" x14ac:dyDescent="0.25">
      <c r="A36" s="11" t="s">
        <v>871</v>
      </c>
      <c r="B36" s="16"/>
      <c r="C36" s="19">
        <v>100480</v>
      </c>
      <c r="D36" s="17">
        <f t="shared" si="0"/>
        <v>15645.974322004806</v>
      </c>
      <c r="E36" s="471">
        <f t="shared" si="1"/>
        <v>36.392305901657274</v>
      </c>
      <c r="F36" s="18"/>
      <c r="G36" s="19">
        <v>108570</v>
      </c>
      <c r="H36" s="17">
        <f t="shared" si="2"/>
        <v>16905.687023686918</v>
      </c>
      <c r="I36" s="471">
        <f t="shared" si="3"/>
        <v>39.322379097760042</v>
      </c>
      <c r="J36" s="18"/>
      <c r="K36" s="21">
        <v>2913</v>
      </c>
      <c r="Q36" s="478"/>
      <c r="R36" s="478"/>
      <c r="S36" s="478"/>
      <c r="T36" s="478"/>
      <c r="U36" s="478"/>
      <c r="V36" s="478"/>
      <c r="W36" s="478"/>
    </row>
    <row r="37" spans="1:23" x14ac:dyDescent="0.25">
      <c r="A37" s="11" t="s">
        <v>872</v>
      </c>
      <c r="B37" s="16"/>
      <c r="C37" s="19">
        <v>94970</v>
      </c>
      <c r="D37" s="17">
        <f t="shared" si="0"/>
        <v>19465.631405332126</v>
      </c>
      <c r="E37" s="471">
        <f t="shared" si="1"/>
        <v>45.27677203684572</v>
      </c>
      <c r="F37" s="18"/>
      <c r="G37" s="19">
        <v>103220</v>
      </c>
      <c r="H37" s="17">
        <f t="shared" si="2"/>
        <v>21156.601807501127</v>
      </c>
      <c r="I37" s="471">
        <f t="shared" si="3"/>
        <v>49.209944294442614</v>
      </c>
      <c r="J37" s="18"/>
      <c r="K37" s="21">
        <v>2213</v>
      </c>
      <c r="Q37" s="478"/>
      <c r="R37" s="478"/>
      <c r="S37" s="478"/>
      <c r="T37" s="478"/>
      <c r="U37" s="478"/>
      <c r="V37" s="478"/>
      <c r="W37" s="478"/>
    </row>
    <row r="38" spans="1:23" x14ac:dyDescent="0.25">
      <c r="A38" s="11" t="s">
        <v>873</v>
      </c>
      <c r="B38" s="16"/>
      <c r="C38" s="19">
        <v>90060</v>
      </c>
      <c r="D38" s="17">
        <f t="shared" si="0"/>
        <v>19287.212181303115</v>
      </c>
      <c r="E38" s="471">
        <f t="shared" si="1"/>
        <v>44.861771548798892</v>
      </c>
      <c r="F38" s="18"/>
      <c r="G38" s="19">
        <v>98560</v>
      </c>
      <c r="H38" s="17">
        <f t="shared" si="2"/>
        <v>21107.568649669498</v>
      </c>
      <c r="I38" s="471">
        <f t="shared" si="3"/>
        <v>49.095893891290459</v>
      </c>
      <c r="J38" s="18"/>
      <c r="K38" s="21">
        <v>2118</v>
      </c>
      <c r="Q38" s="478"/>
      <c r="R38" s="478"/>
      <c r="S38" s="478"/>
      <c r="T38" s="478"/>
      <c r="U38" s="478"/>
      <c r="V38" s="478"/>
      <c r="W38" s="478"/>
    </row>
    <row r="39" spans="1:23" x14ac:dyDescent="0.25">
      <c r="A39" s="11" t="s">
        <v>874</v>
      </c>
      <c r="B39" s="16"/>
      <c r="C39" s="19">
        <v>95720</v>
      </c>
      <c r="D39" s="17">
        <f t="shared" si="0"/>
        <v>19271.031868619615</v>
      </c>
      <c r="E39" s="471">
        <f t="shared" si="1"/>
        <v>44.824136379735997</v>
      </c>
      <c r="F39" s="18"/>
      <c r="G39" s="19">
        <v>103010</v>
      </c>
      <c r="H39" s="17">
        <f t="shared" si="2"/>
        <v>20738.706569019083</v>
      </c>
      <c r="I39" s="471">
        <f t="shared" si="3"/>
        <v>48.237926122822877</v>
      </c>
      <c r="J39" s="18"/>
      <c r="K39" s="21">
        <v>2253</v>
      </c>
      <c r="Q39" s="478"/>
      <c r="R39" s="478"/>
      <c r="S39" s="478"/>
      <c r="T39" s="478"/>
      <c r="U39" s="478"/>
      <c r="V39" s="478"/>
      <c r="W39" s="478"/>
    </row>
    <row r="40" spans="1:23" x14ac:dyDescent="0.25">
      <c r="A40" s="11" t="s">
        <v>310</v>
      </c>
      <c r="B40" s="16"/>
      <c r="C40" s="19">
        <v>84250</v>
      </c>
      <c r="D40" s="17">
        <f t="shared" si="0"/>
        <v>19903.623697916668</v>
      </c>
      <c r="E40" s="471">
        <f t="shared" si="1"/>
        <v>46.295535660398848</v>
      </c>
      <c r="F40" s="18"/>
      <c r="G40" s="19">
        <v>91420</v>
      </c>
      <c r="H40" s="17">
        <f t="shared" si="2"/>
        <v>21597.498854166668</v>
      </c>
      <c r="I40" s="471">
        <f t="shared" si="3"/>
        <v>50.235464333218552</v>
      </c>
      <c r="J40" s="18"/>
      <c r="K40" s="21">
        <v>1920</v>
      </c>
      <c r="Q40" s="478"/>
      <c r="R40" s="478"/>
      <c r="S40" s="478"/>
      <c r="T40" s="478"/>
      <c r="U40" s="478"/>
      <c r="V40" s="478"/>
      <c r="W40" s="478"/>
    </row>
    <row r="41" spans="1:23" x14ac:dyDescent="0.25">
      <c r="A41" s="7" t="s">
        <v>311</v>
      </c>
      <c r="B41" s="8"/>
      <c r="C41" s="9" t="s">
        <v>312</v>
      </c>
      <c r="D41" s="9" t="s">
        <v>313</v>
      </c>
      <c r="E41" s="9" t="s">
        <v>304</v>
      </c>
      <c r="F41" s="9"/>
      <c r="G41" s="9" t="s">
        <v>312</v>
      </c>
      <c r="H41" s="9" t="s">
        <v>313</v>
      </c>
      <c r="I41" s="9" t="s">
        <v>304</v>
      </c>
      <c r="J41" s="9"/>
      <c r="K41" s="10"/>
      <c r="Q41" s="478"/>
      <c r="R41" s="478"/>
      <c r="S41" s="478"/>
      <c r="T41" s="478"/>
      <c r="U41" s="478"/>
      <c r="V41" s="478"/>
      <c r="W41" s="478"/>
    </row>
    <row r="42" spans="1:23" x14ac:dyDescent="0.25">
      <c r="A42" s="15" t="s">
        <v>875</v>
      </c>
      <c r="B42" s="16"/>
      <c r="C42" s="24">
        <v>19546300</v>
      </c>
      <c r="D42" s="17">
        <f t="shared" ref="D42:D50" si="4">C42/2000</f>
        <v>9773.15</v>
      </c>
      <c r="E42" s="471">
        <f t="shared" ref="E42:E50" si="5">D42*1.05506/1000*2.2046</f>
        <v>22.7322030001394</v>
      </c>
      <c r="F42" s="18"/>
      <c r="G42" s="19">
        <v>20608570</v>
      </c>
      <c r="H42" s="17">
        <f>G42/2000</f>
        <v>10304.285</v>
      </c>
      <c r="I42" s="471">
        <f t="shared" ref="I42:I50" si="6">H42*1.05506/1000*2.2046</f>
        <v>23.967615189707661</v>
      </c>
      <c r="J42" s="18"/>
      <c r="K42" s="22"/>
      <c r="Q42" s="478"/>
      <c r="R42" s="478"/>
      <c r="S42" s="478"/>
      <c r="T42" s="478"/>
      <c r="U42" s="478"/>
      <c r="V42" s="478"/>
      <c r="W42" s="478"/>
    </row>
    <row r="43" spans="1:23" x14ac:dyDescent="0.25">
      <c r="A43" s="15" t="s">
        <v>876</v>
      </c>
      <c r="B43" s="16"/>
      <c r="C43" s="24">
        <v>22460600</v>
      </c>
      <c r="D43" s="17">
        <f t="shared" si="4"/>
        <v>11230.3</v>
      </c>
      <c r="E43" s="471">
        <f t="shared" si="5"/>
        <v>26.121512445062798</v>
      </c>
      <c r="F43" s="18"/>
      <c r="G43" s="19">
        <v>23445900</v>
      </c>
      <c r="H43" s="17">
        <f t="shared" ref="H43:H50" si="7">G43/2000</f>
        <v>11722.95</v>
      </c>
      <c r="I43" s="471">
        <f t="shared" si="6"/>
        <v>27.267409091284208</v>
      </c>
      <c r="J43" s="18"/>
      <c r="K43" s="22"/>
      <c r="Q43" s="478"/>
      <c r="R43" s="478"/>
      <c r="S43" s="478"/>
      <c r="T43" s="478"/>
      <c r="U43" s="478"/>
      <c r="V43" s="478"/>
      <c r="W43" s="478"/>
    </row>
    <row r="44" spans="1:23" x14ac:dyDescent="0.25">
      <c r="A44" s="11" t="s">
        <v>877</v>
      </c>
      <c r="B44" s="12"/>
      <c r="C44" s="24">
        <v>24600497.144575384</v>
      </c>
      <c r="D44" s="17">
        <f t="shared" si="4"/>
        <v>12300.248572287692</v>
      </c>
      <c r="E44" s="471">
        <f t="shared" si="5"/>
        <v>28.610197070281195</v>
      </c>
      <c r="F44" s="18"/>
      <c r="G44" s="19">
        <v>25679670</v>
      </c>
      <c r="H44" s="17">
        <f t="shared" si="7"/>
        <v>12839.834999999999</v>
      </c>
      <c r="I44" s="471">
        <f t="shared" si="6"/>
        <v>29.865267156269461</v>
      </c>
      <c r="J44" s="18"/>
      <c r="K44" s="22"/>
    </row>
    <row r="45" spans="1:23" x14ac:dyDescent="0.25">
      <c r="A45" s="15" t="s">
        <v>878</v>
      </c>
      <c r="B45" s="16"/>
      <c r="C45" s="24">
        <v>16811000</v>
      </c>
      <c r="D45" s="17">
        <f t="shared" si="4"/>
        <v>8405.5</v>
      </c>
      <c r="E45" s="471">
        <f t="shared" si="5"/>
        <v>19.551069237418005</v>
      </c>
      <c r="F45" s="18"/>
      <c r="G45" s="19">
        <v>17703170</v>
      </c>
      <c r="H45" s="17">
        <f t="shared" si="7"/>
        <v>8851.5849999999991</v>
      </c>
      <c r="I45" s="471">
        <f t="shared" si="6"/>
        <v>20.588656379262464</v>
      </c>
      <c r="J45" s="18"/>
      <c r="K45" s="22"/>
    </row>
    <row r="46" spans="1:23" x14ac:dyDescent="0.25">
      <c r="A46" s="15" t="s">
        <v>879</v>
      </c>
      <c r="B46" s="16"/>
      <c r="C46" s="24">
        <v>14797554.763920812</v>
      </c>
      <c r="D46" s="17">
        <f t="shared" si="4"/>
        <v>7398.7773819604063</v>
      </c>
      <c r="E46" s="471">
        <f t="shared" si="5"/>
        <v>17.209447250841734</v>
      </c>
      <c r="F46" s="18"/>
      <c r="G46" s="19">
        <v>15582870</v>
      </c>
      <c r="H46" s="17">
        <f t="shared" si="7"/>
        <v>7791.4350000000004</v>
      </c>
      <c r="I46" s="471">
        <f t="shared" si="6"/>
        <v>18.122763088911064</v>
      </c>
      <c r="J46" s="18"/>
      <c r="K46" s="22"/>
    </row>
    <row r="47" spans="1:23" x14ac:dyDescent="0.25">
      <c r="A47" s="15" t="s">
        <v>880</v>
      </c>
      <c r="B47" s="16"/>
      <c r="C47" s="24">
        <v>14075990</v>
      </c>
      <c r="D47" s="17">
        <f t="shared" si="4"/>
        <v>7037.9949999999999</v>
      </c>
      <c r="E47" s="471">
        <f t="shared" si="5"/>
        <v>16.370272742561625</v>
      </c>
      <c r="F47" s="18"/>
      <c r="G47" s="19">
        <v>14974460</v>
      </c>
      <c r="H47" s="17">
        <f t="shared" si="7"/>
        <v>7487.23</v>
      </c>
      <c r="I47" s="471">
        <f t="shared" si="6"/>
        <v>17.415186738025483</v>
      </c>
      <c r="J47" s="18"/>
      <c r="K47" s="22"/>
    </row>
    <row r="48" spans="1:23" x14ac:dyDescent="0.25">
      <c r="A48" s="15" t="s">
        <v>881</v>
      </c>
      <c r="B48" s="16"/>
      <c r="C48" s="24">
        <v>13243490</v>
      </c>
      <c r="D48" s="17">
        <f t="shared" si="4"/>
        <v>6621.7449999999999</v>
      </c>
      <c r="E48" s="471">
        <f t="shared" si="5"/>
        <v>15.40208137142662</v>
      </c>
      <c r="F48" s="18"/>
      <c r="G48" s="19">
        <v>14164160</v>
      </c>
      <c r="H48" s="17">
        <f t="shared" si="7"/>
        <v>7082.08</v>
      </c>
      <c r="I48" s="471">
        <f t="shared" si="6"/>
        <v>16.472813803454081</v>
      </c>
      <c r="J48" s="18"/>
      <c r="K48" s="22"/>
    </row>
    <row r="49" spans="1:11" x14ac:dyDescent="0.25">
      <c r="A49" s="15" t="s">
        <v>946</v>
      </c>
      <c r="B49" s="16"/>
      <c r="C49" s="24">
        <v>12947318</v>
      </c>
      <c r="D49" s="17">
        <f t="shared" si="4"/>
        <v>6473.6589999999997</v>
      </c>
      <c r="E49" s="471">
        <f t="shared" si="5"/>
        <v>15.057635515844886</v>
      </c>
      <c r="F49" s="18"/>
      <c r="G49" s="19">
        <v>14062678</v>
      </c>
      <c r="H49" s="17">
        <f t="shared" si="7"/>
        <v>7031.3389999999999</v>
      </c>
      <c r="I49" s="471">
        <f t="shared" si="6"/>
        <v>16.354790984564566</v>
      </c>
      <c r="J49" s="18"/>
      <c r="K49" s="22"/>
    </row>
    <row r="50" spans="1:11" x14ac:dyDescent="0.25">
      <c r="A50" s="15" t="s">
        <v>947</v>
      </c>
      <c r="B50" s="16"/>
      <c r="C50" s="24">
        <v>25370000</v>
      </c>
      <c r="D50" s="17">
        <f t="shared" si="4"/>
        <v>12685</v>
      </c>
      <c r="E50" s="471">
        <f t="shared" si="5"/>
        <v>29.505123226060004</v>
      </c>
      <c r="F50" s="18"/>
      <c r="G50" s="19">
        <v>26920000</v>
      </c>
      <c r="H50" s="17">
        <f t="shared" si="7"/>
        <v>13460</v>
      </c>
      <c r="I50" s="471">
        <f t="shared" si="6"/>
        <v>31.307761814960006</v>
      </c>
      <c r="J50" s="18"/>
      <c r="K50" s="22"/>
    </row>
    <row r="51" spans="1:11" x14ac:dyDescent="0.25">
      <c r="A51" s="1637" t="s">
        <v>314</v>
      </c>
      <c r="B51" s="1638"/>
      <c r="C51" s="1638"/>
      <c r="D51" s="1638"/>
      <c r="E51" s="1638"/>
      <c r="F51" s="1638"/>
      <c r="G51" s="1638"/>
      <c r="H51" s="1638"/>
      <c r="I51" s="1638"/>
      <c r="J51" s="1638"/>
      <c r="K51" s="1639"/>
    </row>
    <row r="52" spans="1:11" x14ac:dyDescent="0.25">
      <c r="A52" s="1634" t="s">
        <v>882</v>
      </c>
      <c r="B52" s="1635"/>
      <c r="C52" s="1635"/>
      <c r="D52" s="1635"/>
      <c r="E52" s="1635"/>
      <c r="F52" s="1635"/>
      <c r="G52" s="1635"/>
      <c r="H52" s="1635"/>
      <c r="I52" s="1635"/>
      <c r="J52" s="1635"/>
      <c r="K52" s="1636"/>
    </row>
    <row r="53" spans="1:11" x14ac:dyDescent="0.25">
      <c r="A53" s="1623" t="s">
        <v>883</v>
      </c>
      <c r="B53" s="1624"/>
      <c r="C53" s="1624"/>
      <c r="D53" s="1624"/>
      <c r="E53" s="1624"/>
      <c r="F53" s="1624"/>
      <c r="G53" s="1624"/>
      <c r="H53" s="1624"/>
      <c r="I53" s="1624"/>
      <c r="J53" s="1624"/>
      <c r="K53" s="1625"/>
    </row>
    <row r="54" spans="1:11" x14ac:dyDescent="0.25">
      <c r="A54" s="1623" t="s">
        <v>884</v>
      </c>
      <c r="B54" s="1624"/>
      <c r="C54" s="1624"/>
      <c r="D54" s="1624"/>
      <c r="E54" s="1624"/>
      <c r="F54" s="1624"/>
      <c r="G54" s="1624"/>
      <c r="H54" s="1624"/>
      <c r="I54" s="1624"/>
      <c r="J54" s="1624"/>
      <c r="K54" s="1625"/>
    </row>
    <row r="55" spans="1:11" x14ac:dyDescent="0.25">
      <c r="A55" s="1623" t="s">
        <v>885</v>
      </c>
      <c r="B55" s="1624"/>
      <c r="C55" s="1624"/>
      <c r="D55" s="1624"/>
      <c r="E55" s="1624"/>
      <c r="F55" s="1624"/>
      <c r="G55" s="1624"/>
      <c r="H55" s="1624"/>
      <c r="I55" s="1624"/>
      <c r="J55" s="1624"/>
      <c r="K55" s="1625"/>
    </row>
    <row r="56" spans="1:11" x14ac:dyDescent="0.25">
      <c r="A56" s="1644" t="s">
        <v>315</v>
      </c>
      <c r="B56" s="1645"/>
      <c r="C56" s="1645"/>
      <c r="D56" s="1645"/>
      <c r="E56" s="1645"/>
      <c r="F56" s="1645"/>
      <c r="G56" s="1645"/>
      <c r="H56" s="1645"/>
      <c r="I56" s="1645"/>
      <c r="J56" s="1645"/>
      <c r="K56" s="1646"/>
    </row>
    <row r="57" spans="1:11" x14ac:dyDescent="0.25">
      <c r="A57" s="1623" t="s">
        <v>316</v>
      </c>
      <c r="B57" s="1624"/>
      <c r="C57" s="1624"/>
      <c r="D57" s="1624"/>
      <c r="E57" s="1624"/>
      <c r="F57" s="1624"/>
      <c r="G57" s="1624"/>
      <c r="H57" s="1624"/>
      <c r="I57" s="1624"/>
      <c r="J57" s="1624"/>
      <c r="K57" s="1625"/>
    </row>
    <row r="58" spans="1:11" x14ac:dyDescent="0.25">
      <c r="A58" s="1623" t="s">
        <v>886</v>
      </c>
      <c r="B58" s="1624"/>
      <c r="C58" s="1624"/>
      <c r="D58" s="1624"/>
      <c r="E58" s="1624"/>
      <c r="F58" s="1624"/>
      <c r="G58" s="1624"/>
      <c r="H58" s="1624"/>
      <c r="I58" s="1624"/>
      <c r="J58" s="1624"/>
      <c r="K58" s="1625"/>
    </row>
    <row r="59" spans="1:11" x14ac:dyDescent="0.25">
      <c r="A59" s="1623" t="s">
        <v>887</v>
      </c>
      <c r="B59" s="1624"/>
      <c r="C59" s="1624"/>
      <c r="D59" s="1624"/>
      <c r="E59" s="1624"/>
      <c r="F59" s="1624"/>
      <c r="G59" s="1624"/>
      <c r="H59" s="1624"/>
      <c r="I59" s="1624"/>
      <c r="J59" s="1624"/>
      <c r="K59" s="1625"/>
    </row>
    <row r="60" spans="1:11" x14ac:dyDescent="0.25">
      <c r="A60" s="25"/>
      <c r="B60" s="26"/>
      <c r="C60" s="26"/>
      <c r="D60" s="26"/>
      <c r="E60" s="26"/>
      <c r="F60" s="26"/>
      <c r="G60" s="26"/>
      <c r="H60" s="26"/>
      <c r="I60" s="26"/>
      <c r="J60" s="26"/>
      <c r="K60" s="27"/>
    </row>
    <row r="61" spans="1:11" x14ac:dyDescent="0.25">
      <c r="A61" s="1623" t="s">
        <v>317</v>
      </c>
      <c r="B61" s="1624"/>
      <c r="C61" s="1624"/>
      <c r="D61" s="1624"/>
      <c r="E61" s="1624"/>
      <c r="F61" s="1624"/>
      <c r="G61" s="1624"/>
      <c r="H61" s="1624"/>
      <c r="I61" s="1624"/>
      <c r="J61" s="1624"/>
      <c r="K61" s="1625"/>
    </row>
    <row r="62" spans="1:11" ht="13.8" thickBot="1" x14ac:dyDescent="0.3">
      <c r="A62" s="1629" t="s">
        <v>948</v>
      </c>
      <c r="B62" s="1630"/>
      <c r="C62" s="1630"/>
      <c r="D62" s="1630"/>
      <c r="E62" s="1630"/>
      <c r="F62" s="1630"/>
      <c r="G62" s="1630"/>
      <c r="H62" s="1630"/>
      <c r="I62" s="1630"/>
      <c r="J62" s="1630"/>
      <c r="K62" s="1631"/>
    </row>
    <row r="63" spans="1:11" x14ac:dyDescent="0.25">
      <c r="A63" s="466"/>
      <c r="B63" s="467"/>
      <c r="C63" s="467"/>
      <c r="D63" s="467"/>
      <c r="E63" s="467"/>
      <c r="F63" s="467"/>
      <c r="G63" s="467"/>
      <c r="H63" s="467"/>
      <c r="I63" s="467"/>
      <c r="J63" s="467"/>
      <c r="K63" s="467"/>
    </row>
    <row r="64" spans="1:11" x14ac:dyDescent="0.25">
      <c r="A64" s="466"/>
      <c r="B64" s="467"/>
      <c r="C64" s="467"/>
      <c r="D64" s="467"/>
      <c r="E64" s="467"/>
      <c r="F64" s="467"/>
      <c r="G64" s="467"/>
      <c r="H64" s="467"/>
      <c r="I64" s="467"/>
      <c r="J64" s="467"/>
      <c r="K64" s="467"/>
    </row>
    <row r="65" spans="1:14" x14ac:dyDescent="0.25">
      <c r="A65" s="466"/>
      <c r="B65" s="467"/>
      <c r="C65" s="467"/>
      <c r="D65" s="467"/>
      <c r="E65" s="467"/>
      <c r="F65" s="467"/>
      <c r="G65" s="467"/>
      <c r="H65" s="467"/>
      <c r="I65" s="467"/>
      <c r="J65" s="467"/>
      <c r="K65" s="467"/>
    </row>
    <row r="66" spans="1:14" x14ac:dyDescent="0.25">
      <c r="A66" s="466"/>
      <c r="B66" s="467"/>
      <c r="C66" s="467"/>
      <c r="D66" s="467"/>
      <c r="E66" s="467"/>
      <c r="F66" s="467"/>
      <c r="G66" s="467"/>
      <c r="H66" s="467"/>
      <c r="I66" s="467"/>
      <c r="J66" s="467"/>
      <c r="K66" s="467"/>
    </row>
    <row r="68" spans="1:14" ht="13.8" thickBot="1" x14ac:dyDescent="0.3"/>
    <row r="69" spans="1:14" ht="43.5" customHeight="1" thickTop="1" thickBot="1" x14ac:dyDescent="0.3">
      <c r="A69" s="352" t="s">
        <v>1056</v>
      </c>
      <c r="B69" s="353"/>
      <c r="C69" s="353"/>
      <c r="D69" s="353"/>
      <c r="E69" s="353"/>
      <c r="F69" s="353"/>
      <c r="G69" s="353"/>
      <c r="H69" s="353"/>
      <c r="I69" s="353"/>
      <c r="J69" s="353"/>
      <c r="K69" s="354"/>
      <c r="L69" s="354"/>
      <c r="M69" s="546"/>
      <c r="N69" s="547"/>
    </row>
    <row r="70" spans="1:14" ht="55.8" thickTop="1" x14ac:dyDescent="0.25">
      <c r="A70" s="548" t="s">
        <v>1063</v>
      </c>
      <c r="B70" s="549" t="s">
        <v>1004</v>
      </c>
      <c r="C70" s="550" t="s">
        <v>1013</v>
      </c>
      <c r="D70" s="550" t="s">
        <v>1014</v>
      </c>
      <c r="E70" s="549" t="s">
        <v>187</v>
      </c>
      <c r="F70" s="549" t="s">
        <v>1012</v>
      </c>
      <c r="G70" s="551" t="s">
        <v>1011</v>
      </c>
      <c r="H70" s="552" t="s">
        <v>264</v>
      </c>
      <c r="I70" s="549" t="s">
        <v>688</v>
      </c>
      <c r="J70" s="549" t="s">
        <v>1029</v>
      </c>
      <c r="K70" s="553" t="s">
        <v>687</v>
      </c>
      <c r="L70" s="553" t="s">
        <v>910</v>
      </c>
      <c r="M70" s="554" t="s">
        <v>519</v>
      </c>
      <c r="N70" s="555" t="s">
        <v>520</v>
      </c>
    </row>
    <row r="71" spans="1:14" ht="52.8" x14ac:dyDescent="0.25">
      <c r="A71" s="745" t="s">
        <v>1058</v>
      </c>
      <c r="B71" s="560" t="s">
        <v>844</v>
      </c>
      <c r="C71" s="746" t="s">
        <v>684</v>
      </c>
      <c r="D71" s="560">
        <v>2007</v>
      </c>
      <c r="E71" s="747" t="s">
        <v>685</v>
      </c>
      <c r="F71" s="561"/>
      <c r="G71" s="560"/>
      <c r="H71" s="747" t="s">
        <v>843</v>
      </c>
      <c r="I71" s="707">
        <f>mmBTU_to_GJ</f>
        <v>1.0549999999999999</v>
      </c>
      <c r="J71" s="556" t="s">
        <v>1031</v>
      </c>
      <c r="K71" s="557">
        <v>56.31533863997597</v>
      </c>
      <c r="L71" s="557" t="s">
        <v>911</v>
      </c>
      <c r="M71" s="558"/>
      <c r="N71" s="559"/>
    </row>
    <row r="72" spans="1:14" ht="52.8" x14ac:dyDescent="0.25">
      <c r="A72" s="745" t="s">
        <v>280</v>
      </c>
      <c r="B72" s="560" t="s">
        <v>844</v>
      </c>
      <c r="C72" s="746" t="s">
        <v>684</v>
      </c>
      <c r="D72" s="560">
        <v>2007</v>
      </c>
      <c r="E72" s="747" t="s">
        <v>685</v>
      </c>
      <c r="F72" s="561"/>
      <c r="G72" s="560"/>
      <c r="H72" s="747" t="s">
        <v>843</v>
      </c>
      <c r="I72" s="707">
        <f>mmBTU_to_GJ</f>
        <v>1.0549999999999999</v>
      </c>
      <c r="J72" s="556" t="s">
        <v>1031</v>
      </c>
      <c r="K72" s="557">
        <v>56.31533863997597</v>
      </c>
      <c r="L72" s="557" t="s">
        <v>911</v>
      </c>
      <c r="M72" s="558"/>
      <c r="N72" s="559"/>
    </row>
    <row r="73" spans="1:14" ht="52.8" x14ac:dyDescent="0.25">
      <c r="A73" s="745" t="s">
        <v>666</v>
      </c>
      <c r="B73" s="560" t="s">
        <v>844</v>
      </c>
      <c r="C73" s="746" t="s">
        <v>684</v>
      </c>
      <c r="D73" s="560">
        <v>2007</v>
      </c>
      <c r="E73" s="747" t="s">
        <v>685</v>
      </c>
      <c r="F73" s="561"/>
      <c r="G73" s="560"/>
      <c r="H73" s="747" t="s">
        <v>843</v>
      </c>
      <c r="I73" s="707">
        <f>mmBTU_to_GJ</f>
        <v>1.0549999999999999</v>
      </c>
      <c r="J73" s="556" t="s">
        <v>1031</v>
      </c>
      <c r="K73" s="557">
        <v>56.31533863997597</v>
      </c>
      <c r="L73" s="557" t="s">
        <v>911</v>
      </c>
      <c r="M73" s="558"/>
      <c r="N73" s="559"/>
    </row>
    <row r="74" spans="1:14" ht="52.8" x14ac:dyDescent="0.25">
      <c r="A74" s="745" t="s">
        <v>1059</v>
      </c>
      <c r="B74" s="560" t="s">
        <v>844</v>
      </c>
      <c r="C74" s="746" t="s">
        <v>684</v>
      </c>
      <c r="D74" s="560">
        <v>2007</v>
      </c>
      <c r="E74" s="747" t="s">
        <v>685</v>
      </c>
      <c r="F74" s="561"/>
      <c r="G74" s="560"/>
      <c r="H74" s="747" t="s">
        <v>843</v>
      </c>
      <c r="I74" s="707">
        <f>mmBTU_to_GJ</f>
        <v>1.0549999999999999</v>
      </c>
      <c r="J74" s="556" t="s">
        <v>1031</v>
      </c>
      <c r="K74" s="557">
        <v>56.31533863997597</v>
      </c>
      <c r="L74" s="557" t="s">
        <v>911</v>
      </c>
      <c r="M74" s="558"/>
      <c r="N74" s="559"/>
    </row>
    <row r="75" spans="1:14" ht="26.4" x14ac:dyDescent="0.25">
      <c r="A75" s="745" t="s">
        <v>667</v>
      </c>
      <c r="B75" s="560"/>
      <c r="C75" s="746" t="s">
        <v>684</v>
      </c>
      <c r="D75" s="560">
        <v>2007</v>
      </c>
      <c r="E75" s="747" t="s">
        <v>685</v>
      </c>
      <c r="F75" s="561"/>
      <c r="G75" s="560"/>
      <c r="H75" s="747" t="s">
        <v>843</v>
      </c>
      <c r="I75" s="707">
        <f>mmBTU_to_GJ</f>
        <v>1.0549999999999999</v>
      </c>
      <c r="J75" s="556" t="s">
        <v>1031</v>
      </c>
      <c r="K75" s="557">
        <v>56.31533863997597</v>
      </c>
      <c r="L75" s="557" t="s">
        <v>911</v>
      </c>
      <c r="M75" s="558"/>
      <c r="N75" s="559"/>
    </row>
    <row r="76" spans="1:14" ht="52.8" x14ac:dyDescent="0.25">
      <c r="A76" s="745" t="s">
        <v>668</v>
      </c>
      <c r="B76" s="560" t="s">
        <v>844</v>
      </c>
      <c r="C76" s="746" t="s">
        <v>684</v>
      </c>
      <c r="D76" s="560">
        <v>2007</v>
      </c>
      <c r="E76" s="747" t="s">
        <v>686</v>
      </c>
      <c r="F76" s="560"/>
      <c r="G76" s="560"/>
      <c r="H76" s="556" t="s">
        <v>293</v>
      </c>
      <c r="I76" s="707">
        <f>1/MJ_to_kWh/1000</f>
        <v>3.5999999999999995E-3</v>
      </c>
      <c r="J76" s="556" t="s">
        <v>1044</v>
      </c>
      <c r="K76" s="557">
        <v>0</v>
      </c>
      <c r="L76" s="557" t="s">
        <v>911</v>
      </c>
      <c r="M76" s="558"/>
      <c r="N76" s="559"/>
    </row>
    <row r="77" spans="1:14" ht="52.8" x14ac:dyDescent="0.25">
      <c r="A77" s="745" t="s">
        <v>683</v>
      </c>
      <c r="B77" s="560" t="s">
        <v>844</v>
      </c>
      <c r="C77" s="746" t="s">
        <v>684</v>
      </c>
      <c r="D77" s="560">
        <v>2007</v>
      </c>
      <c r="E77" s="747" t="s">
        <v>686</v>
      </c>
      <c r="F77" s="560"/>
      <c r="G77" s="560"/>
      <c r="H77" s="556" t="s">
        <v>293</v>
      </c>
      <c r="I77" s="707">
        <f>1/MJ_to_kWh/1000</f>
        <v>3.5999999999999995E-3</v>
      </c>
      <c r="J77" s="556" t="s">
        <v>1044</v>
      </c>
      <c r="K77" s="557">
        <v>0</v>
      </c>
      <c r="L77" s="557" t="s">
        <v>911</v>
      </c>
      <c r="M77" s="558"/>
      <c r="N77" s="559"/>
    </row>
    <row r="78" spans="1:14" ht="52.8" x14ac:dyDescent="0.25">
      <c r="A78" s="745" t="s">
        <v>669</v>
      </c>
      <c r="B78" s="560" t="s">
        <v>844</v>
      </c>
      <c r="C78" s="746" t="s">
        <v>684</v>
      </c>
      <c r="D78" s="560">
        <v>2007</v>
      </c>
      <c r="E78" s="747" t="s">
        <v>686</v>
      </c>
      <c r="F78" s="560"/>
      <c r="G78" s="560"/>
      <c r="H78" s="556" t="s">
        <v>293</v>
      </c>
      <c r="I78" s="707">
        <f>1/MJ_to_kWh/1000</f>
        <v>3.5999999999999995E-3</v>
      </c>
      <c r="J78" s="556" t="s">
        <v>1044</v>
      </c>
      <c r="K78" s="557">
        <v>0</v>
      </c>
      <c r="L78" s="557" t="s">
        <v>911</v>
      </c>
      <c r="M78" s="558"/>
      <c r="N78" s="559"/>
    </row>
    <row r="79" spans="1:14" ht="52.8" x14ac:dyDescent="0.25">
      <c r="A79" s="745" t="s">
        <v>1060</v>
      </c>
      <c r="B79" s="560" t="s">
        <v>844</v>
      </c>
      <c r="C79" s="746" t="s">
        <v>684</v>
      </c>
      <c r="D79" s="560">
        <v>2007</v>
      </c>
      <c r="E79" s="747" t="s">
        <v>685</v>
      </c>
      <c r="F79" s="561"/>
      <c r="G79" s="560"/>
      <c r="H79" s="556" t="s">
        <v>265</v>
      </c>
      <c r="I79" s="707">
        <f>$C$42/2000/lb_to_kg/1000000*mmBTU_to_GJ</f>
        <v>2.2735034516249999E-2</v>
      </c>
      <c r="J79" s="556" t="s">
        <v>1025</v>
      </c>
      <c r="K79" s="557">
        <v>102.75287348239476</v>
      </c>
      <c r="L79" s="557" t="s">
        <v>911</v>
      </c>
      <c r="M79" s="558"/>
      <c r="N79" s="559"/>
    </row>
    <row r="80" spans="1:14" ht="52.8" x14ac:dyDescent="0.25">
      <c r="A80" s="745" t="s">
        <v>701</v>
      </c>
      <c r="B80" s="560" t="s">
        <v>844</v>
      </c>
      <c r="C80" s="746" t="s">
        <v>684</v>
      </c>
      <c r="D80" s="560">
        <v>2007</v>
      </c>
      <c r="E80" s="747" t="s">
        <v>685</v>
      </c>
      <c r="F80" s="561"/>
      <c r="G80" s="560"/>
      <c r="H80" s="556" t="s">
        <v>265</v>
      </c>
      <c r="I80" s="707">
        <f>$C$42/2000/lb_to_kg/1000000*mmBTU_to_GJ</f>
        <v>2.2735034516249999E-2</v>
      </c>
      <c r="J80" s="556" t="s">
        <v>1025</v>
      </c>
      <c r="K80" s="557">
        <v>102.75287348239476</v>
      </c>
      <c r="L80" s="557" t="s">
        <v>911</v>
      </c>
      <c r="M80" s="558"/>
      <c r="N80" s="559"/>
    </row>
    <row r="81" spans="1:14" ht="52.8" x14ac:dyDescent="0.25">
      <c r="A81" s="745" t="s">
        <v>702</v>
      </c>
      <c r="B81" s="560" t="s">
        <v>844</v>
      </c>
      <c r="C81" s="746" t="s">
        <v>684</v>
      </c>
      <c r="D81" s="560">
        <v>2007</v>
      </c>
      <c r="E81" s="747" t="s">
        <v>685</v>
      </c>
      <c r="F81" s="561"/>
      <c r="G81" s="560"/>
      <c r="H81" s="556" t="s">
        <v>265</v>
      </c>
      <c r="I81" s="707">
        <f>$C$42/2000/lb_to_kg/1000000*mmBTU_to_GJ</f>
        <v>2.2735034516249999E-2</v>
      </c>
      <c r="J81" s="556" t="s">
        <v>1025</v>
      </c>
      <c r="K81" s="557">
        <v>102.75287348239476</v>
      </c>
      <c r="L81" s="557" t="s">
        <v>911</v>
      </c>
      <c r="M81" s="558"/>
      <c r="N81" s="559"/>
    </row>
    <row r="82" spans="1:14" ht="52.8" x14ac:dyDescent="0.25">
      <c r="A82" s="745" t="s">
        <v>891</v>
      </c>
      <c r="B82" s="560" t="s">
        <v>844</v>
      </c>
      <c r="C82" s="746" t="s">
        <v>684</v>
      </c>
      <c r="D82" s="560">
        <v>2007</v>
      </c>
      <c r="E82" s="747" t="s">
        <v>685</v>
      </c>
      <c r="F82" s="561"/>
      <c r="G82" s="560"/>
      <c r="H82" s="556" t="s">
        <v>266</v>
      </c>
      <c r="I82" s="707">
        <f>$C$14/gal_to_liters*mmBTU_to_GJ/1000000</f>
        <v>3.5803104359313075E-2</v>
      </c>
      <c r="J82" s="556" t="s">
        <v>1031</v>
      </c>
      <c r="K82" s="557">
        <v>74.122324937568308</v>
      </c>
      <c r="L82" s="557" t="s">
        <v>911</v>
      </c>
      <c r="M82" s="558"/>
      <c r="N82" s="559"/>
    </row>
    <row r="83" spans="1:14" ht="52.8" x14ac:dyDescent="0.25">
      <c r="A83" s="745" t="s">
        <v>889</v>
      </c>
      <c r="B83" s="560" t="s">
        <v>844</v>
      </c>
      <c r="C83" s="746" t="s">
        <v>684</v>
      </c>
      <c r="D83" s="560">
        <v>2007</v>
      </c>
      <c r="E83" s="747" t="s">
        <v>685</v>
      </c>
      <c r="F83" s="561"/>
      <c r="G83" s="560"/>
      <c r="H83" s="556" t="s">
        <v>266</v>
      </c>
      <c r="I83" s="707">
        <f>$Q$14/gal_to_liters*mmBTU_to_GJ/1000000</f>
        <v>2.4157130779392338E-2</v>
      </c>
      <c r="J83" s="556" t="s">
        <v>1025</v>
      </c>
      <c r="K83" s="557">
        <v>71.019041167591709</v>
      </c>
      <c r="L83" s="557" t="s">
        <v>911</v>
      </c>
      <c r="M83" s="558"/>
      <c r="N83" s="559"/>
    </row>
    <row r="84" spans="1:14" ht="52.8" x14ac:dyDescent="0.25">
      <c r="A84" s="745" t="s">
        <v>892</v>
      </c>
      <c r="B84" s="560" t="s">
        <v>844</v>
      </c>
      <c r="C84" s="746" t="s">
        <v>684</v>
      </c>
      <c r="D84" s="560">
        <v>2007</v>
      </c>
      <c r="E84" s="747" t="s">
        <v>685</v>
      </c>
      <c r="F84" s="561"/>
      <c r="G84" s="560"/>
      <c r="H84" s="556" t="s">
        <v>266</v>
      </c>
      <c r="I84" s="707">
        <f>$C$11/gal_to_liters*mmBTU_to_GJ/1000000</f>
        <v>3.2357978863936591E-2</v>
      </c>
      <c r="J84" s="556" t="s">
        <v>1025</v>
      </c>
      <c r="K84" s="557">
        <v>72.833307273582633</v>
      </c>
      <c r="L84" s="557" t="s">
        <v>911</v>
      </c>
      <c r="M84" s="558"/>
      <c r="N84" s="559"/>
    </row>
    <row r="85" spans="1:14" ht="290.39999999999998" x14ac:dyDescent="0.25">
      <c r="A85" s="745" t="s">
        <v>1054</v>
      </c>
      <c r="B85" s="706" t="s">
        <v>423</v>
      </c>
      <c r="C85" s="746" t="s">
        <v>684</v>
      </c>
      <c r="D85" s="560">
        <v>2007</v>
      </c>
      <c r="E85" s="747" t="s">
        <v>686</v>
      </c>
      <c r="F85" s="561"/>
      <c r="G85" s="560"/>
      <c r="H85" s="556" t="s">
        <v>265</v>
      </c>
      <c r="I85" s="707">
        <f>$E$45/1000</f>
        <v>1.9551069237418006E-2</v>
      </c>
      <c r="J85" s="556" t="s">
        <v>1025</v>
      </c>
      <c r="K85" s="557">
        <v>97.876597052612851</v>
      </c>
      <c r="L85" s="557" t="s">
        <v>911</v>
      </c>
      <c r="M85" s="558"/>
      <c r="N85" s="559"/>
    </row>
    <row r="86" spans="1:14" x14ac:dyDescent="0.25">
      <c r="A86" s="745" t="s">
        <v>800</v>
      </c>
      <c r="B86" s="706"/>
      <c r="C86" s="746"/>
      <c r="D86" s="560"/>
      <c r="E86" s="747" t="s">
        <v>686</v>
      </c>
      <c r="F86" s="561"/>
      <c r="G86" s="560"/>
      <c r="H86" s="556" t="s">
        <v>265</v>
      </c>
      <c r="I86" s="707">
        <f>$E$45/1000</f>
        <v>1.9551069237418006E-2</v>
      </c>
      <c r="J86" s="556" t="s">
        <v>1025</v>
      </c>
      <c r="K86" s="557">
        <v>97.876597052612851</v>
      </c>
      <c r="L86" s="557" t="s">
        <v>911</v>
      </c>
      <c r="M86" s="558"/>
      <c r="N86" s="559"/>
    </row>
    <row r="87" spans="1:14" ht="79.2" x14ac:dyDescent="0.25">
      <c r="A87" s="745" t="s">
        <v>806</v>
      </c>
      <c r="B87" s="823" t="s">
        <v>812</v>
      </c>
      <c r="C87" s="746"/>
      <c r="D87" s="560"/>
      <c r="E87" s="747" t="s">
        <v>686</v>
      </c>
      <c r="F87" s="561"/>
      <c r="G87" s="560"/>
      <c r="H87" s="556" t="s">
        <v>265</v>
      </c>
      <c r="I87" s="707">
        <f>18.608/1000</f>
        <v>1.8608E-2</v>
      </c>
      <c r="J87" s="556" t="s">
        <v>1025</v>
      </c>
      <c r="K87" s="557">
        <v>97.876597052612851</v>
      </c>
      <c r="L87" s="557" t="s">
        <v>911</v>
      </c>
      <c r="M87" s="558"/>
      <c r="N87" s="559"/>
    </row>
    <row r="88" spans="1:14" ht="79.2" x14ac:dyDescent="0.25">
      <c r="A88" s="745" t="s">
        <v>1061</v>
      </c>
      <c r="B88" s="560" t="s">
        <v>1062</v>
      </c>
      <c r="C88" s="746" t="s">
        <v>684</v>
      </c>
      <c r="D88" s="560">
        <v>2007</v>
      </c>
      <c r="E88" s="747" t="s">
        <v>686</v>
      </c>
      <c r="F88" s="561"/>
      <c r="G88" s="560"/>
      <c r="H88" s="556" t="s">
        <v>265</v>
      </c>
      <c r="I88" s="707">
        <v>2.8300000000000001E-3</v>
      </c>
      <c r="J88" s="556" t="s">
        <v>1044</v>
      </c>
      <c r="K88" s="557">
        <v>0</v>
      </c>
      <c r="L88" s="557" t="s">
        <v>911</v>
      </c>
      <c r="M88" s="558"/>
      <c r="N88" s="559"/>
    </row>
    <row r="90" spans="1:14" ht="13.8" thickBot="1" x14ac:dyDescent="0.3"/>
    <row r="91" spans="1:14" ht="33.75" customHeight="1" thickTop="1" x14ac:dyDescent="0.25">
      <c r="A91" s="1621" t="s">
        <v>967</v>
      </c>
      <c r="B91" s="1622"/>
      <c r="D91" s="1621" t="s">
        <v>670</v>
      </c>
      <c r="E91" s="1622"/>
      <c r="G91" s="1621" t="s">
        <v>671</v>
      </c>
      <c r="H91" s="1622"/>
      <c r="K91" s="1632" t="s">
        <v>673</v>
      </c>
      <c r="L91" s="1633"/>
    </row>
    <row r="92" spans="1:14" ht="41.25" customHeight="1" thickBot="1" x14ac:dyDescent="0.3">
      <c r="A92" s="1012" t="s">
        <v>1072</v>
      </c>
      <c r="B92" s="832"/>
      <c r="D92" s="1619" t="s">
        <v>672</v>
      </c>
      <c r="E92" s="1620"/>
      <c r="G92" s="1012" t="s">
        <v>1073</v>
      </c>
      <c r="H92" s="832"/>
      <c r="K92" s="1619" t="s">
        <v>674</v>
      </c>
      <c r="L92" s="1620"/>
      <c r="N92" s="1043"/>
    </row>
    <row r="93" spans="1:14" ht="13.8" x14ac:dyDescent="0.25">
      <c r="A93" s="30" t="s">
        <v>1057</v>
      </c>
      <c r="B93" s="31" t="s">
        <v>1065</v>
      </c>
      <c r="D93" s="30" t="s">
        <v>1057</v>
      </c>
      <c r="E93" s="31" t="s">
        <v>1065</v>
      </c>
      <c r="G93" s="30" t="s">
        <v>1057</v>
      </c>
      <c r="H93" s="31" t="s">
        <v>1065</v>
      </c>
      <c r="K93" s="30" t="s">
        <v>1057</v>
      </c>
      <c r="L93" s="31" t="s">
        <v>1065</v>
      </c>
    </row>
    <row r="94" spans="1:14" x14ac:dyDescent="0.25">
      <c r="A94" s="830">
        <v>1992</v>
      </c>
      <c r="B94" s="831">
        <v>70.800676680058203</v>
      </c>
      <c r="C94" s="719"/>
      <c r="D94" s="1013">
        <v>1992</v>
      </c>
      <c r="E94" s="1014">
        <v>358.2</v>
      </c>
      <c r="F94" s="1046"/>
      <c r="G94" s="1013">
        <v>1992</v>
      </c>
      <c r="H94" s="1015">
        <v>13.7</v>
      </c>
      <c r="K94" s="1013">
        <v>1992</v>
      </c>
      <c r="L94" s="1016">
        <v>80.280791320995533</v>
      </c>
    </row>
    <row r="95" spans="1:14" x14ac:dyDescent="0.25">
      <c r="A95" s="830">
        <v>1993</v>
      </c>
      <c r="B95" s="831">
        <v>72.480274460589698</v>
      </c>
      <c r="D95" s="1013">
        <v>1993</v>
      </c>
      <c r="E95" s="1014">
        <v>359.2</v>
      </c>
      <c r="F95" s="1046"/>
      <c r="G95" s="1013">
        <v>1993</v>
      </c>
      <c r="H95" s="1015">
        <v>13.97</v>
      </c>
      <c r="K95" s="1013">
        <v>1993</v>
      </c>
      <c r="L95" s="1016">
        <v>81.174218251435875</v>
      </c>
    </row>
    <row r="96" spans="1:14" x14ac:dyDescent="0.25">
      <c r="A96" s="830">
        <v>1994</v>
      </c>
      <c r="B96" s="831">
        <v>74.02700932145197</v>
      </c>
      <c r="D96" s="1013">
        <v>1994</v>
      </c>
      <c r="E96" s="1014">
        <v>368.1</v>
      </c>
      <c r="F96" s="1046"/>
      <c r="G96" s="1013">
        <v>1994</v>
      </c>
      <c r="H96" s="1015">
        <v>14.33</v>
      </c>
      <c r="K96" s="1013">
        <v>1994</v>
      </c>
      <c r="L96" s="1016">
        <v>82.961072112316543</v>
      </c>
    </row>
    <row r="97" spans="1:15" x14ac:dyDescent="0.25">
      <c r="A97" s="830">
        <v>1995</v>
      </c>
      <c r="B97" s="831">
        <v>75.581637029027263</v>
      </c>
      <c r="D97" s="1013">
        <v>1995</v>
      </c>
      <c r="E97" s="1014">
        <v>381.1</v>
      </c>
      <c r="F97" s="1046"/>
      <c r="G97" s="1013">
        <v>1995</v>
      </c>
      <c r="H97" s="1015">
        <v>14.86</v>
      </c>
      <c r="K97" s="1013">
        <v>1995</v>
      </c>
      <c r="L97" s="1016">
        <v>91.512444160816855</v>
      </c>
    </row>
    <row r="98" spans="1:15" x14ac:dyDescent="0.25">
      <c r="A98" s="830">
        <v>1996</v>
      </c>
      <c r="B98" s="831">
        <v>76.96367448847775</v>
      </c>
      <c r="D98" s="1013">
        <v>1996</v>
      </c>
      <c r="E98" s="1014">
        <v>381.7</v>
      </c>
      <c r="F98" s="1046"/>
      <c r="G98" s="1013">
        <v>1996</v>
      </c>
      <c r="H98" s="1015">
        <v>15.37</v>
      </c>
      <c r="K98" s="1013">
        <v>1996</v>
      </c>
      <c r="L98" s="1016">
        <v>93.044033184428855</v>
      </c>
    </row>
    <row r="99" spans="1:15" x14ac:dyDescent="0.25">
      <c r="A99" s="830">
        <v>1997</v>
      </c>
      <c r="B99" s="831">
        <v>78.291514400498826</v>
      </c>
      <c r="D99" s="1013">
        <v>1997</v>
      </c>
      <c r="E99" s="1014">
        <v>386.5</v>
      </c>
      <c r="F99" s="1046"/>
      <c r="G99" s="1013">
        <v>1997</v>
      </c>
      <c r="H99" s="1015">
        <v>15.78</v>
      </c>
      <c r="K99" s="1013">
        <v>1997</v>
      </c>
      <c r="L99" s="1016">
        <v>93.873643905552015</v>
      </c>
      <c r="M99" s="1044"/>
    </row>
    <row r="100" spans="1:15" x14ac:dyDescent="0.25">
      <c r="A100" s="830">
        <v>1998</v>
      </c>
      <c r="B100" s="831">
        <v>79.172882283453163</v>
      </c>
      <c r="D100" s="1013">
        <v>1998</v>
      </c>
      <c r="E100" s="1014">
        <v>389.5</v>
      </c>
      <c r="F100" s="1046"/>
      <c r="G100" s="1013">
        <v>1998</v>
      </c>
      <c r="H100" s="1015">
        <v>16.23</v>
      </c>
      <c r="K100" s="1013">
        <v>1998</v>
      </c>
      <c r="L100" s="1016">
        <v>94.894703254626677</v>
      </c>
      <c r="M100" s="1044"/>
      <c r="N100" s="1045"/>
      <c r="O100" s="1045"/>
    </row>
    <row r="101" spans="1:15" x14ac:dyDescent="0.25">
      <c r="A101" s="830">
        <v>1999</v>
      </c>
      <c r="B101" s="831">
        <v>80.287352239332165</v>
      </c>
      <c r="D101" s="1013">
        <v>1999</v>
      </c>
      <c r="E101" s="1014">
        <v>390.6</v>
      </c>
      <c r="F101" s="1046"/>
      <c r="G101" s="1013">
        <v>1999</v>
      </c>
      <c r="H101" s="1015">
        <v>16.399999999999999</v>
      </c>
      <c r="K101" s="1013">
        <v>1999</v>
      </c>
      <c r="L101" s="1016">
        <v>95.532865347798349</v>
      </c>
      <c r="M101" s="1044"/>
      <c r="N101" s="1045"/>
      <c r="O101" s="1045"/>
    </row>
    <row r="102" spans="1:15" x14ac:dyDescent="0.25">
      <c r="A102" s="830">
        <v>2000</v>
      </c>
      <c r="B102" s="831">
        <v>82.107442691355487</v>
      </c>
      <c r="D102" s="1013">
        <v>2000</v>
      </c>
      <c r="E102" s="1014">
        <v>394.1</v>
      </c>
      <c r="F102" s="1046"/>
      <c r="G102" s="1013">
        <v>2000</v>
      </c>
      <c r="H102" s="1015">
        <v>17.09</v>
      </c>
      <c r="K102" s="1013">
        <v>2000</v>
      </c>
      <c r="L102" s="1016">
        <v>100</v>
      </c>
      <c r="M102" s="1044"/>
      <c r="N102" s="1045"/>
      <c r="O102" s="1045"/>
    </row>
    <row r="103" spans="1:15" x14ac:dyDescent="0.25">
      <c r="A103" s="830">
        <v>2001</v>
      </c>
      <c r="B103" s="831">
        <v>83.960946194463943</v>
      </c>
      <c r="D103" s="1013">
        <v>2001</v>
      </c>
      <c r="E103" s="1014">
        <v>394.3</v>
      </c>
      <c r="F103" s="1046"/>
      <c r="G103" s="1013">
        <v>2001</v>
      </c>
      <c r="H103" s="1015">
        <v>17.57</v>
      </c>
      <c r="K103" s="1013">
        <v>2001</v>
      </c>
      <c r="L103" s="1016">
        <v>101.08487555839186</v>
      </c>
      <c r="M103" s="1044"/>
      <c r="N103" s="1045"/>
      <c r="O103" s="1045"/>
    </row>
    <row r="104" spans="1:15" x14ac:dyDescent="0.25">
      <c r="A104" s="830">
        <v>2002</v>
      </c>
      <c r="B104" s="831">
        <v>85.268264705031157</v>
      </c>
      <c r="D104" s="1013">
        <v>2002</v>
      </c>
      <c r="E104" s="1014">
        <v>395.6</v>
      </c>
      <c r="F104" s="1046"/>
      <c r="G104" s="1013">
        <v>2002</v>
      </c>
      <c r="H104" s="1015">
        <v>17.97</v>
      </c>
      <c r="K104" s="1013">
        <v>2002</v>
      </c>
      <c r="L104" s="1016">
        <v>100.38289725590302</v>
      </c>
      <c r="M104" s="1044"/>
      <c r="N104" s="1045"/>
      <c r="O104" s="1045"/>
    </row>
    <row r="105" spans="1:15" x14ac:dyDescent="0.25">
      <c r="A105" s="830">
        <v>2003</v>
      </c>
      <c r="B105" s="831">
        <v>86.946283916220068</v>
      </c>
      <c r="D105" s="1013">
        <v>2003</v>
      </c>
      <c r="E105" s="1014">
        <v>402</v>
      </c>
      <c r="F105" s="1046"/>
      <c r="G105" s="1013">
        <v>2003</v>
      </c>
      <c r="H105" s="1015">
        <v>18.5</v>
      </c>
      <c r="K105" s="1013">
        <v>2003</v>
      </c>
      <c r="L105" s="1016">
        <v>105.04148053605616</v>
      </c>
      <c r="M105" s="1044"/>
      <c r="N105" s="1045"/>
      <c r="O105" s="1045"/>
    </row>
    <row r="106" spans="1:15" x14ac:dyDescent="0.25">
      <c r="A106" s="830">
        <v>2004</v>
      </c>
      <c r="B106" s="831">
        <v>89.280198689261255</v>
      </c>
      <c r="D106" s="1013">
        <v>2004</v>
      </c>
      <c r="E106" s="1014">
        <v>444.2</v>
      </c>
      <c r="F106" s="1046"/>
      <c r="G106" s="1013">
        <v>2004</v>
      </c>
      <c r="H106" s="1015">
        <v>19.170000000000002</v>
      </c>
      <c r="K106" s="1013">
        <v>2004</v>
      </c>
      <c r="L106" s="1016">
        <v>110.27440970006384</v>
      </c>
      <c r="M106" s="1046"/>
      <c r="N106" s="1045"/>
      <c r="O106" s="1045"/>
    </row>
    <row r="107" spans="1:15" x14ac:dyDescent="0.25">
      <c r="A107" s="830">
        <v>2005</v>
      </c>
      <c r="B107" s="831">
        <v>92.081633082603915</v>
      </c>
      <c r="D107" s="1013">
        <v>2005</v>
      </c>
      <c r="E107" s="1014">
        <v>468.2</v>
      </c>
      <c r="F107" s="1046"/>
      <c r="G107" s="1013">
        <v>2005</v>
      </c>
      <c r="H107" s="1072">
        <v>19.670000000000002</v>
      </c>
      <c r="K107" s="1013">
        <v>2005</v>
      </c>
      <c r="L107" s="1016">
        <v>119.52776005105299</v>
      </c>
      <c r="M107" s="1044"/>
      <c r="N107" s="1045"/>
      <c r="O107" s="1045"/>
    </row>
    <row r="108" spans="1:15" x14ac:dyDescent="0.25">
      <c r="A108" s="830">
        <v>2006</v>
      </c>
      <c r="B108" s="831">
        <v>94.92568884819687</v>
      </c>
      <c r="D108" s="1013">
        <v>2006</v>
      </c>
      <c r="E108" s="1014">
        <v>499.6</v>
      </c>
      <c r="F108" s="1046"/>
      <c r="G108" s="1013">
        <v>2006</v>
      </c>
      <c r="H108" s="1015">
        <v>19.600000000000001</v>
      </c>
      <c r="K108" s="1013">
        <v>2006</v>
      </c>
      <c r="L108" s="1016">
        <v>125.5902999361838</v>
      </c>
      <c r="M108" s="1044"/>
      <c r="N108" s="1045"/>
      <c r="O108" s="1045"/>
    </row>
    <row r="109" spans="1:15" x14ac:dyDescent="0.25">
      <c r="A109" s="830">
        <v>2007</v>
      </c>
      <c r="B109" s="831">
        <v>97.490337840148811</v>
      </c>
      <c r="D109" s="1013">
        <v>2007</v>
      </c>
      <c r="E109" s="1014">
        <v>525.4</v>
      </c>
      <c r="F109" s="1050"/>
      <c r="G109" s="1013">
        <v>2007</v>
      </c>
      <c r="H109" s="1015">
        <v>19.55</v>
      </c>
      <c r="K109" s="1013">
        <v>2007</v>
      </c>
      <c r="L109" s="1016">
        <v>129.73835354179963</v>
      </c>
      <c r="M109" s="1044"/>
      <c r="N109" s="1045"/>
      <c r="O109" s="1045"/>
    </row>
    <row r="110" spans="1:15" x14ac:dyDescent="0.25">
      <c r="A110" s="830">
        <v>2008</v>
      </c>
      <c r="B110" s="831">
        <v>99.368309168067654</v>
      </c>
      <c r="D110" s="1013">
        <v>2008</v>
      </c>
      <c r="E110" s="1014">
        <v>575.4</v>
      </c>
      <c r="F110" s="1046"/>
      <c r="G110" s="1013">
        <v>2008</v>
      </c>
      <c r="H110" s="1015">
        <v>19.5</v>
      </c>
      <c r="K110" s="1013">
        <v>2008</v>
      </c>
      <c r="L110" s="1016">
        <v>145.6285896617741</v>
      </c>
      <c r="M110" s="1044"/>
      <c r="N110" s="1045"/>
      <c r="O110" s="1045"/>
    </row>
    <row r="111" spans="1:15" ht="14.4" x14ac:dyDescent="0.3">
      <c r="A111" s="830">
        <v>2009</v>
      </c>
      <c r="B111" s="831">
        <v>100</v>
      </c>
      <c r="D111" s="718">
        <v>2009</v>
      </c>
      <c r="E111" s="1014">
        <v>521.9</v>
      </c>
      <c r="F111" s="1046"/>
      <c r="G111" s="718">
        <v>2009</v>
      </c>
      <c r="H111" s="833">
        <v>20.3</v>
      </c>
      <c r="K111" s="1013">
        <v>2009</v>
      </c>
      <c r="L111" s="1017">
        <v>143.39502233567327</v>
      </c>
      <c r="M111" s="1044"/>
      <c r="N111" s="1045"/>
      <c r="O111" s="1045"/>
    </row>
    <row r="112" spans="1:15" ht="14.4" x14ac:dyDescent="0.3">
      <c r="A112" s="830">
        <v>2010</v>
      </c>
      <c r="B112" s="831">
        <v>101.19839722592747</v>
      </c>
      <c r="D112" s="718">
        <v>2010</v>
      </c>
      <c r="E112" s="1014">
        <v>550.79999999999995</v>
      </c>
      <c r="F112" s="1046"/>
      <c r="G112" s="718">
        <v>2010</v>
      </c>
      <c r="H112" s="833">
        <v>21.07</v>
      </c>
      <c r="K112" s="1013">
        <v>2010</v>
      </c>
      <c r="L112" s="1017">
        <v>149.13848117421827</v>
      </c>
      <c r="M112" s="1044"/>
      <c r="N112" s="1045"/>
      <c r="O112" s="1045"/>
    </row>
    <row r="113" spans="1:15" ht="14.4" x14ac:dyDescent="0.3">
      <c r="A113" s="830">
        <v>2011</v>
      </c>
      <c r="B113" s="831">
        <v>103.30263015961967</v>
      </c>
      <c r="D113" s="718">
        <v>2011</v>
      </c>
      <c r="E113" s="1014">
        <v>585.70000000000005</v>
      </c>
      <c r="F113" s="1046"/>
      <c r="G113" s="718">
        <v>2011</v>
      </c>
      <c r="H113" s="833">
        <v>21.45</v>
      </c>
      <c r="K113" s="1013">
        <v>2011</v>
      </c>
      <c r="L113" s="1017">
        <v>160.8806636885769</v>
      </c>
      <c r="M113" s="1044"/>
      <c r="N113" s="1045"/>
      <c r="O113" s="1045"/>
    </row>
    <row r="114" spans="1:15" ht="14.4" x14ac:dyDescent="0.3">
      <c r="A114" s="830">
        <v>2012</v>
      </c>
      <c r="B114" s="831">
        <v>105.23637760431055</v>
      </c>
      <c r="D114" s="718">
        <v>2012</v>
      </c>
      <c r="E114" s="1014">
        <v>584.6</v>
      </c>
      <c r="F114" s="1046"/>
      <c r="G114" s="718">
        <v>2012</v>
      </c>
      <c r="H114" s="833">
        <v>21.447500000000002</v>
      </c>
      <c r="K114" s="1013">
        <v>2012</v>
      </c>
      <c r="L114" s="1017">
        <v>166.11359285258459</v>
      </c>
      <c r="M114" s="1044"/>
      <c r="N114" s="1045"/>
      <c r="O114" s="1045"/>
    </row>
    <row r="115" spans="1:15" ht="14.4" x14ac:dyDescent="0.3">
      <c r="A115" s="830">
        <v>2013</v>
      </c>
      <c r="B115" s="831">
        <v>107.07698945778775</v>
      </c>
      <c r="D115" s="718">
        <v>2013</v>
      </c>
      <c r="E115" s="1014">
        <v>567.29999999999995</v>
      </c>
      <c r="F115" s="1046"/>
      <c r="G115" s="718">
        <v>2013</v>
      </c>
      <c r="H115" s="833">
        <v>21.4025</v>
      </c>
      <c r="K115" s="1013">
        <v>2013</v>
      </c>
      <c r="L115" s="1017">
        <v>168.41097638800255</v>
      </c>
      <c r="M115" s="1044"/>
      <c r="N115" s="1045"/>
      <c r="O115" s="1045"/>
    </row>
    <row r="116" spans="1:15" ht="14.4" x14ac:dyDescent="0.3">
      <c r="A116" s="830">
        <v>2014</v>
      </c>
      <c r="B116" s="831">
        <v>109.07756300464888</v>
      </c>
      <c r="D116" s="718">
        <v>2014</v>
      </c>
      <c r="E116" s="1014">
        <v>576.1</v>
      </c>
      <c r="F116" s="1046"/>
      <c r="G116" s="718">
        <v>2014</v>
      </c>
      <c r="H116" s="833">
        <v>21.488333333333333</v>
      </c>
      <c r="K116" s="1013">
        <v>2014</v>
      </c>
      <c r="L116" s="1017">
        <v>171.79323548181239</v>
      </c>
      <c r="M116" s="1044"/>
      <c r="N116" s="1045"/>
      <c r="O116" s="1045"/>
    </row>
    <row r="117" spans="1:15" ht="14.4" x14ac:dyDescent="0.3">
      <c r="A117" s="830">
        <v>2015</v>
      </c>
      <c r="B117" s="831">
        <v>110.1730901284166</v>
      </c>
      <c r="D117" s="718">
        <v>2015</v>
      </c>
      <c r="E117" s="1014">
        <v>556.79999999999995</v>
      </c>
      <c r="F117" s="1046"/>
      <c r="G117" s="718">
        <v>2015</v>
      </c>
      <c r="H117" s="833">
        <v>21.754999999999999</v>
      </c>
      <c r="K117" s="1013">
        <v>2015</v>
      </c>
      <c r="L117" s="1017">
        <v>168.98532227185709</v>
      </c>
      <c r="M117" s="1044"/>
      <c r="N117" s="1045"/>
      <c r="O117" s="1045"/>
    </row>
    <row r="118" spans="1:15" ht="14.4" x14ac:dyDescent="0.3">
      <c r="A118" s="830">
        <v>2016</v>
      </c>
      <c r="B118" s="831">
        <v>111.27519462444519</v>
      </c>
      <c r="D118" s="718">
        <f>+D117+1</f>
        <v>2016</v>
      </c>
      <c r="E118" s="1014">
        <v>541.70000000000005</v>
      </c>
      <c r="F118" s="1046"/>
      <c r="G118" s="718">
        <v>2016</v>
      </c>
      <c r="H118" s="833">
        <v>22.714999999999993</v>
      </c>
      <c r="K118" s="1013">
        <v>2016</v>
      </c>
      <c r="L118" s="1017">
        <v>170.4530950861519</v>
      </c>
      <c r="M118" s="1044"/>
      <c r="N118" s="1045"/>
      <c r="O118" s="1045"/>
    </row>
    <row r="119" spans="1:15" ht="14.4" x14ac:dyDescent="0.3">
      <c r="A119" s="830">
        <v>2017</v>
      </c>
      <c r="B119" s="831">
        <v>113.38521564572694</v>
      </c>
      <c r="D119" s="1164">
        <f t="shared" ref="D119:D122" si="8">+D118+1</f>
        <v>2017</v>
      </c>
      <c r="E119" s="1165">
        <v>567.5</v>
      </c>
      <c r="G119" s="1164">
        <v>2017</v>
      </c>
      <c r="H119" s="1167">
        <v>24.275833333333328</v>
      </c>
      <c r="K119" s="1164">
        <f>+K118+1</f>
        <v>2017</v>
      </c>
      <c r="L119" s="1174">
        <v>177.13905876096783</v>
      </c>
      <c r="M119" s="1044"/>
      <c r="N119" s="1045"/>
      <c r="O119" s="1045"/>
    </row>
    <row r="120" spans="1:15" ht="14.4" x14ac:dyDescent="0.3">
      <c r="A120" s="1169">
        <v>2018</v>
      </c>
      <c r="B120" s="1170">
        <v>116.09509301719851</v>
      </c>
      <c r="D120" s="1164">
        <f t="shared" si="8"/>
        <v>2018</v>
      </c>
      <c r="E120" s="1165">
        <v>603.1</v>
      </c>
      <c r="G120" s="1164">
        <v>2018</v>
      </c>
      <c r="H120" s="1167">
        <v>25.462500000000002</v>
      </c>
      <c r="K120" s="1164">
        <f>+K119+1</f>
        <v>2018</v>
      </c>
      <c r="L120" s="1174">
        <v>185.15820260568998</v>
      </c>
      <c r="M120" s="1044"/>
      <c r="N120" s="1045"/>
      <c r="O120" s="1045"/>
    </row>
    <row r="121" spans="1:15" ht="14.4" x14ac:dyDescent="0.3">
      <c r="A121" s="1169">
        <v>2019</v>
      </c>
      <c r="B121" s="1170">
        <v>118.17196408228557</v>
      </c>
      <c r="D121" s="1164">
        <f t="shared" si="8"/>
        <v>2019</v>
      </c>
      <c r="E121" s="1165">
        <v>607.5</v>
      </c>
      <c r="G121" s="1164">
        <v>2019</v>
      </c>
      <c r="H121" s="1167">
        <v>25.46083333333333</v>
      </c>
      <c r="K121" s="1164">
        <f>+K120+1</f>
        <v>2019</v>
      </c>
      <c r="L121" s="1174">
        <v>186.37596383940442</v>
      </c>
      <c r="M121" s="1044"/>
      <c r="N121" s="1045"/>
      <c r="O121" s="1045"/>
    </row>
    <row r="122" spans="1:15" ht="14.4" x14ac:dyDescent="0.3">
      <c r="A122" s="1169">
        <v>2020</v>
      </c>
      <c r="B122" s="1170">
        <v>119.58504673880728</v>
      </c>
      <c r="D122" s="1164">
        <f t="shared" si="8"/>
        <v>2020</v>
      </c>
      <c r="E122" s="1165">
        <v>596.20000000000005</v>
      </c>
      <c r="G122" s="1164">
        <v>2020</v>
      </c>
      <c r="H122" s="1167">
        <v>26.035833333333333</v>
      </c>
      <c r="K122" s="1164">
        <f>+K121+1</f>
        <v>2020</v>
      </c>
      <c r="L122" s="1174">
        <v>184.41371975538419</v>
      </c>
      <c r="M122" s="1044"/>
      <c r="N122" s="1045"/>
      <c r="O122" s="1045"/>
    </row>
    <row r="123" spans="1:15" ht="15" thickBot="1" x14ac:dyDescent="0.35">
      <c r="A123" s="1171">
        <v>2021</v>
      </c>
      <c r="B123" s="1172">
        <v>124.54122828480547</v>
      </c>
      <c r="D123" s="1162">
        <v>2021</v>
      </c>
      <c r="E123" s="1163">
        <v>708.01666666666677</v>
      </c>
      <c r="G123" s="1162">
        <v>2021</v>
      </c>
      <c r="H123" s="1168">
        <v>26.685000000000002</v>
      </c>
      <c r="K123" s="1162">
        <f>+K122+1</f>
        <v>2021</v>
      </c>
      <c r="L123" s="1175">
        <v>205.95490561021009</v>
      </c>
      <c r="M123" s="1044"/>
      <c r="N123" s="1045"/>
      <c r="O123" s="1045"/>
    </row>
    <row r="124" spans="1:15" ht="13.8" thickTop="1" x14ac:dyDescent="0.25">
      <c r="A124" s="299" t="s">
        <v>1285</v>
      </c>
      <c r="D124" s="299" t="s">
        <v>1286</v>
      </c>
      <c r="G124" s="299" t="s">
        <v>1284</v>
      </c>
      <c r="K124" s="299" t="s">
        <v>1175</v>
      </c>
      <c r="M124" s="1044"/>
      <c r="N124" s="1045"/>
      <c r="O124" s="1045"/>
    </row>
    <row r="125" spans="1:15" x14ac:dyDescent="0.25">
      <c r="K125" s="299" t="s">
        <v>1177</v>
      </c>
      <c r="M125" s="1044"/>
      <c r="N125" s="1045"/>
      <c r="O125" s="1045"/>
    </row>
    <row r="126" spans="1:15" x14ac:dyDescent="0.25">
      <c r="K126" s="299" t="s">
        <v>1283</v>
      </c>
      <c r="M126" s="1044"/>
      <c r="N126" s="1045"/>
      <c r="O126" s="1045"/>
    </row>
    <row r="127" spans="1:15" x14ac:dyDescent="0.25">
      <c r="M127" s="1044"/>
      <c r="N127" s="1045"/>
      <c r="O127" s="1045"/>
    </row>
    <row r="128" spans="1:15" x14ac:dyDescent="0.25">
      <c r="B128">
        <f>+B120/B113</f>
        <v>1.123834822383635</v>
      </c>
      <c r="M128" s="1046"/>
      <c r="N128" s="1045"/>
      <c r="O128" s="1045"/>
    </row>
    <row r="129" spans="1:15" x14ac:dyDescent="0.25">
      <c r="B129">
        <f>+B120/B119</f>
        <v>1.0238997417435673</v>
      </c>
      <c r="M129" s="1046"/>
      <c r="N129" s="1045"/>
      <c r="O129" s="1045"/>
    </row>
    <row r="130" spans="1:15" x14ac:dyDescent="0.25">
      <c r="M130" s="1046"/>
      <c r="N130" s="1045"/>
      <c r="O130" s="1045"/>
    </row>
    <row r="131" spans="1:15" x14ac:dyDescent="0.25">
      <c r="M131" s="1046"/>
      <c r="N131" s="1045"/>
    </row>
    <row r="132" spans="1:15" ht="13.8" thickBot="1" x14ac:dyDescent="0.3">
      <c r="M132" s="1046"/>
      <c r="N132" s="1045"/>
    </row>
    <row r="133" spans="1:15" ht="28.2" thickBot="1" x14ac:dyDescent="0.3">
      <c r="A133" s="1115" t="s">
        <v>1074</v>
      </c>
      <c r="B133" s="1116"/>
      <c r="C133" s="1116"/>
      <c r="D133" s="1116"/>
      <c r="E133" s="1116"/>
      <c r="F133" s="1116"/>
      <c r="G133" s="1116"/>
      <c r="H133" s="1116"/>
      <c r="I133" s="1117"/>
      <c r="M133" s="1046"/>
      <c r="N133" s="1045"/>
    </row>
    <row r="134" spans="1:15" ht="52.8" x14ac:dyDescent="0.25">
      <c r="A134" s="1099"/>
      <c r="B134" s="519"/>
      <c r="C134" s="1626" t="s">
        <v>121</v>
      </c>
      <c r="D134" s="1626"/>
      <c r="E134" s="1626"/>
      <c r="F134" s="1627" t="s">
        <v>122</v>
      </c>
      <c r="G134" s="1626"/>
      <c r="H134" s="1628"/>
      <c r="I134" s="1100" t="s">
        <v>123</v>
      </c>
    </row>
    <row r="135" spans="1:15" ht="30" customHeight="1" thickBot="1" x14ac:dyDescent="0.3">
      <c r="A135" s="496" t="s">
        <v>124</v>
      </c>
      <c r="B135" s="520" t="s">
        <v>125</v>
      </c>
      <c r="C135" s="521" t="s">
        <v>126</v>
      </c>
      <c r="D135" s="521" t="s">
        <v>393</v>
      </c>
      <c r="E135" s="521" t="s">
        <v>394</v>
      </c>
      <c r="F135" s="496" t="s">
        <v>398</v>
      </c>
      <c r="G135" s="497" t="s">
        <v>399</v>
      </c>
      <c r="H135" s="498" t="s">
        <v>400</v>
      </c>
      <c r="I135" s="1101" t="s">
        <v>127</v>
      </c>
    </row>
    <row r="136" spans="1:15" x14ac:dyDescent="0.25">
      <c r="A136" s="1102" t="s">
        <v>1058</v>
      </c>
      <c r="B136" s="522" t="s">
        <v>128</v>
      </c>
      <c r="C136" s="708">
        <f t="shared" ref="C136:I145" si="9">+AVERAGEIFS(D$165:D$524,$B$165:$B$524,$A136,$C$165:$C$524,"&gt;="&amp;startup_year,$C$165:$C$524,"&lt;="&amp;(startup_year+anal_period))</f>
        <v>1092333.3333333333</v>
      </c>
      <c r="D136" s="709">
        <f t="shared" si="9"/>
        <v>1092000</v>
      </c>
      <c r="E136" s="710">
        <f t="shared" si="9"/>
        <v>3983.1111111111113</v>
      </c>
      <c r="F136" s="711">
        <f t="shared" si="9"/>
        <v>5.7637</v>
      </c>
      <c r="G136" s="711">
        <f t="shared" si="9"/>
        <v>0.18463255555555558</v>
      </c>
      <c r="H136" s="711">
        <f t="shared" si="9"/>
        <v>8.6144444444444441E-4</v>
      </c>
      <c r="I136" s="1103">
        <f t="shared" si="9"/>
        <v>11.590077777777779</v>
      </c>
    </row>
    <row r="137" spans="1:15" ht="16.5" customHeight="1" x14ac:dyDescent="0.25">
      <c r="A137" s="1104" t="s">
        <v>280</v>
      </c>
      <c r="B137" s="523" t="s">
        <v>128</v>
      </c>
      <c r="C137" s="712">
        <f t="shared" si="9"/>
        <v>1092333.3333333333</v>
      </c>
      <c r="D137" s="713">
        <f t="shared" si="9"/>
        <v>1092000</v>
      </c>
      <c r="E137" s="714">
        <f t="shared" si="9"/>
        <v>3983.1111111111113</v>
      </c>
      <c r="F137" s="715">
        <f t="shared" si="9"/>
        <v>5.7637</v>
      </c>
      <c r="G137" s="715">
        <f t="shared" si="9"/>
        <v>0.18463255555555558</v>
      </c>
      <c r="H137" s="715">
        <f t="shared" si="9"/>
        <v>8.6144444444444441E-4</v>
      </c>
      <c r="I137" s="1105">
        <f t="shared" si="9"/>
        <v>11.590077777777779</v>
      </c>
    </row>
    <row r="138" spans="1:15" x14ac:dyDescent="0.25">
      <c r="A138" s="1106" t="s">
        <v>1059</v>
      </c>
      <c r="B138" s="1094" t="s">
        <v>128</v>
      </c>
      <c r="C138" s="1095">
        <f t="shared" si="9"/>
        <v>1092333.3333333333</v>
      </c>
      <c r="D138" s="1096">
        <f t="shared" si="9"/>
        <v>1092000</v>
      </c>
      <c r="E138" s="1097">
        <f t="shared" si="9"/>
        <v>3983.1111111111113</v>
      </c>
      <c r="F138" s="1098">
        <f t="shared" si="9"/>
        <v>5.7637</v>
      </c>
      <c r="G138" s="1098">
        <f t="shared" si="9"/>
        <v>0.18463255555555558</v>
      </c>
      <c r="H138" s="1098">
        <f t="shared" si="9"/>
        <v>8.6144444444444441E-4</v>
      </c>
      <c r="I138" s="1107">
        <f t="shared" si="9"/>
        <v>11.590077777777779</v>
      </c>
    </row>
    <row r="139" spans="1:15" x14ac:dyDescent="0.25">
      <c r="A139" s="1104" t="s">
        <v>666</v>
      </c>
      <c r="B139" s="524" t="s">
        <v>128</v>
      </c>
      <c r="C139" s="713">
        <f t="shared" si="9"/>
        <v>1092333.3333333333</v>
      </c>
      <c r="D139" s="713">
        <f t="shared" si="9"/>
        <v>1092000</v>
      </c>
      <c r="E139" s="713">
        <f t="shared" si="9"/>
        <v>3983.1111111111113</v>
      </c>
      <c r="F139" s="716">
        <f t="shared" si="9"/>
        <v>5.7637</v>
      </c>
      <c r="G139" s="715">
        <f t="shared" si="9"/>
        <v>0.18463255555555558</v>
      </c>
      <c r="H139" s="717">
        <f t="shared" si="9"/>
        <v>8.6144444444444441E-4</v>
      </c>
      <c r="I139" s="1105">
        <f t="shared" si="9"/>
        <v>11.590077777777779</v>
      </c>
      <c r="K139" s="1166"/>
      <c r="M139" s="299"/>
    </row>
    <row r="140" spans="1:15" x14ac:dyDescent="0.25">
      <c r="A140" s="1104" t="s">
        <v>667</v>
      </c>
      <c r="B140" s="524" t="s">
        <v>1192</v>
      </c>
      <c r="C140" s="713">
        <f t="shared" si="9"/>
        <v>-1186000</v>
      </c>
      <c r="D140" s="713">
        <f t="shared" si="9"/>
        <v>0</v>
      </c>
      <c r="E140" s="713">
        <f t="shared" si="9"/>
        <v>0</v>
      </c>
      <c r="F140" s="716">
        <f t="shared" si="9"/>
        <v>-85.798888888888868</v>
      </c>
      <c r="G140" s="715">
        <f t="shared" si="9"/>
        <v>0.54695555555555553</v>
      </c>
      <c r="H140" s="717">
        <f t="shared" si="9"/>
        <v>-1.8301999999999997E-3</v>
      </c>
      <c r="I140" s="1105">
        <f t="shared" si="9"/>
        <v>-70.082222222222228</v>
      </c>
      <c r="K140" s="1173"/>
      <c r="M140" s="299"/>
    </row>
    <row r="141" spans="1:15" x14ac:dyDescent="0.25">
      <c r="A141" s="1104" t="s">
        <v>668</v>
      </c>
      <c r="B141" s="524" t="s">
        <v>129</v>
      </c>
      <c r="C141" s="713">
        <f t="shared" si="9"/>
        <v>1787000</v>
      </c>
      <c r="D141" s="713">
        <f t="shared" si="9"/>
        <v>1370111.111111111</v>
      </c>
      <c r="E141" s="713">
        <f t="shared" si="9"/>
        <v>21116.666666666668</v>
      </c>
      <c r="F141" s="716">
        <f t="shared" si="9"/>
        <v>140.12111111111111</v>
      </c>
      <c r="G141" s="715">
        <f t="shared" si="9"/>
        <v>0.2125671111111111</v>
      </c>
      <c r="H141" s="717">
        <f t="shared" si="9"/>
        <v>2.0498222222222226E-3</v>
      </c>
      <c r="I141" s="1105">
        <f t="shared" si="9"/>
        <v>145.54777777777775</v>
      </c>
      <c r="K141" s="1166"/>
      <c r="M141" s="299"/>
    </row>
    <row r="142" spans="1:15" x14ac:dyDescent="0.25">
      <c r="A142" s="1104" t="s">
        <v>683</v>
      </c>
      <c r="B142" s="524" t="s">
        <v>129</v>
      </c>
      <c r="C142" s="713">
        <f t="shared" si="9"/>
        <v>1787000</v>
      </c>
      <c r="D142" s="713">
        <f t="shared" si="9"/>
        <v>1370111.111111111</v>
      </c>
      <c r="E142" s="713">
        <f t="shared" si="9"/>
        <v>21116.666666666668</v>
      </c>
      <c r="F142" s="716">
        <f t="shared" si="9"/>
        <v>140.12111111111111</v>
      </c>
      <c r="G142" s="715">
        <f t="shared" si="9"/>
        <v>0.2125671111111111</v>
      </c>
      <c r="H142" s="717">
        <f t="shared" si="9"/>
        <v>2.0498222222222226E-3</v>
      </c>
      <c r="I142" s="1105">
        <f t="shared" si="9"/>
        <v>145.54777777777775</v>
      </c>
    </row>
    <row r="143" spans="1:15" x14ac:dyDescent="0.25">
      <c r="A143" s="1104" t="s">
        <v>669</v>
      </c>
      <c r="B143" s="524" t="s">
        <v>129</v>
      </c>
      <c r="C143" s="713">
        <f t="shared" si="9"/>
        <v>1787000</v>
      </c>
      <c r="D143" s="713">
        <f t="shared" si="9"/>
        <v>1370111.111111111</v>
      </c>
      <c r="E143" s="713">
        <f t="shared" si="9"/>
        <v>21116.666666666668</v>
      </c>
      <c r="F143" s="716">
        <f t="shared" si="9"/>
        <v>140.12111111111111</v>
      </c>
      <c r="G143" s="715">
        <f t="shared" si="9"/>
        <v>0.2125671111111111</v>
      </c>
      <c r="H143" s="717">
        <f t="shared" si="9"/>
        <v>2.0498222222222226E-3</v>
      </c>
      <c r="I143" s="1105">
        <f t="shared" si="9"/>
        <v>145.54777777777775</v>
      </c>
    </row>
    <row r="144" spans="1:15" x14ac:dyDescent="0.25">
      <c r="A144" s="1104" t="s">
        <v>1060</v>
      </c>
      <c r="B144" s="524" t="s">
        <v>130</v>
      </c>
      <c r="C144" s="713">
        <f t="shared" si="9"/>
        <v>1022000</v>
      </c>
      <c r="D144" s="713">
        <f t="shared" si="9"/>
        <v>1021000</v>
      </c>
      <c r="E144" s="713">
        <f t="shared" si="9"/>
        <v>15525.555555555555</v>
      </c>
      <c r="F144" s="716">
        <f t="shared" si="9"/>
        <v>1.7266111111111111</v>
      </c>
      <c r="G144" s="715">
        <f t="shared" si="9"/>
        <v>0.1409730933333333</v>
      </c>
      <c r="H144" s="717">
        <f t="shared" si="9"/>
        <v>3.3298666666666667E-5</v>
      </c>
      <c r="I144" s="1105">
        <f t="shared" si="9"/>
        <v>5.9858888888888888</v>
      </c>
    </row>
    <row r="145" spans="1:9" x14ac:dyDescent="0.25">
      <c r="A145" s="1104" t="s">
        <v>701</v>
      </c>
      <c r="B145" s="524" t="s">
        <v>130</v>
      </c>
      <c r="C145" s="713">
        <f t="shared" si="9"/>
        <v>1022000</v>
      </c>
      <c r="D145" s="713">
        <f t="shared" si="9"/>
        <v>1021000</v>
      </c>
      <c r="E145" s="713">
        <f t="shared" si="9"/>
        <v>15525.555555555555</v>
      </c>
      <c r="F145" s="716">
        <f t="shared" si="9"/>
        <v>1.7266111111111111</v>
      </c>
      <c r="G145" s="715">
        <f t="shared" si="9"/>
        <v>0.1409730933333333</v>
      </c>
      <c r="H145" s="717">
        <f t="shared" si="9"/>
        <v>3.3298666666666667E-5</v>
      </c>
      <c r="I145" s="1105">
        <f t="shared" si="9"/>
        <v>5.9858888888888888</v>
      </c>
    </row>
    <row r="146" spans="1:9" x14ac:dyDescent="0.25">
      <c r="A146" s="1104" t="s">
        <v>702</v>
      </c>
      <c r="B146" s="524" t="s">
        <v>130</v>
      </c>
      <c r="C146" s="713">
        <f t="shared" ref="C146:I153" si="10">+AVERAGEIFS(D$165:D$524,$B$165:$B$524,$A146,$C$165:$C$524,"&gt;="&amp;startup_year,$C$165:$C$524,"&lt;="&amp;(startup_year+anal_period))</f>
        <v>1022000</v>
      </c>
      <c r="D146" s="713">
        <f t="shared" si="10"/>
        <v>1021000</v>
      </c>
      <c r="E146" s="713">
        <f t="shared" si="10"/>
        <v>15525.555555555555</v>
      </c>
      <c r="F146" s="716">
        <f t="shared" si="10"/>
        <v>1.7266111111111111</v>
      </c>
      <c r="G146" s="715">
        <f t="shared" si="10"/>
        <v>0.1409730933333333</v>
      </c>
      <c r="H146" s="717">
        <f t="shared" si="10"/>
        <v>3.3298666666666667E-5</v>
      </c>
      <c r="I146" s="1105">
        <f t="shared" si="10"/>
        <v>5.9858888888888888</v>
      </c>
    </row>
    <row r="147" spans="1:9" x14ac:dyDescent="0.25">
      <c r="A147" s="1104" t="s">
        <v>891</v>
      </c>
      <c r="B147" s="524" t="s">
        <v>131</v>
      </c>
      <c r="C147" s="713">
        <f t="shared" si="10"/>
        <v>1209444.4444444445</v>
      </c>
      <c r="D147" s="713">
        <f t="shared" si="10"/>
        <v>1202666.6666666667</v>
      </c>
      <c r="E147" s="713">
        <f t="shared" si="10"/>
        <v>1052111.111111111</v>
      </c>
      <c r="F147" s="716">
        <f t="shared" si="10"/>
        <v>18.180666666666667</v>
      </c>
      <c r="G147" s="715">
        <f t="shared" si="10"/>
        <v>0.16397644444444445</v>
      </c>
      <c r="H147" s="717">
        <f t="shared" si="10"/>
        <v>2.936588888888889E-4</v>
      </c>
      <c r="I147" s="1105">
        <f t="shared" si="10"/>
        <v>23.206555555555557</v>
      </c>
    </row>
    <row r="148" spans="1:9" x14ac:dyDescent="0.25">
      <c r="A148" s="1104" t="s">
        <v>889</v>
      </c>
      <c r="B148" s="524" t="s">
        <v>1075</v>
      </c>
      <c r="C148" s="713">
        <f t="shared" si="10"/>
        <v>1592777.7777777778</v>
      </c>
      <c r="D148" s="713">
        <f t="shared" si="10"/>
        <v>700588.88888888888</v>
      </c>
      <c r="E148" s="713">
        <f t="shared" si="10"/>
        <v>286633.33333333331</v>
      </c>
      <c r="F148" s="716">
        <f t="shared" si="10"/>
        <v>38.703111111111113</v>
      </c>
      <c r="G148" s="715">
        <f t="shared" si="10"/>
        <v>0.1123</v>
      </c>
      <c r="H148" s="717">
        <f t="shared" si="10"/>
        <v>2.5603333333333339E-2</v>
      </c>
      <c r="I148" s="1105">
        <f t="shared" si="10"/>
        <v>45.774444444444448</v>
      </c>
    </row>
    <row r="149" spans="1:9" x14ac:dyDescent="0.25">
      <c r="A149" s="1104" t="s">
        <v>892</v>
      </c>
      <c r="B149" s="524" t="s">
        <v>131</v>
      </c>
      <c r="C149" s="713">
        <f t="shared" si="10"/>
        <v>1250222.2222222222</v>
      </c>
      <c r="D149" s="713">
        <f t="shared" si="10"/>
        <v>1242777.7777777778</v>
      </c>
      <c r="E149" s="713">
        <f t="shared" si="10"/>
        <v>1078333.3333333333</v>
      </c>
      <c r="F149" s="716">
        <f t="shared" si="10"/>
        <v>24.072999999999997</v>
      </c>
      <c r="G149" s="715">
        <f t="shared" si="10"/>
        <v>0.16967222222222225</v>
      </c>
      <c r="H149" s="717">
        <f t="shared" si="10"/>
        <v>3.8183666666666668E-4</v>
      </c>
      <c r="I149" s="1105">
        <f t="shared" si="10"/>
        <v>29.393666666666668</v>
      </c>
    </row>
    <row r="150" spans="1:9" x14ac:dyDescent="0.25">
      <c r="A150" s="1104" t="s">
        <v>1054</v>
      </c>
      <c r="B150" s="524" t="s">
        <v>1193</v>
      </c>
      <c r="C150" s="713">
        <f t="shared" si="10"/>
        <v>1190111.111111111</v>
      </c>
      <c r="D150" s="713">
        <f t="shared" si="10"/>
        <v>51895.555555555555</v>
      </c>
      <c r="E150" s="713">
        <f t="shared" si="10"/>
        <v>29306.666666666668</v>
      </c>
      <c r="F150" s="716">
        <f t="shared" si="10"/>
        <v>3.8090555555555556</v>
      </c>
      <c r="G150" s="715">
        <f t="shared" si="10"/>
        <v>8.4619555555555549E-3</v>
      </c>
      <c r="H150" s="717">
        <f t="shared" si="10"/>
        <v>-3.8254046666666669E-3</v>
      </c>
      <c r="I150" s="1105">
        <f t="shared" si="10"/>
        <v>3.0600888888888895</v>
      </c>
    </row>
    <row r="151" spans="1:9" x14ac:dyDescent="0.25">
      <c r="A151" s="1104" t="s">
        <v>800</v>
      </c>
      <c r="B151" s="524" t="s">
        <v>1193</v>
      </c>
      <c r="C151" s="713">
        <f t="shared" si="10"/>
        <v>1190111.111111111</v>
      </c>
      <c r="D151" s="713">
        <f t="shared" si="10"/>
        <v>51895.555555555555</v>
      </c>
      <c r="E151" s="713">
        <f t="shared" si="10"/>
        <v>29306.666666666668</v>
      </c>
      <c r="F151" s="716">
        <f t="shared" si="10"/>
        <v>3.8090555555555556</v>
      </c>
      <c r="G151" s="715">
        <f t="shared" si="10"/>
        <v>8.4619555555555549E-3</v>
      </c>
      <c r="H151" s="717">
        <f t="shared" si="10"/>
        <v>-3.8254046666666669E-3</v>
      </c>
      <c r="I151" s="1105">
        <f t="shared" si="10"/>
        <v>3.0600888888888895</v>
      </c>
    </row>
    <row r="152" spans="1:9" x14ac:dyDescent="0.25">
      <c r="A152" s="1104" t="s">
        <v>806</v>
      </c>
      <c r="B152" s="524" t="s">
        <v>1193</v>
      </c>
      <c r="C152" s="713">
        <f t="shared" si="10"/>
        <v>1190111.111111111</v>
      </c>
      <c r="D152" s="713">
        <f t="shared" si="10"/>
        <v>51895.555555555555</v>
      </c>
      <c r="E152" s="713">
        <f t="shared" si="10"/>
        <v>29306.666666666668</v>
      </c>
      <c r="F152" s="716">
        <f t="shared" si="10"/>
        <v>3.8090555555555556</v>
      </c>
      <c r="G152" s="715">
        <f t="shared" si="10"/>
        <v>8.4619555555555549E-3</v>
      </c>
      <c r="H152" s="717">
        <f t="shared" si="10"/>
        <v>-3.8254046666666669E-3</v>
      </c>
      <c r="I152" s="1105">
        <f t="shared" si="10"/>
        <v>3.0600888888888895</v>
      </c>
    </row>
    <row r="153" spans="1:9" ht="13.8" thickBot="1" x14ac:dyDescent="0.3">
      <c r="A153" s="1108" t="s">
        <v>1061</v>
      </c>
      <c r="B153" s="1109" t="s">
        <v>1194</v>
      </c>
      <c r="C153" s="1110">
        <f t="shared" si="10"/>
        <v>1384111.111111111</v>
      </c>
      <c r="D153" s="1110">
        <f t="shared" si="10"/>
        <v>1383222.2222222222</v>
      </c>
      <c r="E153" s="1110">
        <f t="shared" si="10"/>
        <v>5049.1111111111113</v>
      </c>
      <c r="F153" s="1111">
        <f t="shared" si="10"/>
        <v>78.603844444444448</v>
      </c>
      <c r="G153" s="1112">
        <f t="shared" si="10"/>
        <v>0.27492888888888889</v>
      </c>
      <c r="H153" s="1113">
        <f t="shared" si="10"/>
        <v>2.3310333333333333E-3</v>
      </c>
      <c r="I153" s="1114">
        <f t="shared" si="10"/>
        <v>87.627188888888881</v>
      </c>
    </row>
    <row r="162" spans="2:10" ht="13.8" thickBot="1" x14ac:dyDescent="0.3">
      <c r="B162" s="299" t="s">
        <v>1191</v>
      </c>
    </row>
    <row r="163" spans="2:10" ht="39.6" x14ac:dyDescent="0.25">
      <c r="D163" s="1076" t="s">
        <v>121</v>
      </c>
      <c r="E163" s="1077"/>
      <c r="F163" s="1078"/>
      <c r="G163" s="1076" t="s">
        <v>122</v>
      </c>
      <c r="H163" s="1077"/>
      <c r="I163" s="1077"/>
      <c r="J163" s="1078" t="s">
        <v>123</v>
      </c>
    </row>
    <row r="164" spans="2:10" ht="13.8" thickBot="1" x14ac:dyDescent="0.3">
      <c r="B164" s="1" t="s">
        <v>245</v>
      </c>
      <c r="C164" s="1" t="s">
        <v>1057</v>
      </c>
      <c r="D164" s="1079" t="s">
        <v>126</v>
      </c>
      <c r="E164" s="1080" t="s">
        <v>393</v>
      </c>
      <c r="F164" s="1081" t="s">
        <v>394</v>
      </c>
      <c r="G164" s="1079" t="s">
        <v>398</v>
      </c>
      <c r="H164" s="1080" t="s">
        <v>399</v>
      </c>
      <c r="I164" s="1080" t="s">
        <v>400</v>
      </c>
      <c r="J164" s="1081" t="s">
        <v>127</v>
      </c>
    </row>
    <row r="165" spans="2:10" x14ac:dyDescent="0.25">
      <c r="B165" s="1082" t="s">
        <v>1058</v>
      </c>
      <c r="C165" s="1083">
        <v>2005</v>
      </c>
      <c r="D165" s="1082">
        <v>1094000</v>
      </c>
      <c r="E165" s="1084">
        <v>1094000</v>
      </c>
      <c r="F165" s="1085">
        <v>4252</v>
      </c>
      <c r="G165" s="1082">
        <v>5.9984999999999999</v>
      </c>
      <c r="H165" s="1084">
        <v>0.18232600000000002</v>
      </c>
      <c r="I165" s="1084">
        <v>8.8801999999999994E-5</v>
      </c>
      <c r="J165" s="1085">
        <v>11.536999999999999</v>
      </c>
    </row>
    <row r="166" spans="2:10" x14ac:dyDescent="0.25">
      <c r="B166" s="1086" t="s">
        <v>280</v>
      </c>
      <c r="C166" s="1087">
        <v>2005</v>
      </c>
      <c r="D166" s="1086">
        <v>1094000</v>
      </c>
      <c r="E166" s="1088">
        <v>1094000</v>
      </c>
      <c r="F166" s="1089">
        <v>4252</v>
      </c>
      <c r="G166" s="1086">
        <v>5.9984999999999999</v>
      </c>
      <c r="H166" s="1088">
        <v>0.18232600000000002</v>
      </c>
      <c r="I166" s="1088">
        <v>8.8801999999999994E-5</v>
      </c>
      <c r="J166" s="1089">
        <v>11.536999999999999</v>
      </c>
    </row>
    <row r="167" spans="2:10" x14ac:dyDescent="0.25">
      <c r="B167" s="1086" t="s">
        <v>1059</v>
      </c>
      <c r="C167" s="1087">
        <v>2005</v>
      </c>
      <c r="D167" s="1086">
        <v>1094000</v>
      </c>
      <c r="E167" s="1088">
        <v>1094000</v>
      </c>
      <c r="F167" s="1089">
        <v>4252</v>
      </c>
      <c r="G167" s="1086">
        <v>5.9984999999999999</v>
      </c>
      <c r="H167" s="1088">
        <v>0.18232600000000002</v>
      </c>
      <c r="I167" s="1088">
        <v>8.8801999999999994E-5</v>
      </c>
      <c r="J167" s="1089">
        <v>11.536999999999999</v>
      </c>
    </row>
    <row r="168" spans="2:10" x14ac:dyDescent="0.25">
      <c r="B168" s="1086" t="s">
        <v>666</v>
      </c>
      <c r="C168" s="1087">
        <v>2005</v>
      </c>
      <c r="D168" s="1086">
        <v>1094000</v>
      </c>
      <c r="E168" s="1088">
        <v>1094000</v>
      </c>
      <c r="F168" s="1089">
        <v>4252</v>
      </c>
      <c r="G168" s="1086">
        <v>5.9984999999999999</v>
      </c>
      <c r="H168" s="1088">
        <v>0.18232600000000002</v>
      </c>
      <c r="I168" s="1088">
        <v>8.8801999999999994E-5</v>
      </c>
      <c r="J168" s="1089">
        <v>11.536999999999999</v>
      </c>
    </row>
    <row r="169" spans="2:10" x14ac:dyDescent="0.25">
      <c r="B169" s="1086" t="s">
        <v>667</v>
      </c>
      <c r="C169" s="1087">
        <v>2005</v>
      </c>
      <c r="D169" s="1086">
        <v>-1208000</v>
      </c>
      <c r="E169" s="1088">
        <v>0</v>
      </c>
      <c r="F169" s="1089">
        <v>0</v>
      </c>
      <c r="G169" s="1086">
        <v>-85.789999999999992</v>
      </c>
      <c r="H169" s="1088">
        <v>0.54689999999999994</v>
      </c>
      <c r="I169" s="1088">
        <v>-1.4884E-3</v>
      </c>
      <c r="J169" s="1089">
        <v>-70</v>
      </c>
    </row>
    <row r="170" spans="2:10" x14ac:dyDescent="0.25">
      <c r="B170" s="1086" t="s">
        <v>668</v>
      </c>
      <c r="C170" s="1087">
        <v>2005</v>
      </c>
      <c r="D170" s="1086">
        <v>2475000</v>
      </c>
      <c r="E170" s="1088">
        <v>2129000</v>
      </c>
      <c r="F170" s="1089">
        <v>124000</v>
      </c>
      <c r="G170" s="1086">
        <v>251.83</v>
      </c>
      <c r="H170" s="1088">
        <v>0.31369799999999998</v>
      </c>
      <c r="I170" s="1088">
        <v>3.6604999999999997E-3</v>
      </c>
      <c r="J170" s="1089">
        <v>255.85999999999999</v>
      </c>
    </row>
    <row r="171" spans="2:10" x14ac:dyDescent="0.25">
      <c r="B171" s="1086" t="s">
        <v>683</v>
      </c>
      <c r="C171" s="1087">
        <v>2005</v>
      </c>
      <c r="D171" s="1086">
        <v>2475000</v>
      </c>
      <c r="E171" s="1088">
        <v>2129000</v>
      </c>
      <c r="F171" s="1089">
        <v>124000</v>
      </c>
      <c r="G171" s="1086">
        <v>251.83</v>
      </c>
      <c r="H171" s="1088">
        <v>0.31369799999999998</v>
      </c>
      <c r="I171" s="1088">
        <v>3.6604999999999997E-3</v>
      </c>
      <c r="J171" s="1089">
        <v>255.85999999999999</v>
      </c>
    </row>
    <row r="172" spans="2:10" x14ac:dyDescent="0.25">
      <c r="B172" s="1086" t="s">
        <v>669</v>
      </c>
      <c r="C172" s="1087">
        <v>2005</v>
      </c>
      <c r="D172" s="1086">
        <v>2475000</v>
      </c>
      <c r="E172" s="1088">
        <v>2129000</v>
      </c>
      <c r="F172" s="1089">
        <v>124000</v>
      </c>
      <c r="G172" s="1086">
        <v>251.83</v>
      </c>
      <c r="H172" s="1088">
        <v>0.31369799999999998</v>
      </c>
      <c r="I172" s="1088">
        <v>3.6604999999999997E-3</v>
      </c>
      <c r="J172" s="1089">
        <v>255.85999999999999</v>
      </c>
    </row>
    <row r="173" spans="2:10" x14ac:dyDescent="0.25">
      <c r="B173" s="1086" t="s">
        <v>1060</v>
      </c>
      <c r="C173" s="1087">
        <v>2005</v>
      </c>
      <c r="D173" s="1086">
        <v>1023000</v>
      </c>
      <c r="E173" s="1088">
        <v>1022000</v>
      </c>
      <c r="F173" s="1089">
        <v>15840</v>
      </c>
      <c r="G173" s="1086">
        <v>1.9352</v>
      </c>
      <c r="H173" s="1088">
        <v>0.14136591000000001</v>
      </c>
      <c r="I173" s="1088">
        <v>3.6392E-5</v>
      </c>
      <c r="J173" s="1089">
        <v>6.2023000000000001</v>
      </c>
    </row>
    <row r="174" spans="2:10" x14ac:dyDescent="0.25">
      <c r="B174" s="1086" t="s">
        <v>701</v>
      </c>
      <c r="C174" s="1087">
        <v>2005</v>
      </c>
      <c r="D174" s="1086">
        <v>1023000</v>
      </c>
      <c r="E174" s="1088">
        <v>1022000</v>
      </c>
      <c r="F174" s="1089">
        <v>15840</v>
      </c>
      <c r="G174" s="1086">
        <v>1.9352</v>
      </c>
      <c r="H174" s="1088">
        <v>0.14136591000000001</v>
      </c>
      <c r="I174" s="1088">
        <v>3.6392E-5</v>
      </c>
      <c r="J174" s="1089">
        <v>6.2023000000000001</v>
      </c>
    </row>
    <row r="175" spans="2:10" x14ac:dyDescent="0.25">
      <c r="B175" s="1086" t="s">
        <v>702</v>
      </c>
      <c r="C175" s="1087">
        <v>2005</v>
      </c>
      <c r="D175" s="1086">
        <v>1023000</v>
      </c>
      <c r="E175" s="1088">
        <v>1022000</v>
      </c>
      <c r="F175" s="1089">
        <v>15840</v>
      </c>
      <c r="G175" s="1086">
        <v>1.9352</v>
      </c>
      <c r="H175" s="1088">
        <v>0.14136591000000001</v>
      </c>
      <c r="I175" s="1088">
        <v>3.6392E-5</v>
      </c>
      <c r="J175" s="1089">
        <v>6.2023000000000001</v>
      </c>
    </row>
    <row r="176" spans="2:10" x14ac:dyDescent="0.25">
      <c r="B176" s="1086" t="s">
        <v>891</v>
      </c>
      <c r="C176" s="1087">
        <v>2005</v>
      </c>
      <c r="D176" s="1086">
        <v>1205000</v>
      </c>
      <c r="E176" s="1088">
        <v>1200000</v>
      </c>
      <c r="F176" s="1089">
        <v>1056000</v>
      </c>
      <c r="G176" s="1086">
        <v>18.433</v>
      </c>
      <c r="H176" s="1088">
        <v>0.18217</v>
      </c>
      <c r="I176" s="1088">
        <v>2.0549999999999998E-4</v>
      </c>
      <c r="J176" s="1089">
        <v>23.908999999999999</v>
      </c>
    </row>
    <row r="177" spans="2:10" x14ac:dyDescent="0.25">
      <c r="B177" s="1086" t="s">
        <v>889</v>
      </c>
      <c r="C177" s="1087">
        <v>2005</v>
      </c>
      <c r="D177" s="1086">
        <v>1760000</v>
      </c>
      <c r="E177" s="1088">
        <v>783400</v>
      </c>
      <c r="F177" s="1089">
        <v>307400</v>
      </c>
      <c r="G177" s="1086">
        <v>47.923999999999999</v>
      </c>
      <c r="H177" s="1088">
        <v>0.13161500000000001</v>
      </c>
      <c r="I177" s="1088">
        <v>3.3619999999999997E-2</v>
      </c>
      <c r="J177" s="1089">
        <v>56.43</v>
      </c>
    </row>
    <row r="178" spans="2:10" x14ac:dyDescent="0.25">
      <c r="B178" s="1086" t="s">
        <v>892</v>
      </c>
      <c r="C178" s="1087">
        <v>2005</v>
      </c>
      <c r="D178" s="1086">
        <v>1248000</v>
      </c>
      <c r="E178" s="1088">
        <v>1242000</v>
      </c>
      <c r="F178" s="1089">
        <v>1084000</v>
      </c>
      <c r="G178" s="1086">
        <v>24.465</v>
      </c>
      <c r="H178" s="1088">
        <v>0.18840200000000001</v>
      </c>
      <c r="I178" s="1088">
        <v>2.7361999999999997E-4</v>
      </c>
      <c r="J178" s="1089">
        <v>30.237000000000002</v>
      </c>
    </row>
    <row r="179" spans="2:10" x14ac:dyDescent="0.25">
      <c r="B179" s="1086" t="s">
        <v>1054</v>
      </c>
      <c r="C179" s="1087">
        <v>2005</v>
      </c>
      <c r="D179" s="1086">
        <v>1195000</v>
      </c>
      <c r="E179" s="1088">
        <v>56800</v>
      </c>
      <c r="F179" s="1089">
        <v>32280</v>
      </c>
      <c r="G179" s="1086">
        <v>4.3339999999999996</v>
      </c>
      <c r="H179" s="1088">
        <v>9.434399999999999E-3</v>
      </c>
      <c r="I179" s="1088">
        <v>-3.8369229999999999E-3</v>
      </c>
      <c r="J179" s="1089">
        <v>3.6147</v>
      </c>
    </row>
    <row r="180" spans="2:10" x14ac:dyDescent="0.25">
      <c r="B180" s="1086" t="s">
        <v>800</v>
      </c>
      <c r="C180" s="1087">
        <v>2005</v>
      </c>
      <c r="D180" s="1086">
        <v>1195000</v>
      </c>
      <c r="E180" s="1088">
        <v>56800</v>
      </c>
      <c r="F180" s="1089">
        <v>32280</v>
      </c>
      <c r="G180" s="1086">
        <v>4.3339999999999996</v>
      </c>
      <c r="H180" s="1088">
        <v>9.434399999999999E-3</v>
      </c>
      <c r="I180" s="1088">
        <v>-3.8369229999999999E-3</v>
      </c>
      <c r="J180" s="1089">
        <v>3.6147</v>
      </c>
    </row>
    <row r="181" spans="2:10" x14ac:dyDescent="0.25">
      <c r="B181" s="1086" t="s">
        <v>806</v>
      </c>
      <c r="C181" s="1087">
        <v>2005</v>
      </c>
      <c r="D181" s="1086">
        <v>1195000</v>
      </c>
      <c r="E181" s="1088">
        <v>56800</v>
      </c>
      <c r="F181" s="1089">
        <v>32280</v>
      </c>
      <c r="G181" s="1086">
        <v>4.3339999999999996</v>
      </c>
      <c r="H181" s="1088">
        <v>9.434399999999999E-3</v>
      </c>
      <c r="I181" s="1088">
        <v>-3.8369229999999999E-3</v>
      </c>
      <c r="J181" s="1089">
        <v>3.6147</v>
      </c>
    </row>
    <row r="182" spans="2:10" ht="13.8" thickBot="1" x14ac:dyDescent="0.3">
      <c r="B182" s="1090" t="s">
        <v>1061</v>
      </c>
      <c r="C182" s="1091">
        <v>2005</v>
      </c>
      <c r="D182" s="1090">
        <v>1387000</v>
      </c>
      <c r="E182" s="1092">
        <v>1386000</v>
      </c>
      <c r="F182" s="1093">
        <v>5427</v>
      </c>
      <c r="G182" s="1090">
        <v>78.934799999999996</v>
      </c>
      <c r="H182" s="1092">
        <v>0.27050000000000002</v>
      </c>
      <c r="I182" s="1092">
        <v>1.418723E-3</v>
      </c>
      <c r="J182" s="1093">
        <v>87.571399999999997</v>
      </c>
    </row>
    <row r="183" spans="2:10" x14ac:dyDescent="0.25">
      <c r="B183" s="1082" t="s">
        <v>1058</v>
      </c>
      <c r="C183" s="1083">
        <v>2010</v>
      </c>
      <c r="D183" s="1082">
        <v>1094000</v>
      </c>
      <c r="E183" s="1084">
        <v>1093000</v>
      </c>
      <c r="F183" s="1085">
        <v>4104</v>
      </c>
      <c r="G183" s="1082">
        <v>5.9177</v>
      </c>
      <c r="H183" s="1084">
        <v>0.18431800000000001</v>
      </c>
      <c r="I183" s="1084">
        <v>8.6370000000000001E-4</v>
      </c>
      <c r="J183" s="1085">
        <v>11.7387</v>
      </c>
    </row>
    <row r="184" spans="2:10" x14ac:dyDescent="0.25">
      <c r="B184" s="1086" t="s">
        <v>280</v>
      </c>
      <c r="C184" s="1087">
        <v>2010</v>
      </c>
      <c r="D184" s="1086">
        <v>1094000</v>
      </c>
      <c r="E184" s="1088">
        <v>1093000</v>
      </c>
      <c r="F184" s="1089">
        <v>4104</v>
      </c>
      <c r="G184" s="1086">
        <v>5.9177</v>
      </c>
      <c r="H184" s="1088">
        <v>0.18431800000000001</v>
      </c>
      <c r="I184" s="1088">
        <v>8.6370000000000001E-4</v>
      </c>
      <c r="J184" s="1089">
        <v>11.7387</v>
      </c>
    </row>
    <row r="185" spans="2:10" x14ac:dyDescent="0.25">
      <c r="B185" s="1086" t="s">
        <v>1059</v>
      </c>
      <c r="C185" s="1087">
        <v>2010</v>
      </c>
      <c r="D185" s="1086">
        <v>1094000</v>
      </c>
      <c r="E185" s="1088">
        <v>1093000</v>
      </c>
      <c r="F185" s="1089">
        <v>4104</v>
      </c>
      <c r="G185" s="1086">
        <v>5.9177</v>
      </c>
      <c r="H185" s="1088">
        <v>0.18431800000000001</v>
      </c>
      <c r="I185" s="1088">
        <v>8.6370000000000001E-4</v>
      </c>
      <c r="J185" s="1089">
        <v>11.7387</v>
      </c>
    </row>
    <row r="186" spans="2:10" x14ac:dyDescent="0.25">
      <c r="B186" s="1086" t="s">
        <v>666</v>
      </c>
      <c r="C186" s="1087">
        <v>2010</v>
      </c>
      <c r="D186" s="1086">
        <v>1094000</v>
      </c>
      <c r="E186" s="1088">
        <v>1093000</v>
      </c>
      <c r="F186" s="1089">
        <v>4104</v>
      </c>
      <c r="G186" s="1086">
        <v>5.9177</v>
      </c>
      <c r="H186" s="1088">
        <v>0.18431800000000001</v>
      </c>
      <c r="I186" s="1088">
        <v>8.6370000000000001E-4</v>
      </c>
      <c r="J186" s="1089">
        <v>11.7387</v>
      </c>
    </row>
    <row r="187" spans="2:10" x14ac:dyDescent="0.25">
      <c r="B187" s="1086" t="s">
        <v>667</v>
      </c>
      <c r="C187" s="1087">
        <v>2010</v>
      </c>
      <c r="D187" s="1086">
        <v>-1208000</v>
      </c>
      <c r="E187" s="1088">
        <v>0</v>
      </c>
      <c r="F187" s="1089">
        <v>0</v>
      </c>
      <c r="G187" s="1086">
        <v>-85.789999999999992</v>
      </c>
      <c r="H187" s="1088">
        <v>0.54600000000000004</v>
      </c>
      <c r="I187" s="1088">
        <v>-1.8614999999999999E-3</v>
      </c>
      <c r="J187" s="1089">
        <v>-70.12</v>
      </c>
    </row>
    <row r="188" spans="2:10" x14ac:dyDescent="0.25">
      <c r="B188" s="1086" t="s">
        <v>668</v>
      </c>
      <c r="C188" s="1087">
        <v>2010</v>
      </c>
      <c r="D188" s="1086">
        <v>2254000</v>
      </c>
      <c r="E188" s="1088">
        <v>1938000</v>
      </c>
      <c r="F188" s="1089">
        <v>52730</v>
      </c>
      <c r="G188" s="1086">
        <v>220.67</v>
      </c>
      <c r="H188" s="1088">
        <v>0.288267</v>
      </c>
      <c r="I188" s="1088">
        <v>3.4012000000000001E-3</v>
      </c>
      <c r="J188" s="1089">
        <v>228.91000000000003</v>
      </c>
    </row>
    <row r="189" spans="2:10" x14ac:dyDescent="0.25">
      <c r="B189" s="1086" t="s">
        <v>683</v>
      </c>
      <c r="C189" s="1087">
        <v>2010</v>
      </c>
      <c r="D189" s="1086">
        <v>2254000</v>
      </c>
      <c r="E189" s="1088">
        <v>1938000</v>
      </c>
      <c r="F189" s="1089">
        <v>52730</v>
      </c>
      <c r="G189" s="1086">
        <v>220.67</v>
      </c>
      <c r="H189" s="1088">
        <v>0.288267</v>
      </c>
      <c r="I189" s="1088">
        <v>3.4012000000000001E-3</v>
      </c>
      <c r="J189" s="1089">
        <v>228.91000000000003</v>
      </c>
    </row>
    <row r="190" spans="2:10" x14ac:dyDescent="0.25">
      <c r="B190" s="1086" t="s">
        <v>669</v>
      </c>
      <c r="C190" s="1087">
        <v>2010</v>
      </c>
      <c r="D190" s="1086">
        <v>2254000</v>
      </c>
      <c r="E190" s="1088">
        <v>1938000</v>
      </c>
      <c r="F190" s="1089">
        <v>52730</v>
      </c>
      <c r="G190" s="1086">
        <v>220.67</v>
      </c>
      <c r="H190" s="1088">
        <v>0.288267</v>
      </c>
      <c r="I190" s="1088">
        <v>3.4012000000000001E-3</v>
      </c>
      <c r="J190" s="1089">
        <v>228.91000000000003</v>
      </c>
    </row>
    <row r="191" spans="2:10" x14ac:dyDescent="0.25">
      <c r="B191" s="1086" t="s">
        <v>1060</v>
      </c>
      <c r="C191" s="1087">
        <v>2010</v>
      </c>
      <c r="D191" s="1086">
        <v>1023000</v>
      </c>
      <c r="E191" s="1088">
        <v>1022000</v>
      </c>
      <c r="F191" s="1089">
        <v>15710</v>
      </c>
      <c r="G191" s="1086">
        <v>1.8761000000000001</v>
      </c>
      <c r="H191" s="1088">
        <v>0.14136795000000002</v>
      </c>
      <c r="I191" s="1088">
        <v>3.5802E-5</v>
      </c>
      <c r="J191" s="1089">
        <v>6.1511000000000005</v>
      </c>
    </row>
    <row r="192" spans="2:10" x14ac:dyDescent="0.25">
      <c r="B192" s="1086" t="s">
        <v>701</v>
      </c>
      <c r="C192" s="1087">
        <v>2010</v>
      </c>
      <c r="D192" s="1086">
        <v>1023000</v>
      </c>
      <c r="E192" s="1088">
        <v>1022000</v>
      </c>
      <c r="F192" s="1089">
        <v>15710</v>
      </c>
      <c r="G192" s="1086">
        <v>1.8761000000000001</v>
      </c>
      <c r="H192" s="1088">
        <v>0.14136795000000002</v>
      </c>
      <c r="I192" s="1088">
        <v>3.5802E-5</v>
      </c>
      <c r="J192" s="1089">
        <v>6.1511000000000005</v>
      </c>
    </row>
    <row r="193" spans="2:10" x14ac:dyDescent="0.25">
      <c r="B193" s="1086" t="s">
        <v>702</v>
      </c>
      <c r="C193" s="1087">
        <v>2010</v>
      </c>
      <c r="D193" s="1086">
        <v>1023000</v>
      </c>
      <c r="E193" s="1088">
        <v>1022000</v>
      </c>
      <c r="F193" s="1089">
        <v>15710</v>
      </c>
      <c r="G193" s="1086">
        <v>1.8761000000000001</v>
      </c>
      <c r="H193" s="1088">
        <v>0.14136795000000002</v>
      </c>
      <c r="I193" s="1088">
        <v>3.5802E-5</v>
      </c>
      <c r="J193" s="1089">
        <v>6.1511000000000005</v>
      </c>
    </row>
    <row r="194" spans="2:10" x14ac:dyDescent="0.25">
      <c r="B194" s="1086" t="s">
        <v>891</v>
      </c>
      <c r="C194" s="1087">
        <v>2010</v>
      </c>
      <c r="D194" s="1086">
        <v>1206000</v>
      </c>
      <c r="E194" s="1088">
        <v>1201000</v>
      </c>
      <c r="F194" s="1089">
        <v>1056000</v>
      </c>
      <c r="G194" s="1086">
        <v>18.166999999999998</v>
      </c>
      <c r="H194" s="1088">
        <v>0.18199899999999999</v>
      </c>
      <c r="I194" s="1088">
        <v>2.9639E-4</v>
      </c>
      <c r="J194" s="1089">
        <v>23.741999999999997</v>
      </c>
    </row>
    <row r="195" spans="2:10" x14ac:dyDescent="0.25">
      <c r="B195" s="1086" t="s">
        <v>889</v>
      </c>
      <c r="C195" s="1087">
        <v>2010</v>
      </c>
      <c r="D195" s="1086">
        <v>1687000</v>
      </c>
      <c r="E195" s="1088">
        <v>740000</v>
      </c>
      <c r="F195" s="1089">
        <v>297100</v>
      </c>
      <c r="G195" s="1086">
        <v>42.921999999999997</v>
      </c>
      <c r="H195" s="1088">
        <v>0.12687100000000001</v>
      </c>
      <c r="I195" s="1088">
        <v>2.955E-2</v>
      </c>
      <c r="J195" s="1089">
        <v>50.54</v>
      </c>
    </row>
    <row r="196" spans="2:10" x14ac:dyDescent="0.25">
      <c r="B196" s="1086" t="s">
        <v>892</v>
      </c>
      <c r="C196" s="1087">
        <v>2010</v>
      </c>
      <c r="D196" s="1086">
        <v>1248000</v>
      </c>
      <c r="E196" s="1088">
        <v>1242000</v>
      </c>
      <c r="F196" s="1089">
        <v>1083000</v>
      </c>
      <c r="G196" s="1086">
        <v>24.158999999999999</v>
      </c>
      <c r="H196" s="1088">
        <v>0.18823500000000001</v>
      </c>
      <c r="I196" s="1088">
        <v>3.8572999999999998E-4</v>
      </c>
      <c r="J196" s="1089">
        <v>30.041</v>
      </c>
    </row>
    <row r="197" spans="2:10" x14ac:dyDescent="0.25">
      <c r="B197" s="1086" t="s">
        <v>1054</v>
      </c>
      <c r="C197" s="1087">
        <v>2010</v>
      </c>
      <c r="D197" s="1086">
        <v>1194000</v>
      </c>
      <c r="E197" s="1088">
        <v>56320</v>
      </c>
      <c r="F197" s="1089">
        <v>32080</v>
      </c>
      <c r="G197" s="1086">
        <v>4.2514000000000003</v>
      </c>
      <c r="H197" s="1088">
        <v>9.6048000000000001E-3</v>
      </c>
      <c r="I197" s="1088">
        <v>-3.820487E-3</v>
      </c>
      <c r="J197" s="1089">
        <v>3.5488999999999997</v>
      </c>
    </row>
    <row r="198" spans="2:10" x14ac:dyDescent="0.25">
      <c r="B198" s="1086" t="s">
        <v>800</v>
      </c>
      <c r="C198" s="1087">
        <v>2010</v>
      </c>
      <c r="D198" s="1086">
        <v>1194000</v>
      </c>
      <c r="E198" s="1088">
        <v>56320</v>
      </c>
      <c r="F198" s="1089">
        <v>32080</v>
      </c>
      <c r="G198" s="1086">
        <v>4.2514000000000003</v>
      </c>
      <c r="H198" s="1088">
        <v>9.6048000000000001E-3</v>
      </c>
      <c r="I198" s="1088">
        <v>-3.820487E-3</v>
      </c>
      <c r="J198" s="1089">
        <v>3.5488999999999997</v>
      </c>
    </row>
    <row r="199" spans="2:10" x14ac:dyDescent="0.25">
      <c r="B199" s="1086" t="s">
        <v>806</v>
      </c>
      <c r="C199" s="1087">
        <v>2010</v>
      </c>
      <c r="D199" s="1086">
        <v>1194000</v>
      </c>
      <c r="E199" s="1088">
        <v>56320</v>
      </c>
      <c r="F199" s="1089">
        <v>32080</v>
      </c>
      <c r="G199" s="1086">
        <v>4.2514000000000003</v>
      </c>
      <c r="H199" s="1088">
        <v>9.6048000000000001E-3</v>
      </c>
      <c r="I199" s="1088">
        <v>-3.820487E-3</v>
      </c>
      <c r="J199" s="1089">
        <v>3.5488999999999997</v>
      </c>
    </row>
    <row r="200" spans="2:10" ht="13.8" thickBot="1" x14ac:dyDescent="0.3">
      <c r="B200" s="1090" t="s">
        <v>1061</v>
      </c>
      <c r="C200" s="1091">
        <v>2010</v>
      </c>
      <c r="D200" s="1090">
        <v>1386000</v>
      </c>
      <c r="E200" s="1092">
        <v>1385000</v>
      </c>
      <c r="F200" s="1093">
        <v>5215</v>
      </c>
      <c r="G200" s="1090">
        <v>78.8352</v>
      </c>
      <c r="H200" s="1092">
        <v>0.27453</v>
      </c>
      <c r="I200" s="1092">
        <v>2.3346E-3</v>
      </c>
      <c r="J200" s="1093">
        <v>87.848799999999997</v>
      </c>
    </row>
    <row r="201" spans="2:10" x14ac:dyDescent="0.25">
      <c r="B201" s="1082" t="s">
        <v>1058</v>
      </c>
      <c r="C201" s="1083">
        <v>2015</v>
      </c>
      <c r="D201" s="1082">
        <v>1093000</v>
      </c>
      <c r="E201" s="1084">
        <v>1092000</v>
      </c>
      <c r="F201" s="1085">
        <v>4020</v>
      </c>
      <c r="G201" s="1082">
        <v>5.8287000000000004</v>
      </c>
      <c r="H201" s="1084">
        <v>0.18472100000000002</v>
      </c>
      <c r="I201" s="1084">
        <v>8.6249999999999999E-4</v>
      </c>
      <c r="J201" s="1085">
        <v>11.659600000000001</v>
      </c>
    </row>
    <row r="202" spans="2:10" x14ac:dyDescent="0.25">
      <c r="B202" s="1086" t="s">
        <v>280</v>
      </c>
      <c r="C202" s="1087">
        <v>2015</v>
      </c>
      <c r="D202" s="1086">
        <v>1093000</v>
      </c>
      <c r="E202" s="1088">
        <v>1092000</v>
      </c>
      <c r="F202" s="1089">
        <v>4020</v>
      </c>
      <c r="G202" s="1086">
        <v>5.8287000000000004</v>
      </c>
      <c r="H202" s="1088">
        <v>0.18472100000000002</v>
      </c>
      <c r="I202" s="1088">
        <v>8.6249999999999999E-4</v>
      </c>
      <c r="J202" s="1089">
        <v>11.659600000000001</v>
      </c>
    </row>
    <row r="203" spans="2:10" x14ac:dyDescent="0.25">
      <c r="B203" s="1086" t="s">
        <v>1059</v>
      </c>
      <c r="C203" s="1087">
        <v>2015</v>
      </c>
      <c r="D203" s="1086">
        <v>1093000</v>
      </c>
      <c r="E203" s="1088">
        <v>1092000</v>
      </c>
      <c r="F203" s="1089">
        <v>4020</v>
      </c>
      <c r="G203" s="1086">
        <v>5.8287000000000004</v>
      </c>
      <c r="H203" s="1088">
        <v>0.18472100000000002</v>
      </c>
      <c r="I203" s="1088">
        <v>8.6249999999999999E-4</v>
      </c>
      <c r="J203" s="1089">
        <v>11.659600000000001</v>
      </c>
    </row>
    <row r="204" spans="2:10" x14ac:dyDescent="0.25">
      <c r="B204" s="1086" t="s">
        <v>666</v>
      </c>
      <c r="C204" s="1087">
        <v>2015</v>
      </c>
      <c r="D204" s="1086">
        <v>1093000</v>
      </c>
      <c r="E204" s="1088">
        <v>1092000</v>
      </c>
      <c r="F204" s="1089">
        <v>4020</v>
      </c>
      <c r="G204" s="1086">
        <v>5.8287000000000004</v>
      </c>
      <c r="H204" s="1088">
        <v>0.18472100000000002</v>
      </c>
      <c r="I204" s="1088">
        <v>8.6249999999999999E-4</v>
      </c>
      <c r="J204" s="1089">
        <v>11.659600000000001</v>
      </c>
    </row>
    <row r="205" spans="2:10" x14ac:dyDescent="0.25">
      <c r="B205" s="1086" t="s">
        <v>667</v>
      </c>
      <c r="C205" s="1087">
        <v>2015</v>
      </c>
      <c r="D205" s="1086">
        <v>-1194000</v>
      </c>
      <c r="E205" s="1088">
        <v>0</v>
      </c>
      <c r="F205" s="1089">
        <v>0</v>
      </c>
      <c r="G205" s="1086">
        <v>-85.789999999999992</v>
      </c>
      <c r="H205" s="1088">
        <v>0.54659999999999997</v>
      </c>
      <c r="I205" s="1088">
        <v>-1.8422E-3</v>
      </c>
      <c r="J205" s="1089">
        <v>-70.099999999999994</v>
      </c>
    </row>
    <row r="206" spans="2:10" x14ac:dyDescent="0.25">
      <c r="B206" s="1086" t="s">
        <v>668</v>
      </c>
      <c r="C206" s="1087">
        <v>2015</v>
      </c>
      <c r="D206" s="1086">
        <v>2038000</v>
      </c>
      <c r="E206" s="1088">
        <v>1688000</v>
      </c>
      <c r="F206" s="1089">
        <v>38920</v>
      </c>
      <c r="G206" s="1086">
        <v>180.61</v>
      </c>
      <c r="H206" s="1088">
        <v>0.25748300000000002</v>
      </c>
      <c r="I206" s="1088">
        <v>2.7356999999999998E-3</v>
      </c>
      <c r="J206" s="1089">
        <v>187.32</v>
      </c>
    </row>
    <row r="207" spans="2:10" x14ac:dyDescent="0.25">
      <c r="B207" s="1086" t="s">
        <v>683</v>
      </c>
      <c r="C207" s="1087">
        <v>2015</v>
      </c>
      <c r="D207" s="1086">
        <v>2038000</v>
      </c>
      <c r="E207" s="1088">
        <v>1688000</v>
      </c>
      <c r="F207" s="1089">
        <v>38920</v>
      </c>
      <c r="G207" s="1086">
        <v>180.61</v>
      </c>
      <c r="H207" s="1088">
        <v>0.25748300000000002</v>
      </c>
      <c r="I207" s="1088">
        <v>2.7356999999999998E-3</v>
      </c>
      <c r="J207" s="1089">
        <v>187.32</v>
      </c>
    </row>
    <row r="208" spans="2:10" x14ac:dyDescent="0.25">
      <c r="B208" s="1086" t="s">
        <v>669</v>
      </c>
      <c r="C208" s="1087">
        <v>2015</v>
      </c>
      <c r="D208" s="1086">
        <v>2038000</v>
      </c>
      <c r="E208" s="1088">
        <v>1688000</v>
      </c>
      <c r="F208" s="1089">
        <v>38920</v>
      </c>
      <c r="G208" s="1086">
        <v>180.61</v>
      </c>
      <c r="H208" s="1088">
        <v>0.25748300000000002</v>
      </c>
      <c r="I208" s="1088">
        <v>2.7356999999999998E-3</v>
      </c>
      <c r="J208" s="1089">
        <v>187.32</v>
      </c>
    </row>
    <row r="209" spans="2:10" x14ac:dyDescent="0.25">
      <c r="B209" s="1086" t="s">
        <v>1060</v>
      </c>
      <c r="C209" s="1087">
        <v>2015</v>
      </c>
      <c r="D209" s="1086">
        <v>1022000</v>
      </c>
      <c r="E209" s="1088">
        <v>1021000</v>
      </c>
      <c r="F209" s="1089">
        <v>15590</v>
      </c>
      <c r="G209" s="1086">
        <v>1.8048999999999999</v>
      </c>
      <c r="H209" s="1088">
        <v>0.14106285999999998</v>
      </c>
      <c r="I209" s="1088">
        <v>3.4603000000000001E-5</v>
      </c>
      <c r="J209" s="1089">
        <v>6.0683999999999996</v>
      </c>
    </row>
    <row r="210" spans="2:10" x14ac:dyDescent="0.25">
      <c r="B210" s="1086" t="s">
        <v>701</v>
      </c>
      <c r="C210" s="1087">
        <v>2015</v>
      </c>
      <c r="D210" s="1086">
        <v>1022000</v>
      </c>
      <c r="E210" s="1088">
        <v>1021000</v>
      </c>
      <c r="F210" s="1089">
        <v>15590</v>
      </c>
      <c r="G210" s="1086">
        <v>1.8048999999999999</v>
      </c>
      <c r="H210" s="1088">
        <v>0.14106285999999998</v>
      </c>
      <c r="I210" s="1088">
        <v>3.4603000000000001E-5</v>
      </c>
      <c r="J210" s="1089">
        <v>6.0683999999999996</v>
      </c>
    </row>
    <row r="211" spans="2:10" x14ac:dyDescent="0.25">
      <c r="B211" s="1086" t="s">
        <v>702</v>
      </c>
      <c r="C211" s="1087">
        <v>2015</v>
      </c>
      <c r="D211" s="1086">
        <v>1022000</v>
      </c>
      <c r="E211" s="1088">
        <v>1021000</v>
      </c>
      <c r="F211" s="1089">
        <v>15590</v>
      </c>
      <c r="G211" s="1086">
        <v>1.8048999999999999</v>
      </c>
      <c r="H211" s="1088">
        <v>0.14106285999999998</v>
      </c>
      <c r="I211" s="1088">
        <v>3.4603000000000001E-5</v>
      </c>
      <c r="J211" s="1089">
        <v>6.0683999999999996</v>
      </c>
    </row>
    <row r="212" spans="2:10" x14ac:dyDescent="0.25">
      <c r="B212" s="1086" t="s">
        <v>891</v>
      </c>
      <c r="C212" s="1087">
        <v>2015</v>
      </c>
      <c r="D212" s="1086">
        <v>1210000</v>
      </c>
      <c r="E212" s="1088">
        <v>1204000</v>
      </c>
      <c r="F212" s="1089">
        <v>1053000</v>
      </c>
      <c r="G212" s="1086">
        <v>18.527999999999999</v>
      </c>
      <c r="H212" s="1088">
        <v>0.16494200000000001</v>
      </c>
      <c r="I212" s="1088">
        <v>2.9771000000000002E-4</v>
      </c>
      <c r="J212" s="1089">
        <v>23.579000000000001</v>
      </c>
    </row>
    <row r="213" spans="2:10" x14ac:dyDescent="0.25">
      <c r="B213" s="1086" t="s">
        <v>889</v>
      </c>
      <c r="C213" s="1087">
        <v>2015</v>
      </c>
      <c r="D213" s="1086">
        <v>1642000</v>
      </c>
      <c r="E213" s="1088">
        <v>724000</v>
      </c>
      <c r="F213" s="1089">
        <v>290600</v>
      </c>
      <c r="G213" s="1086">
        <v>41.042999999999999</v>
      </c>
      <c r="H213" s="1088">
        <v>0.1162</v>
      </c>
      <c r="I213" s="1088">
        <v>2.7609999999999999E-2</v>
      </c>
      <c r="J213" s="1089">
        <v>48.36</v>
      </c>
    </row>
    <row r="214" spans="2:10" x14ac:dyDescent="0.25">
      <c r="B214" s="1086" t="s">
        <v>892</v>
      </c>
      <c r="C214" s="1087">
        <v>2015</v>
      </c>
      <c r="D214" s="1086">
        <v>1252000</v>
      </c>
      <c r="E214" s="1088">
        <v>1245000</v>
      </c>
      <c r="F214" s="1089">
        <v>1081000</v>
      </c>
      <c r="G214" s="1086">
        <v>24.462</v>
      </c>
      <c r="H214" s="1088">
        <v>0.17067199999999999</v>
      </c>
      <c r="I214" s="1088">
        <v>3.8633E-4</v>
      </c>
      <c r="J214" s="1089">
        <v>29.811999999999998</v>
      </c>
    </row>
    <row r="215" spans="2:10" x14ac:dyDescent="0.25">
      <c r="B215" s="1086" t="s">
        <v>1054</v>
      </c>
      <c r="C215" s="1087">
        <v>2015</v>
      </c>
      <c r="D215" s="1086">
        <v>1191000</v>
      </c>
      <c r="E215" s="1088">
        <v>53390</v>
      </c>
      <c r="F215" s="1089">
        <v>29910</v>
      </c>
      <c r="G215" s="1086">
        <v>3.9701</v>
      </c>
      <c r="H215" s="1088">
        <v>8.6864999999999998E-3</v>
      </c>
      <c r="I215" s="1088">
        <v>-3.8232459999999998E-3</v>
      </c>
      <c r="J215" s="1089">
        <v>3.2326999999999999</v>
      </c>
    </row>
    <row r="216" spans="2:10" x14ac:dyDescent="0.25">
      <c r="B216" s="1086" t="s">
        <v>800</v>
      </c>
      <c r="C216" s="1087">
        <v>2015</v>
      </c>
      <c r="D216" s="1086">
        <v>1191000</v>
      </c>
      <c r="E216" s="1088">
        <v>53390</v>
      </c>
      <c r="F216" s="1089">
        <v>29910</v>
      </c>
      <c r="G216" s="1086">
        <v>3.9701</v>
      </c>
      <c r="H216" s="1088">
        <v>8.6864999999999998E-3</v>
      </c>
      <c r="I216" s="1088">
        <v>-3.8232459999999998E-3</v>
      </c>
      <c r="J216" s="1089">
        <v>3.2326999999999999</v>
      </c>
    </row>
    <row r="217" spans="2:10" x14ac:dyDescent="0.25">
      <c r="B217" s="1086" t="s">
        <v>806</v>
      </c>
      <c r="C217" s="1087">
        <v>2015</v>
      </c>
      <c r="D217" s="1086">
        <v>1191000</v>
      </c>
      <c r="E217" s="1088">
        <v>53390</v>
      </c>
      <c r="F217" s="1089">
        <v>29910</v>
      </c>
      <c r="G217" s="1086">
        <v>3.9701</v>
      </c>
      <c r="H217" s="1088">
        <v>8.6864999999999998E-3</v>
      </c>
      <c r="I217" s="1088">
        <v>-3.8232459999999998E-3</v>
      </c>
      <c r="J217" s="1089">
        <v>3.2326999999999999</v>
      </c>
    </row>
    <row r="218" spans="2:10" ht="13.8" thickBot="1" x14ac:dyDescent="0.3">
      <c r="B218" s="1090" t="s">
        <v>1061</v>
      </c>
      <c r="C218" s="1091">
        <v>2015</v>
      </c>
      <c r="D218" s="1090">
        <v>1385000</v>
      </c>
      <c r="E218" s="1092">
        <v>1384000</v>
      </c>
      <c r="F218" s="1093">
        <v>5105</v>
      </c>
      <c r="G218" s="1090">
        <v>78.707400000000007</v>
      </c>
      <c r="H218" s="1092">
        <v>0.27494000000000002</v>
      </c>
      <c r="I218" s="1092">
        <v>2.3330999999999998E-3</v>
      </c>
      <c r="J218" s="1093">
        <v>87.730800000000002</v>
      </c>
    </row>
    <row r="219" spans="2:10" x14ac:dyDescent="0.25">
      <c r="B219" s="1082" t="s">
        <v>1058</v>
      </c>
      <c r="C219" s="1083">
        <v>2020</v>
      </c>
      <c r="D219" s="1082">
        <v>1093000</v>
      </c>
      <c r="E219" s="1084">
        <v>1092000</v>
      </c>
      <c r="F219" s="1085">
        <v>3993</v>
      </c>
      <c r="G219" s="1082">
        <v>5.7995000000000001</v>
      </c>
      <c r="H219" s="1084">
        <v>0.18462100000000001</v>
      </c>
      <c r="I219" s="1084">
        <v>8.6209999999999998E-4</v>
      </c>
      <c r="J219" s="1085">
        <v>11.6227</v>
      </c>
    </row>
    <row r="220" spans="2:10" x14ac:dyDescent="0.25">
      <c r="B220" s="1086" t="s">
        <v>280</v>
      </c>
      <c r="C220" s="1087">
        <v>2020</v>
      </c>
      <c r="D220" s="1086">
        <v>1093000</v>
      </c>
      <c r="E220" s="1088">
        <v>1092000</v>
      </c>
      <c r="F220" s="1089">
        <v>3993</v>
      </c>
      <c r="G220" s="1086">
        <v>5.7995000000000001</v>
      </c>
      <c r="H220" s="1088">
        <v>0.18462100000000001</v>
      </c>
      <c r="I220" s="1088">
        <v>8.6209999999999998E-4</v>
      </c>
      <c r="J220" s="1089">
        <v>11.6227</v>
      </c>
    </row>
    <row r="221" spans="2:10" x14ac:dyDescent="0.25">
      <c r="B221" s="1086" t="s">
        <v>1059</v>
      </c>
      <c r="C221" s="1087">
        <v>2020</v>
      </c>
      <c r="D221" s="1086">
        <v>1093000</v>
      </c>
      <c r="E221" s="1088">
        <v>1092000</v>
      </c>
      <c r="F221" s="1089">
        <v>3993</v>
      </c>
      <c r="G221" s="1086">
        <v>5.7995000000000001</v>
      </c>
      <c r="H221" s="1088">
        <v>0.18462100000000001</v>
      </c>
      <c r="I221" s="1088">
        <v>8.6209999999999998E-4</v>
      </c>
      <c r="J221" s="1089">
        <v>11.6227</v>
      </c>
    </row>
    <row r="222" spans="2:10" x14ac:dyDescent="0.25">
      <c r="B222" s="1086" t="s">
        <v>666</v>
      </c>
      <c r="C222" s="1087">
        <v>2020</v>
      </c>
      <c r="D222" s="1086">
        <v>1093000</v>
      </c>
      <c r="E222" s="1088">
        <v>1092000</v>
      </c>
      <c r="F222" s="1089">
        <v>3993</v>
      </c>
      <c r="G222" s="1086">
        <v>5.7995000000000001</v>
      </c>
      <c r="H222" s="1088">
        <v>0.18462100000000001</v>
      </c>
      <c r="I222" s="1088">
        <v>8.6209999999999998E-4</v>
      </c>
      <c r="J222" s="1089">
        <v>11.6227</v>
      </c>
    </row>
    <row r="223" spans="2:10" x14ac:dyDescent="0.25">
      <c r="B223" s="1086" t="s">
        <v>667</v>
      </c>
      <c r="C223" s="1087">
        <v>2020</v>
      </c>
      <c r="D223" s="1086">
        <v>-1185000</v>
      </c>
      <c r="E223" s="1088">
        <v>0</v>
      </c>
      <c r="F223" s="1089">
        <v>0</v>
      </c>
      <c r="G223" s="1086">
        <v>-85.800000000000011</v>
      </c>
      <c r="H223" s="1088">
        <v>0.54700000000000004</v>
      </c>
      <c r="I223" s="1088">
        <v>-1.8286999999999999E-3</v>
      </c>
      <c r="J223" s="1089">
        <v>-70.08</v>
      </c>
    </row>
    <row r="224" spans="2:10" x14ac:dyDescent="0.25">
      <c r="B224" s="1086" t="s">
        <v>668</v>
      </c>
      <c r="C224" s="1087">
        <v>2020</v>
      </c>
      <c r="D224" s="1086">
        <v>1866000</v>
      </c>
      <c r="E224" s="1088">
        <v>1484000</v>
      </c>
      <c r="F224" s="1089">
        <v>26490</v>
      </c>
      <c r="G224" s="1086">
        <v>161.61000000000001</v>
      </c>
      <c r="H224" s="1088">
        <v>0.22423899999999999</v>
      </c>
      <c r="I224" s="1088">
        <v>2.4153E-3</v>
      </c>
      <c r="J224" s="1089">
        <v>168.06</v>
      </c>
    </row>
    <row r="225" spans="2:10" x14ac:dyDescent="0.25">
      <c r="B225" s="1086" t="s">
        <v>683</v>
      </c>
      <c r="C225" s="1087">
        <v>2020</v>
      </c>
      <c r="D225" s="1086">
        <v>1866000</v>
      </c>
      <c r="E225" s="1088">
        <v>1484000</v>
      </c>
      <c r="F225" s="1089">
        <v>26490</v>
      </c>
      <c r="G225" s="1086">
        <v>161.61000000000001</v>
      </c>
      <c r="H225" s="1088">
        <v>0.22423899999999999</v>
      </c>
      <c r="I225" s="1088">
        <v>2.4153E-3</v>
      </c>
      <c r="J225" s="1089">
        <v>168.06</v>
      </c>
    </row>
    <row r="226" spans="2:10" x14ac:dyDescent="0.25">
      <c r="B226" s="1086" t="s">
        <v>669</v>
      </c>
      <c r="C226" s="1087">
        <v>2020</v>
      </c>
      <c r="D226" s="1086">
        <v>1866000</v>
      </c>
      <c r="E226" s="1088">
        <v>1484000</v>
      </c>
      <c r="F226" s="1089">
        <v>26490</v>
      </c>
      <c r="G226" s="1086">
        <v>161.61000000000001</v>
      </c>
      <c r="H226" s="1088">
        <v>0.22423899999999999</v>
      </c>
      <c r="I226" s="1088">
        <v>2.4153E-3</v>
      </c>
      <c r="J226" s="1089">
        <v>168.06</v>
      </c>
    </row>
    <row r="227" spans="2:10" x14ac:dyDescent="0.25">
      <c r="B227" s="1086" t="s">
        <v>1060</v>
      </c>
      <c r="C227" s="1087">
        <v>2020</v>
      </c>
      <c r="D227" s="1086">
        <v>1022000</v>
      </c>
      <c r="E227" s="1088">
        <v>1021000</v>
      </c>
      <c r="F227" s="1089">
        <v>15530</v>
      </c>
      <c r="G227" s="1086">
        <v>1.7706</v>
      </c>
      <c r="H227" s="1088">
        <v>0.14096106</v>
      </c>
      <c r="I227" s="1088">
        <v>3.4058000000000005E-5</v>
      </c>
      <c r="J227" s="1089">
        <v>6.0322999999999993</v>
      </c>
    </row>
    <row r="228" spans="2:10" x14ac:dyDescent="0.25">
      <c r="B228" s="1086" t="s">
        <v>701</v>
      </c>
      <c r="C228" s="1087">
        <v>2020</v>
      </c>
      <c r="D228" s="1086">
        <v>1022000</v>
      </c>
      <c r="E228" s="1088">
        <v>1021000</v>
      </c>
      <c r="F228" s="1089">
        <v>15530</v>
      </c>
      <c r="G228" s="1086">
        <v>1.7706</v>
      </c>
      <c r="H228" s="1088">
        <v>0.14096106</v>
      </c>
      <c r="I228" s="1088">
        <v>3.4058000000000005E-5</v>
      </c>
      <c r="J228" s="1089">
        <v>6.0322999999999993</v>
      </c>
    </row>
    <row r="229" spans="2:10" x14ac:dyDescent="0.25">
      <c r="B229" s="1086" t="s">
        <v>702</v>
      </c>
      <c r="C229" s="1087">
        <v>2020</v>
      </c>
      <c r="D229" s="1086">
        <v>1022000</v>
      </c>
      <c r="E229" s="1088">
        <v>1021000</v>
      </c>
      <c r="F229" s="1089">
        <v>15530</v>
      </c>
      <c r="G229" s="1086">
        <v>1.7706</v>
      </c>
      <c r="H229" s="1088">
        <v>0.14096106</v>
      </c>
      <c r="I229" s="1088">
        <v>3.4058000000000005E-5</v>
      </c>
      <c r="J229" s="1089">
        <v>6.0322999999999993</v>
      </c>
    </row>
    <row r="230" spans="2:10" x14ac:dyDescent="0.25">
      <c r="B230" s="1086" t="s">
        <v>891</v>
      </c>
      <c r="C230" s="1087">
        <v>2020</v>
      </c>
      <c r="D230" s="1086">
        <v>1211000</v>
      </c>
      <c r="E230" s="1088">
        <v>1205000</v>
      </c>
      <c r="F230" s="1089">
        <v>1052000</v>
      </c>
      <c r="G230" s="1086">
        <v>18.605999999999998</v>
      </c>
      <c r="H230" s="1088">
        <v>0.162991</v>
      </c>
      <c r="I230" s="1088">
        <v>3.0018999999999998E-4</v>
      </c>
      <c r="J230" s="1089">
        <v>23.607999999999997</v>
      </c>
    </row>
    <row r="231" spans="2:10" x14ac:dyDescent="0.25">
      <c r="B231" s="1086" t="s">
        <v>889</v>
      </c>
      <c r="C231" s="1087">
        <v>2020</v>
      </c>
      <c r="D231" s="1086">
        <v>1591000</v>
      </c>
      <c r="E231" s="1088">
        <v>703100</v>
      </c>
      <c r="F231" s="1089">
        <v>286400</v>
      </c>
      <c r="G231" s="1086">
        <v>39.366999999999997</v>
      </c>
      <c r="H231" s="1088">
        <v>0.11210000000000001</v>
      </c>
      <c r="I231" s="1088">
        <v>2.5360000000000001E-2</v>
      </c>
      <c r="J231" s="1089">
        <v>46.16</v>
      </c>
    </row>
    <row r="232" spans="2:10" x14ac:dyDescent="0.25">
      <c r="B232" s="1086" t="s">
        <v>892</v>
      </c>
      <c r="C232" s="1087">
        <v>2020</v>
      </c>
      <c r="D232" s="1086">
        <v>1252000</v>
      </c>
      <c r="E232" s="1088">
        <v>1245000</v>
      </c>
      <c r="F232" s="1089">
        <v>1078000</v>
      </c>
      <c r="G232" s="1086">
        <v>24.533999999999999</v>
      </c>
      <c r="H232" s="1088">
        <v>0.16861900000000002</v>
      </c>
      <c r="I232" s="1088">
        <v>3.8906999999999999E-4</v>
      </c>
      <c r="J232" s="1089">
        <v>29.833999999999996</v>
      </c>
    </row>
    <row r="233" spans="2:10" x14ac:dyDescent="0.25">
      <c r="B233" s="1086" t="s">
        <v>1054</v>
      </c>
      <c r="C233" s="1087">
        <v>2020</v>
      </c>
      <c r="D233" s="1086">
        <v>1190000</v>
      </c>
      <c r="E233" s="1088">
        <v>52190</v>
      </c>
      <c r="F233" s="1089">
        <v>29260</v>
      </c>
      <c r="G233" s="1086">
        <v>3.8701999999999996</v>
      </c>
      <c r="H233" s="1088">
        <v>8.4535000000000009E-3</v>
      </c>
      <c r="I233" s="1088">
        <v>-3.824488E-3</v>
      </c>
      <c r="J233" s="1089">
        <v>3.1251000000000002</v>
      </c>
    </row>
    <row r="234" spans="2:10" x14ac:dyDescent="0.25">
      <c r="B234" s="1086" t="s">
        <v>800</v>
      </c>
      <c r="C234" s="1087">
        <v>2020</v>
      </c>
      <c r="D234" s="1086">
        <v>1190000</v>
      </c>
      <c r="E234" s="1088">
        <v>52190</v>
      </c>
      <c r="F234" s="1089">
        <v>29260</v>
      </c>
      <c r="G234" s="1086">
        <v>3.8701999999999996</v>
      </c>
      <c r="H234" s="1088">
        <v>8.4535000000000009E-3</v>
      </c>
      <c r="I234" s="1088">
        <v>-3.824488E-3</v>
      </c>
      <c r="J234" s="1089">
        <v>3.1251000000000002</v>
      </c>
    </row>
    <row r="235" spans="2:10" x14ac:dyDescent="0.25">
      <c r="B235" s="1086" t="s">
        <v>806</v>
      </c>
      <c r="C235" s="1087">
        <v>2020</v>
      </c>
      <c r="D235" s="1086">
        <v>1190000</v>
      </c>
      <c r="E235" s="1088">
        <v>52190</v>
      </c>
      <c r="F235" s="1089">
        <v>29260</v>
      </c>
      <c r="G235" s="1086">
        <v>3.8701999999999996</v>
      </c>
      <c r="H235" s="1088">
        <v>8.4535000000000009E-3</v>
      </c>
      <c r="I235" s="1088">
        <v>-3.824488E-3</v>
      </c>
      <c r="J235" s="1089">
        <v>3.1251000000000002</v>
      </c>
    </row>
    <row r="236" spans="2:10" ht="13.8" thickBot="1" x14ac:dyDescent="0.3">
      <c r="B236" s="1090" t="s">
        <v>1061</v>
      </c>
      <c r="C236" s="1091">
        <v>2020</v>
      </c>
      <c r="D236" s="1090">
        <v>1384000</v>
      </c>
      <c r="E236" s="1092">
        <v>1384000</v>
      </c>
      <c r="F236" s="1093">
        <v>5066</v>
      </c>
      <c r="G236" s="1090">
        <v>78.656899999999993</v>
      </c>
      <c r="H236" s="1092">
        <v>0.27494000000000002</v>
      </c>
      <c r="I236" s="1092">
        <v>2.3319E-3</v>
      </c>
      <c r="J236" s="1093">
        <v>87.680599999999998</v>
      </c>
    </row>
    <row r="237" spans="2:10" x14ac:dyDescent="0.25">
      <c r="B237" s="1082" t="s">
        <v>1058</v>
      </c>
      <c r="C237" s="1083">
        <v>2025</v>
      </c>
      <c r="D237" s="1082">
        <v>1093000</v>
      </c>
      <c r="E237" s="1084">
        <v>1092000</v>
      </c>
      <c r="F237" s="1085">
        <v>3984</v>
      </c>
      <c r="G237" s="1082">
        <v>5.7702</v>
      </c>
      <c r="H237" s="1084">
        <v>0.18462100000000001</v>
      </c>
      <c r="I237" s="1084">
        <v>8.6159999999999991E-4</v>
      </c>
      <c r="J237" s="1085">
        <v>11.5953</v>
      </c>
    </row>
    <row r="238" spans="2:10" x14ac:dyDescent="0.25">
      <c r="B238" s="1086" t="s">
        <v>280</v>
      </c>
      <c r="C238" s="1087">
        <v>2025</v>
      </c>
      <c r="D238" s="1086">
        <v>1093000</v>
      </c>
      <c r="E238" s="1088">
        <v>1092000</v>
      </c>
      <c r="F238" s="1089">
        <v>3984</v>
      </c>
      <c r="G238" s="1086">
        <v>5.7702</v>
      </c>
      <c r="H238" s="1088">
        <v>0.18462100000000001</v>
      </c>
      <c r="I238" s="1088">
        <v>8.6159999999999991E-4</v>
      </c>
      <c r="J238" s="1089">
        <v>11.5953</v>
      </c>
    </row>
    <row r="239" spans="2:10" x14ac:dyDescent="0.25">
      <c r="B239" s="1086" t="s">
        <v>1059</v>
      </c>
      <c r="C239" s="1087">
        <v>2025</v>
      </c>
      <c r="D239" s="1086">
        <v>1093000</v>
      </c>
      <c r="E239" s="1088">
        <v>1092000</v>
      </c>
      <c r="F239" s="1089">
        <v>3984</v>
      </c>
      <c r="G239" s="1086">
        <v>5.7702</v>
      </c>
      <c r="H239" s="1088">
        <v>0.18462100000000001</v>
      </c>
      <c r="I239" s="1088">
        <v>8.6159999999999991E-4</v>
      </c>
      <c r="J239" s="1089">
        <v>11.5953</v>
      </c>
    </row>
    <row r="240" spans="2:10" x14ac:dyDescent="0.25">
      <c r="B240" s="1086" t="s">
        <v>666</v>
      </c>
      <c r="C240" s="1087">
        <v>2025</v>
      </c>
      <c r="D240" s="1086">
        <v>1093000</v>
      </c>
      <c r="E240" s="1088">
        <v>1092000</v>
      </c>
      <c r="F240" s="1089">
        <v>3984</v>
      </c>
      <c r="G240" s="1086">
        <v>5.7702</v>
      </c>
      <c r="H240" s="1088">
        <v>0.18462100000000001</v>
      </c>
      <c r="I240" s="1088">
        <v>8.6159999999999991E-4</v>
      </c>
      <c r="J240" s="1089">
        <v>11.5953</v>
      </c>
    </row>
    <row r="241" spans="2:10" x14ac:dyDescent="0.25">
      <c r="B241" s="1086" t="s">
        <v>667</v>
      </c>
      <c r="C241" s="1087">
        <v>2025</v>
      </c>
      <c r="D241" s="1086">
        <v>-1185000</v>
      </c>
      <c r="E241" s="1088">
        <v>0</v>
      </c>
      <c r="F241" s="1089">
        <v>0</v>
      </c>
      <c r="G241" s="1086">
        <v>-85.800000000000011</v>
      </c>
      <c r="H241" s="1088">
        <v>0.54700000000000004</v>
      </c>
      <c r="I241" s="1088">
        <v>-1.8286999999999999E-3</v>
      </c>
      <c r="J241" s="1089">
        <v>-70.08</v>
      </c>
    </row>
    <row r="242" spans="2:10" x14ac:dyDescent="0.25">
      <c r="B242" s="1086" t="s">
        <v>668</v>
      </c>
      <c r="C242" s="1087">
        <v>2025</v>
      </c>
      <c r="D242" s="1086">
        <v>1787000</v>
      </c>
      <c r="E242" s="1088">
        <v>1356000</v>
      </c>
      <c r="F242" s="1089">
        <v>23200</v>
      </c>
      <c r="G242" s="1086">
        <v>145.11000000000001</v>
      </c>
      <c r="H242" s="1088">
        <v>0.20658799999999999</v>
      </c>
      <c r="I242" s="1088">
        <v>2.1538999999999998E-3</v>
      </c>
      <c r="J242" s="1089">
        <v>150.89999999999998</v>
      </c>
    </row>
    <row r="243" spans="2:10" x14ac:dyDescent="0.25">
      <c r="B243" s="1086" t="s">
        <v>683</v>
      </c>
      <c r="C243" s="1087">
        <v>2025</v>
      </c>
      <c r="D243" s="1086">
        <v>1787000</v>
      </c>
      <c r="E243" s="1088">
        <v>1356000</v>
      </c>
      <c r="F243" s="1089">
        <v>23200</v>
      </c>
      <c r="G243" s="1086">
        <v>145.11000000000001</v>
      </c>
      <c r="H243" s="1088">
        <v>0.20658799999999999</v>
      </c>
      <c r="I243" s="1088">
        <v>2.1538999999999998E-3</v>
      </c>
      <c r="J243" s="1089">
        <v>150.89999999999998</v>
      </c>
    </row>
    <row r="244" spans="2:10" x14ac:dyDescent="0.25">
      <c r="B244" s="1086" t="s">
        <v>669</v>
      </c>
      <c r="C244" s="1087">
        <v>2025</v>
      </c>
      <c r="D244" s="1086">
        <v>1787000</v>
      </c>
      <c r="E244" s="1088">
        <v>1356000</v>
      </c>
      <c r="F244" s="1089">
        <v>23200</v>
      </c>
      <c r="G244" s="1086">
        <v>145.11000000000001</v>
      </c>
      <c r="H244" s="1088">
        <v>0.20658799999999999</v>
      </c>
      <c r="I244" s="1088">
        <v>2.1538999999999998E-3</v>
      </c>
      <c r="J244" s="1089">
        <v>150.89999999999998</v>
      </c>
    </row>
    <row r="245" spans="2:10" x14ac:dyDescent="0.25">
      <c r="B245" s="1086" t="s">
        <v>1060</v>
      </c>
      <c r="C245" s="1087">
        <v>2025</v>
      </c>
      <c r="D245" s="1086">
        <v>1022000</v>
      </c>
      <c r="E245" s="1088">
        <v>1021000</v>
      </c>
      <c r="F245" s="1089">
        <v>15530</v>
      </c>
      <c r="G245" s="1086">
        <v>1.7374000000000001</v>
      </c>
      <c r="H245" s="1088">
        <v>0.14096106999999999</v>
      </c>
      <c r="I245" s="1088">
        <v>3.3522000000000002E-5</v>
      </c>
      <c r="J245" s="1089">
        <v>5.9969999999999999</v>
      </c>
    </row>
    <row r="246" spans="2:10" x14ac:dyDescent="0.25">
      <c r="B246" s="1086" t="s">
        <v>701</v>
      </c>
      <c r="C246" s="1087">
        <v>2025</v>
      </c>
      <c r="D246" s="1086">
        <v>1022000</v>
      </c>
      <c r="E246" s="1088">
        <v>1021000</v>
      </c>
      <c r="F246" s="1089">
        <v>15530</v>
      </c>
      <c r="G246" s="1086">
        <v>1.7374000000000001</v>
      </c>
      <c r="H246" s="1088">
        <v>0.14096106999999999</v>
      </c>
      <c r="I246" s="1088">
        <v>3.3522000000000002E-5</v>
      </c>
      <c r="J246" s="1089">
        <v>5.9969999999999999</v>
      </c>
    </row>
    <row r="247" spans="2:10" x14ac:dyDescent="0.25">
      <c r="B247" s="1086" t="s">
        <v>702</v>
      </c>
      <c r="C247" s="1087">
        <v>2025</v>
      </c>
      <c r="D247" s="1086">
        <v>1022000</v>
      </c>
      <c r="E247" s="1088">
        <v>1021000</v>
      </c>
      <c r="F247" s="1089">
        <v>15530</v>
      </c>
      <c r="G247" s="1086">
        <v>1.7374000000000001</v>
      </c>
      <c r="H247" s="1088">
        <v>0.14096106999999999</v>
      </c>
      <c r="I247" s="1088">
        <v>3.3522000000000002E-5</v>
      </c>
      <c r="J247" s="1089">
        <v>5.9969999999999999</v>
      </c>
    </row>
    <row r="248" spans="2:10" x14ac:dyDescent="0.25">
      <c r="B248" s="1086" t="s">
        <v>891</v>
      </c>
      <c r="C248" s="1087">
        <v>2025</v>
      </c>
      <c r="D248" s="1086">
        <v>1210000</v>
      </c>
      <c r="E248" s="1088">
        <v>1203000</v>
      </c>
      <c r="F248" s="1089">
        <v>1052000</v>
      </c>
      <c r="G248" s="1086">
        <v>18.323</v>
      </c>
      <c r="H248" s="1088">
        <v>0.16309799999999999</v>
      </c>
      <c r="I248" s="1088">
        <v>2.9605000000000001E-4</v>
      </c>
      <c r="J248" s="1089">
        <v>23.334</v>
      </c>
    </row>
    <row r="249" spans="2:10" x14ac:dyDescent="0.25">
      <c r="B249" s="1086" t="s">
        <v>889</v>
      </c>
      <c r="C249" s="1087">
        <v>2025</v>
      </c>
      <c r="D249" s="1086">
        <v>1588000</v>
      </c>
      <c r="E249" s="1088">
        <v>698600</v>
      </c>
      <c r="F249" s="1089">
        <v>286300</v>
      </c>
      <c r="G249" s="1086">
        <v>38.775999999999996</v>
      </c>
      <c r="H249" s="1088">
        <v>0.1116</v>
      </c>
      <c r="I249" s="1088">
        <v>2.5360000000000001E-2</v>
      </c>
      <c r="J249" s="1089">
        <v>45.71</v>
      </c>
    </row>
    <row r="250" spans="2:10" x14ac:dyDescent="0.25">
      <c r="B250" s="1086" t="s">
        <v>892</v>
      </c>
      <c r="C250" s="1087">
        <v>2025</v>
      </c>
      <c r="D250" s="1086">
        <v>1251000</v>
      </c>
      <c r="E250" s="1088">
        <v>1243000</v>
      </c>
      <c r="F250" s="1089">
        <v>1078000</v>
      </c>
      <c r="G250" s="1086">
        <v>24.223999999999997</v>
      </c>
      <c r="H250" s="1088">
        <v>0.16872600000000001</v>
      </c>
      <c r="I250" s="1088">
        <v>3.8451000000000002E-4</v>
      </c>
      <c r="J250" s="1089">
        <v>29.523000000000003</v>
      </c>
    </row>
    <row r="251" spans="2:10" x14ac:dyDescent="0.25">
      <c r="B251" s="1086" t="s">
        <v>1054</v>
      </c>
      <c r="C251" s="1087">
        <v>2025</v>
      </c>
      <c r="D251" s="1086">
        <v>1190000</v>
      </c>
      <c r="E251" s="1088">
        <v>51790</v>
      </c>
      <c r="F251" s="1089">
        <v>29250</v>
      </c>
      <c r="G251" s="1086">
        <v>3.8201000000000001</v>
      </c>
      <c r="H251" s="1088">
        <v>8.410599999999999E-3</v>
      </c>
      <c r="I251" s="1088">
        <v>-3.8247120000000001E-3</v>
      </c>
      <c r="J251" s="1089">
        <v>3.0718000000000001</v>
      </c>
    </row>
    <row r="252" spans="2:10" x14ac:dyDescent="0.25">
      <c r="B252" s="1086" t="s">
        <v>800</v>
      </c>
      <c r="C252" s="1087">
        <v>2025</v>
      </c>
      <c r="D252" s="1086">
        <v>1190000</v>
      </c>
      <c r="E252" s="1088">
        <v>51790</v>
      </c>
      <c r="F252" s="1089">
        <v>29250</v>
      </c>
      <c r="G252" s="1086">
        <v>3.8201000000000001</v>
      </c>
      <c r="H252" s="1088">
        <v>8.410599999999999E-3</v>
      </c>
      <c r="I252" s="1088">
        <v>-3.8247120000000001E-3</v>
      </c>
      <c r="J252" s="1089">
        <v>3.0718000000000001</v>
      </c>
    </row>
    <row r="253" spans="2:10" x14ac:dyDescent="0.25">
      <c r="B253" s="1086" t="s">
        <v>806</v>
      </c>
      <c r="C253" s="1087">
        <v>2025</v>
      </c>
      <c r="D253" s="1086">
        <v>1190000</v>
      </c>
      <c r="E253" s="1088">
        <v>51790</v>
      </c>
      <c r="F253" s="1089">
        <v>29250</v>
      </c>
      <c r="G253" s="1086">
        <v>3.8201000000000001</v>
      </c>
      <c r="H253" s="1088">
        <v>8.410599999999999E-3</v>
      </c>
      <c r="I253" s="1088">
        <v>-3.8247120000000001E-3</v>
      </c>
      <c r="J253" s="1089">
        <v>3.0718000000000001</v>
      </c>
    </row>
    <row r="254" spans="2:10" ht="13.8" thickBot="1" x14ac:dyDescent="0.3">
      <c r="B254" s="1090" t="s">
        <v>1061</v>
      </c>
      <c r="C254" s="1091">
        <v>2025</v>
      </c>
      <c r="D254" s="1090">
        <v>1384000</v>
      </c>
      <c r="E254" s="1092">
        <v>1383000</v>
      </c>
      <c r="F254" s="1093">
        <v>5053</v>
      </c>
      <c r="G254" s="1090">
        <v>78.616100000000003</v>
      </c>
      <c r="H254" s="1092">
        <v>0.27494000000000002</v>
      </c>
      <c r="I254" s="1092">
        <v>2.3316999999999999E-3</v>
      </c>
      <c r="J254" s="1093">
        <v>87.639700000000005</v>
      </c>
    </row>
    <row r="255" spans="2:10" x14ac:dyDescent="0.25">
      <c r="B255" s="1082" t="s">
        <v>1058</v>
      </c>
      <c r="C255" s="1083">
        <v>2030</v>
      </c>
      <c r="D255" s="1082">
        <v>1092000</v>
      </c>
      <c r="E255" s="1084">
        <v>1092000</v>
      </c>
      <c r="F255" s="1085">
        <v>3981</v>
      </c>
      <c r="G255" s="1082">
        <v>5.7552000000000003</v>
      </c>
      <c r="H255" s="1084">
        <v>0.18462100000000001</v>
      </c>
      <c r="I255" s="1084">
        <v>8.6129999999999996E-4</v>
      </c>
      <c r="J255" s="1085">
        <v>11.5802</v>
      </c>
    </row>
    <row r="256" spans="2:10" x14ac:dyDescent="0.25">
      <c r="B256" s="1086" t="s">
        <v>280</v>
      </c>
      <c r="C256" s="1087">
        <v>2030</v>
      </c>
      <c r="D256" s="1086">
        <v>1092000</v>
      </c>
      <c r="E256" s="1088">
        <v>1092000</v>
      </c>
      <c r="F256" s="1089">
        <v>3981</v>
      </c>
      <c r="G256" s="1086">
        <v>5.7552000000000003</v>
      </c>
      <c r="H256" s="1088">
        <v>0.18462100000000001</v>
      </c>
      <c r="I256" s="1088">
        <v>8.6129999999999996E-4</v>
      </c>
      <c r="J256" s="1089">
        <v>11.5802</v>
      </c>
    </row>
    <row r="257" spans="2:10" x14ac:dyDescent="0.25">
      <c r="B257" s="1086" t="s">
        <v>1059</v>
      </c>
      <c r="C257" s="1087">
        <v>2030</v>
      </c>
      <c r="D257" s="1086">
        <v>1092000</v>
      </c>
      <c r="E257" s="1088">
        <v>1092000</v>
      </c>
      <c r="F257" s="1089">
        <v>3981</v>
      </c>
      <c r="G257" s="1086">
        <v>5.7552000000000003</v>
      </c>
      <c r="H257" s="1088">
        <v>0.18462100000000001</v>
      </c>
      <c r="I257" s="1088">
        <v>8.6129999999999996E-4</v>
      </c>
      <c r="J257" s="1089">
        <v>11.5802</v>
      </c>
    </row>
    <row r="258" spans="2:10" x14ac:dyDescent="0.25">
      <c r="B258" s="1086" t="s">
        <v>666</v>
      </c>
      <c r="C258" s="1087">
        <v>2030</v>
      </c>
      <c r="D258" s="1086">
        <v>1092000</v>
      </c>
      <c r="E258" s="1088">
        <v>1092000</v>
      </c>
      <c r="F258" s="1089">
        <v>3981</v>
      </c>
      <c r="G258" s="1086">
        <v>5.7552000000000003</v>
      </c>
      <c r="H258" s="1088">
        <v>0.18462100000000001</v>
      </c>
      <c r="I258" s="1088">
        <v>8.6129999999999996E-4</v>
      </c>
      <c r="J258" s="1089">
        <v>11.5802</v>
      </c>
    </row>
    <row r="259" spans="2:10" x14ac:dyDescent="0.25">
      <c r="B259" s="1086" t="s">
        <v>667</v>
      </c>
      <c r="C259" s="1087">
        <v>2030</v>
      </c>
      <c r="D259" s="1086">
        <v>-1185000</v>
      </c>
      <c r="E259" s="1088">
        <v>0</v>
      </c>
      <c r="F259" s="1089">
        <v>0</v>
      </c>
      <c r="G259" s="1086">
        <v>-85.800000000000011</v>
      </c>
      <c r="H259" s="1088">
        <v>0.54700000000000004</v>
      </c>
      <c r="I259" s="1088">
        <v>-1.8286999999999999E-3</v>
      </c>
      <c r="J259" s="1089">
        <v>-70.08</v>
      </c>
    </row>
    <row r="260" spans="2:10" x14ac:dyDescent="0.25">
      <c r="B260" s="1086" t="s">
        <v>668</v>
      </c>
      <c r="C260" s="1087">
        <v>2030</v>
      </c>
      <c r="D260" s="1086">
        <v>1749000</v>
      </c>
      <c r="E260" s="1088">
        <v>1310000</v>
      </c>
      <c r="F260" s="1089">
        <v>19790</v>
      </c>
      <c r="G260" s="1086">
        <v>134.88</v>
      </c>
      <c r="H260" s="1088">
        <v>0.20275799999999999</v>
      </c>
      <c r="I260" s="1088">
        <v>1.9713E-3</v>
      </c>
      <c r="J260" s="1089">
        <v>140.09</v>
      </c>
    </row>
    <row r="261" spans="2:10" x14ac:dyDescent="0.25">
      <c r="B261" s="1086" t="s">
        <v>683</v>
      </c>
      <c r="C261" s="1087">
        <v>2030</v>
      </c>
      <c r="D261" s="1086">
        <v>1749000</v>
      </c>
      <c r="E261" s="1088">
        <v>1310000</v>
      </c>
      <c r="F261" s="1089">
        <v>19790</v>
      </c>
      <c r="G261" s="1086">
        <v>134.88</v>
      </c>
      <c r="H261" s="1088">
        <v>0.20275799999999999</v>
      </c>
      <c r="I261" s="1088">
        <v>1.9713E-3</v>
      </c>
      <c r="J261" s="1089">
        <v>140.09</v>
      </c>
    </row>
    <row r="262" spans="2:10" x14ac:dyDescent="0.25">
      <c r="B262" s="1086" t="s">
        <v>669</v>
      </c>
      <c r="C262" s="1087">
        <v>2030</v>
      </c>
      <c r="D262" s="1086">
        <v>1749000</v>
      </c>
      <c r="E262" s="1088">
        <v>1310000</v>
      </c>
      <c r="F262" s="1089">
        <v>19790</v>
      </c>
      <c r="G262" s="1086">
        <v>134.88</v>
      </c>
      <c r="H262" s="1088">
        <v>0.20275799999999999</v>
      </c>
      <c r="I262" s="1088">
        <v>1.9713E-3</v>
      </c>
      <c r="J262" s="1089">
        <v>140.09</v>
      </c>
    </row>
    <row r="263" spans="2:10" x14ac:dyDescent="0.25">
      <c r="B263" s="1086" t="s">
        <v>1060</v>
      </c>
      <c r="C263" s="1087">
        <v>2030</v>
      </c>
      <c r="D263" s="1086">
        <v>1022000</v>
      </c>
      <c r="E263" s="1088">
        <v>1021000</v>
      </c>
      <c r="F263" s="1089">
        <v>15520</v>
      </c>
      <c r="G263" s="1086">
        <v>1.716</v>
      </c>
      <c r="H263" s="1088">
        <v>0.14096175</v>
      </c>
      <c r="I263" s="1088">
        <v>3.3149000000000004E-5</v>
      </c>
      <c r="J263" s="1089">
        <v>5.9754000000000005</v>
      </c>
    </row>
    <row r="264" spans="2:10" x14ac:dyDescent="0.25">
      <c r="B264" s="1086" t="s">
        <v>701</v>
      </c>
      <c r="C264" s="1087">
        <v>2030</v>
      </c>
      <c r="D264" s="1086">
        <v>1022000</v>
      </c>
      <c r="E264" s="1088">
        <v>1021000</v>
      </c>
      <c r="F264" s="1089">
        <v>15520</v>
      </c>
      <c r="G264" s="1086">
        <v>1.716</v>
      </c>
      <c r="H264" s="1088">
        <v>0.14096175</v>
      </c>
      <c r="I264" s="1088">
        <v>3.3149000000000004E-5</v>
      </c>
      <c r="J264" s="1089">
        <v>5.9754000000000005</v>
      </c>
    </row>
    <row r="265" spans="2:10" x14ac:dyDescent="0.25">
      <c r="B265" s="1086" t="s">
        <v>702</v>
      </c>
      <c r="C265" s="1087">
        <v>2030</v>
      </c>
      <c r="D265" s="1086">
        <v>1022000</v>
      </c>
      <c r="E265" s="1088">
        <v>1021000</v>
      </c>
      <c r="F265" s="1089">
        <v>15520</v>
      </c>
      <c r="G265" s="1086">
        <v>1.716</v>
      </c>
      <c r="H265" s="1088">
        <v>0.14096175</v>
      </c>
      <c r="I265" s="1088">
        <v>3.3149000000000004E-5</v>
      </c>
      <c r="J265" s="1089">
        <v>5.9754000000000005</v>
      </c>
    </row>
    <row r="266" spans="2:10" x14ac:dyDescent="0.25">
      <c r="B266" s="1086" t="s">
        <v>891</v>
      </c>
      <c r="C266" s="1087">
        <v>2030</v>
      </c>
      <c r="D266" s="1086">
        <v>1209000</v>
      </c>
      <c r="E266" s="1088">
        <v>1202000</v>
      </c>
      <c r="F266" s="1089">
        <v>1052000</v>
      </c>
      <c r="G266" s="1086">
        <v>18.120999999999999</v>
      </c>
      <c r="H266" s="1088">
        <v>0.16412299999999999</v>
      </c>
      <c r="I266" s="1088">
        <v>2.9339999999999998E-4</v>
      </c>
      <c r="J266" s="1089">
        <v>23.162000000000003</v>
      </c>
    </row>
    <row r="267" spans="2:10" x14ac:dyDescent="0.25">
      <c r="B267" s="1086" t="s">
        <v>889</v>
      </c>
      <c r="C267" s="1087">
        <v>2030</v>
      </c>
      <c r="D267" s="1086">
        <v>1586000</v>
      </c>
      <c r="E267" s="1088">
        <v>697000</v>
      </c>
      <c r="F267" s="1089">
        <v>286200</v>
      </c>
      <c r="G267" s="1086">
        <v>38.404000000000003</v>
      </c>
      <c r="H267" s="1088">
        <v>0.1118</v>
      </c>
      <c r="I267" s="1088">
        <v>2.5350000000000001E-2</v>
      </c>
      <c r="J267" s="1089">
        <v>45.44</v>
      </c>
    </row>
    <row r="268" spans="2:10" x14ac:dyDescent="0.25">
      <c r="B268" s="1086" t="s">
        <v>892</v>
      </c>
      <c r="C268" s="1087">
        <v>2030</v>
      </c>
      <c r="D268" s="1086">
        <v>1250000</v>
      </c>
      <c r="E268" s="1088">
        <v>1242000</v>
      </c>
      <c r="F268" s="1089">
        <v>1078000</v>
      </c>
      <c r="G268" s="1086">
        <v>24.006999999999998</v>
      </c>
      <c r="H268" s="1088">
        <v>0.16975200000000001</v>
      </c>
      <c r="I268" s="1088">
        <v>3.8147000000000002E-4</v>
      </c>
      <c r="J268" s="1089">
        <v>29.335999999999999</v>
      </c>
    </row>
    <row r="269" spans="2:10" x14ac:dyDescent="0.25">
      <c r="B269" s="1086" t="s">
        <v>1054</v>
      </c>
      <c r="C269" s="1087">
        <v>2030</v>
      </c>
      <c r="D269" s="1086">
        <v>1190000</v>
      </c>
      <c r="E269" s="1088">
        <v>51650</v>
      </c>
      <c r="F269" s="1089">
        <v>29230</v>
      </c>
      <c r="G269" s="1086">
        <v>3.7881999999999998</v>
      </c>
      <c r="H269" s="1088">
        <v>8.4297E-3</v>
      </c>
      <c r="I269" s="1088">
        <v>-3.825901E-3</v>
      </c>
      <c r="J269" s="1089">
        <v>3.0377000000000001</v>
      </c>
    </row>
    <row r="270" spans="2:10" x14ac:dyDescent="0.25">
      <c r="B270" s="1086" t="s">
        <v>800</v>
      </c>
      <c r="C270" s="1087">
        <v>2030</v>
      </c>
      <c r="D270" s="1086">
        <v>1190000</v>
      </c>
      <c r="E270" s="1088">
        <v>51650</v>
      </c>
      <c r="F270" s="1089">
        <v>29230</v>
      </c>
      <c r="G270" s="1086">
        <v>3.7881999999999998</v>
      </c>
      <c r="H270" s="1088">
        <v>8.4297E-3</v>
      </c>
      <c r="I270" s="1088">
        <v>-3.825901E-3</v>
      </c>
      <c r="J270" s="1089">
        <v>3.0377000000000001</v>
      </c>
    </row>
    <row r="271" spans="2:10" x14ac:dyDescent="0.25">
      <c r="B271" s="1086" t="s">
        <v>806</v>
      </c>
      <c r="C271" s="1087">
        <v>2030</v>
      </c>
      <c r="D271" s="1086">
        <v>1190000</v>
      </c>
      <c r="E271" s="1088">
        <v>51650</v>
      </c>
      <c r="F271" s="1089">
        <v>29230</v>
      </c>
      <c r="G271" s="1086">
        <v>3.7881999999999998</v>
      </c>
      <c r="H271" s="1088">
        <v>8.4297E-3</v>
      </c>
      <c r="I271" s="1088">
        <v>-3.825901E-3</v>
      </c>
      <c r="J271" s="1089">
        <v>3.0377000000000001</v>
      </c>
    </row>
    <row r="272" spans="2:10" ht="13.8" thickBot="1" x14ac:dyDescent="0.3">
      <c r="B272" s="1090" t="s">
        <v>1061</v>
      </c>
      <c r="C272" s="1091">
        <v>2030</v>
      </c>
      <c r="D272" s="1090">
        <v>1384000</v>
      </c>
      <c r="E272" s="1092">
        <v>1383000</v>
      </c>
      <c r="F272" s="1093">
        <v>5048</v>
      </c>
      <c r="G272" s="1090">
        <v>78.598700000000008</v>
      </c>
      <c r="H272" s="1092">
        <v>0.27484000000000003</v>
      </c>
      <c r="I272" s="1092">
        <v>2.3306000000000004E-3</v>
      </c>
      <c r="J272" s="1093">
        <v>87.622100000000003</v>
      </c>
    </row>
    <row r="273" spans="2:10" x14ac:dyDescent="0.25">
      <c r="B273" s="1082" t="s">
        <v>1058</v>
      </c>
      <c r="C273" s="1083">
        <v>2035</v>
      </c>
      <c r="D273" s="1082">
        <v>1092000</v>
      </c>
      <c r="E273" s="1084">
        <v>1092000</v>
      </c>
      <c r="F273" s="1085">
        <v>3981</v>
      </c>
      <c r="G273" s="1082">
        <v>5.7552000000000003</v>
      </c>
      <c r="H273" s="1084">
        <v>0.18462100000000001</v>
      </c>
      <c r="I273" s="1084">
        <v>8.6129999999999996E-4</v>
      </c>
      <c r="J273" s="1085">
        <v>11.5802</v>
      </c>
    </row>
    <row r="274" spans="2:10" x14ac:dyDescent="0.25">
      <c r="B274" s="1086" t="s">
        <v>280</v>
      </c>
      <c r="C274" s="1087">
        <v>2035</v>
      </c>
      <c r="D274" s="1086">
        <v>1092000</v>
      </c>
      <c r="E274" s="1088">
        <v>1092000</v>
      </c>
      <c r="F274" s="1089">
        <v>3981</v>
      </c>
      <c r="G274" s="1086">
        <v>5.7552000000000003</v>
      </c>
      <c r="H274" s="1088">
        <v>0.18462100000000001</v>
      </c>
      <c r="I274" s="1088">
        <v>8.6129999999999996E-4</v>
      </c>
      <c r="J274" s="1089">
        <v>11.5802</v>
      </c>
    </row>
    <row r="275" spans="2:10" x14ac:dyDescent="0.25">
      <c r="B275" s="1086" t="s">
        <v>1059</v>
      </c>
      <c r="C275" s="1087">
        <v>2035</v>
      </c>
      <c r="D275" s="1086">
        <v>1092000</v>
      </c>
      <c r="E275" s="1088">
        <v>1092000</v>
      </c>
      <c r="F275" s="1089">
        <v>3981</v>
      </c>
      <c r="G275" s="1086">
        <v>5.7552000000000003</v>
      </c>
      <c r="H275" s="1088">
        <v>0.18462100000000001</v>
      </c>
      <c r="I275" s="1088">
        <v>8.6129999999999996E-4</v>
      </c>
      <c r="J275" s="1089">
        <v>11.5802</v>
      </c>
    </row>
    <row r="276" spans="2:10" x14ac:dyDescent="0.25">
      <c r="B276" s="1086" t="s">
        <v>666</v>
      </c>
      <c r="C276" s="1087">
        <v>2035</v>
      </c>
      <c r="D276" s="1086">
        <v>1092000</v>
      </c>
      <c r="E276" s="1088">
        <v>1092000</v>
      </c>
      <c r="F276" s="1089">
        <v>3981</v>
      </c>
      <c r="G276" s="1086">
        <v>5.7552000000000003</v>
      </c>
      <c r="H276" s="1088">
        <v>0.18462100000000001</v>
      </c>
      <c r="I276" s="1088">
        <v>8.6129999999999996E-4</v>
      </c>
      <c r="J276" s="1089">
        <v>11.5802</v>
      </c>
    </row>
    <row r="277" spans="2:10" x14ac:dyDescent="0.25">
      <c r="B277" s="1086" t="s">
        <v>667</v>
      </c>
      <c r="C277" s="1087">
        <v>2035</v>
      </c>
      <c r="D277" s="1086">
        <v>-1185000</v>
      </c>
      <c r="E277" s="1088">
        <v>0</v>
      </c>
      <c r="F277" s="1089">
        <v>0</v>
      </c>
      <c r="G277" s="1086">
        <v>-85.800000000000011</v>
      </c>
      <c r="H277" s="1088">
        <v>0.54700000000000004</v>
      </c>
      <c r="I277" s="1088">
        <v>-1.8286999999999999E-3</v>
      </c>
      <c r="J277" s="1089">
        <v>-70.08</v>
      </c>
    </row>
    <row r="278" spans="2:10" x14ac:dyDescent="0.25">
      <c r="B278" s="1086" t="s">
        <v>668</v>
      </c>
      <c r="C278" s="1087">
        <v>2035</v>
      </c>
      <c r="D278" s="1086">
        <v>1745000</v>
      </c>
      <c r="E278" s="1088">
        <v>1314000</v>
      </c>
      <c r="F278" s="1089">
        <v>18650</v>
      </c>
      <c r="G278" s="1086">
        <v>132.69</v>
      </c>
      <c r="H278" s="1088">
        <v>0.204869</v>
      </c>
      <c r="I278" s="1088">
        <v>1.9257999999999999E-3</v>
      </c>
      <c r="J278" s="1089">
        <v>137.91999999999999</v>
      </c>
    </row>
    <row r="279" spans="2:10" x14ac:dyDescent="0.25">
      <c r="B279" s="1086" t="s">
        <v>683</v>
      </c>
      <c r="C279" s="1087">
        <v>2035</v>
      </c>
      <c r="D279" s="1086">
        <v>1745000</v>
      </c>
      <c r="E279" s="1088">
        <v>1314000</v>
      </c>
      <c r="F279" s="1089">
        <v>18650</v>
      </c>
      <c r="G279" s="1086">
        <v>132.69</v>
      </c>
      <c r="H279" s="1088">
        <v>0.204869</v>
      </c>
      <c r="I279" s="1088">
        <v>1.9257999999999999E-3</v>
      </c>
      <c r="J279" s="1089">
        <v>137.91999999999999</v>
      </c>
    </row>
    <row r="280" spans="2:10" x14ac:dyDescent="0.25">
      <c r="B280" s="1086" t="s">
        <v>669</v>
      </c>
      <c r="C280" s="1087">
        <v>2035</v>
      </c>
      <c r="D280" s="1086">
        <v>1745000</v>
      </c>
      <c r="E280" s="1088">
        <v>1314000</v>
      </c>
      <c r="F280" s="1089">
        <v>18650</v>
      </c>
      <c r="G280" s="1086">
        <v>132.69</v>
      </c>
      <c r="H280" s="1088">
        <v>0.204869</v>
      </c>
      <c r="I280" s="1088">
        <v>1.9257999999999999E-3</v>
      </c>
      <c r="J280" s="1089">
        <v>137.91999999999999</v>
      </c>
    </row>
    <row r="281" spans="2:10" x14ac:dyDescent="0.25">
      <c r="B281" s="1086" t="s">
        <v>1060</v>
      </c>
      <c r="C281" s="1087">
        <v>2035</v>
      </c>
      <c r="D281" s="1086">
        <v>1022000</v>
      </c>
      <c r="E281" s="1088">
        <v>1021000</v>
      </c>
      <c r="F281" s="1089">
        <v>15520</v>
      </c>
      <c r="G281" s="1086">
        <v>1.7124999999999999</v>
      </c>
      <c r="H281" s="1088">
        <v>0.14096197999999999</v>
      </c>
      <c r="I281" s="1088">
        <v>3.3061000000000001E-5</v>
      </c>
      <c r="J281" s="1089">
        <v>5.9708000000000006</v>
      </c>
    </row>
    <row r="282" spans="2:10" x14ac:dyDescent="0.25">
      <c r="B282" s="1086" t="s">
        <v>701</v>
      </c>
      <c r="C282" s="1087">
        <v>2035</v>
      </c>
      <c r="D282" s="1086">
        <v>1022000</v>
      </c>
      <c r="E282" s="1088">
        <v>1021000</v>
      </c>
      <c r="F282" s="1089">
        <v>15520</v>
      </c>
      <c r="G282" s="1086">
        <v>1.7124999999999999</v>
      </c>
      <c r="H282" s="1088">
        <v>0.14096197999999999</v>
      </c>
      <c r="I282" s="1088">
        <v>3.3061000000000001E-5</v>
      </c>
      <c r="J282" s="1089">
        <v>5.9708000000000006</v>
      </c>
    </row>
    <row r="283" spans="2:10" x14ac:dyDescent="0.25">
      <c r="B283" s="1086" t="s">
        <v>702</v>
      </c>
      <c r="C283" s="1087">
        <v>2035</v>
      </c>
      <c r="D283" s="1086">
        <v>1022000</v>
      </c>
      <c r="E283" s="1088">
        <v>1021000</v>
      </c>
      <c r="F283" s="1089">
        <v>15520</v>
      </c>
      <c r="G283" s="1086">
        <v>1.7124999999999999</v>
      </c>
      <c r="H283" s="1088">
        <v>0.14096197999999999</v>
      </c>
      <c r="I283" s="1088">
        <v>3.3061000000000001E-5</v>
      </c>
      <c r="J283" s="1089">
        <v>5.9708000000000006</v>
      </c>
    </row>
    <row r="284" spans="2:10" x14ac:dyDescent="0.25">
      <c r="B284" s="1086" t="s">
        <v>891</v>
      </c>
      <c r="C284" s="1087">
        <v>2035</v>
      </c>
      <c r="D284" s="1086">
        <v>1209000</v>
      </c>
      <c r="E284" s="1088">
        <v>1202000</v>
      </c>
      <c r="F284" s="1089">
        <v>1052000</v>
      </c>
      <c r="G284" s="1086">
        <v>18.088999999999999</v>
      </c>
      <c r="H284" s="1088">
        <v>0.16412499999999999</v>
      </c>
      <c r="I284" s="1088">
        <v>2.9260000000000001E-4</v>
      </c>
      <c r="J284" s="1089">
        <v>23.119</v>
      </c>
    </row>
    <row r="285" spans="2:10" x14ac:dyDescent="0.25">
      <c r="B285" s="1086" t="s">
        <v>889</v>
      </c>
      <c r="C285" s="1087">
        <v>2035</v>
      </c>
      <c r="D285" s="1086">
        <v>1586000</v>
      </c>
      <c r="E285" s="1088">
        <v>697100</v>
      </c>
      <c r="F285" s="1089">
        <v>286100</v>
      </c>
      <c r="G285" s="1086">
        <v>38.326999999999998</v>
      </c>
      <c r="H285" s="1088">
        <v>0.1118</v>
      </c>
      <c r="I285" s="1088">
        <v>2.5350000000000001E-2</v>
      </c>
      <c r="J285" s="1089">
        <v>45.39</v>
      </c>
    </row>
    <row r="286" spans="2:10" x14ac:dyDescent="0.25">
      <c r="B286" s="1086" t="s">
        <v>892</v>
      </c>
      <c r="C286" s="1087">
        <v>2035</v>
      </c>
      <c r="D286" s="1086">
        <v>1250000</v>
      </c>
      <c r="E286" s="1088">
        <v>1242000</v>
      </c>
      <c r="F286" s="1089">
        <v>1078000</v>
      </c>
      <c r="G286" s="1086">
        <v>23.973999999999997</v>
      </c>
      <c r="H286" s="1088">
        <v>0.169854</v>
      </c>
      <c r="I286" s="1088">
        <v>3.8064000000000001E-4</v>
      </c>
      <c r="J286" s="1089">
        <v>29.302</v>
      </c>
    </row>
    <row r="287" spans="2:10" x14ac:dyDescent="0.25">
      <c r="B287" s="1086" t="s">
        <v>1054</v>
      </c>
      <c r="C287" s="1087">
        <v>2035</v>
      </c>
      <c r="D287" s="1086">
        <v>1190000</v>
      </c>
      <c r="E287" s="1088">
        <v>51660</v>
      </c>
      <c r="F287" s="1089">
        <v>29230</v>
      </c>
      <c r="G287" s="1086">
        <v>3.7818000000000001</v>
      </c>
      <c r="H287" s="1088">
        <v>8.4370999999999995E-3</v>
      </c>
      <c r="I287" s="1088">
        <v>-3.8259590000000003E-3</v>
      </c>
      <c r="J287" s="1089">
        <v>3.0312999999999999</v>
      </c>
    </row>
    <row r="288" spans="2:10" x14ac:dyDescent="0.25">
      <c r="B288" s="1086" t="s">
        <v>800</v>
      </c>
      <c r="C288" s="1087">
        <v>2035</v>
      </c>
      <c r="D288" s="1086">
        <v>1190000</v>
      </c>
      <c r="E288" s="1088">
        <v>51660</v>
      </c>
      <c r="F288" s="1089">
        <v>29230</v>
      </c>
      <c r="G288" s="1086">
        <v>3.7818000000000001</v>
      </c>
      <c r="H288" s="1088">
        <v>8.4370999999999995E-3</v>
      </c>
      <c r="I288" s="1088">
        <v>-3.8259590000000003E-3</v>
      </c>
      <c r="J288" s="1089">
        <v>3.0312999999999999</v>
      </c>
    </row>
    <row r="289" spans="2:10" x14ac:dyDescent="0.25">
      <c r="B289" s="1086" t="s">
        <v>806</v>
      </c>
      <c r="C289" s="1087">
        <v>2035</v>
      </c>
      <c r="D289" s="1086">
        <v>1190000</v>
      </c>
      <c r="E289" s="1088">
        <v>51660</v>
      </c>
      <c r="F289" s="1089">
        <v>29230</v>
      </c>
      <c r="G289" s="1086">
        <v>3.7818000000000001</v>
      </c>
      <c r="H289" s="1088">
        <v>8.4370999999999995E-3</v>
      </c>
      <c r="I289" s="1088">
        <v>-3.8259590000000003E-3</v>
      </c>
      <c r="J289" s="1089">
        <v>3.0312999999999999</v>
      </c>
    </row>
    <row r="290" spans="2:10" ht="13.8" thickBot="1" x14ac:dyDescent="0.3">
      <c r="B290" s="1090" t="s">
        <v>1061</v>
      </c>
      <c r="C290" s="1091">
        <v>2035</v>
      </c>
      <c r="D290" s="1090">
        <v>1384000</v>
      </c>
      <c r="E290" s="1092">
        <v>1383000</v>
      </c>
      <c r="F290" s="1093">
        <v>5034</v>
      </c>
      <c r="G290" s="1090">
        <v>78.571100000000001</v>
      </c>
      <c r="H290" s="1092">
        <v>0.27494000000000002</v>
      </c>
      <c r="I290" s="1092">
        <v>2.3304000000000003E-3</v>
      </c>
      <c r="J290" s="1093">
        <v>87.594300000000004</v>
      </c>
    </row>
    <row r="291" spans="2:10" x14ac:dyDescent="0.25">
      <c r="B291" s="1082" t="s">
        <v>1058</v>
      </c>
      <c r="C291" s="1083">
        <v>2040</v>
      </c>
      <c r="D291" s="1082">
        <v>1092000</v>
      </c>
      <c r="E291" s="1084">
        <v>1092000</v>
      </c>
      <c r="F291" s="1085">
        <v>3975</v>
      </c>
      <c r="G291" s="1082">
        <v>5.7453000000000003</v>
      </c>
      <c r="H291" s="1084">
        <v>0.18462200000000001</v>
      </c>
      <c r="I291" s="1084">
        <v>8.6110000000000006E-4</v>
      </c>
      <c r="J291" s="1085">
        <v>11.577199999999999</v>
      </c>
    </row>
    <row r="292" spans="2:10" x14ac:dyDescent="0.25">
      <c r="B292" s="1086" t="s">
        <v>280</v>
      </c>
      <c r="C292" s="1087">
        <v>2040</v>
      </c>
      <c r="D292" s="1086">
        <v>1092000</v>
      </c>
      <c r="E292" s="1088">
        <v>1092000</v>
      </c>
      <c r="F292" s="1089">
        <v>3975</v>
      </c>
      <c r="G292" s="1086">
        <v>5.7453000000000003</v>
      </c>
      <c r="H292" s="1088">
        <v>0.18462200000000001</v>
      </c>
      <c r="I292" s="1088">
        <v>8.6110000000000006E-4</v>
      </c>
      <c r="J292" s="1089">
        <v>11.577199999999999</v>
      </c>
    </row>
    <row r="293" spans="2:10" x14ac:dyDescent="0.25">
      <c r="B293" s="1086" t="s">
        <v>1059</v>
      </c>
      <c r="C293" s="1087">
        <v>2040</v>
      </c>
      <c r="D293" s="1086">
        <v>1092000</v>
      </c>
      <c r="E293" s="1088">
        <v>1092000</v>
      </c>
      <c r="F293" s="1089">
        <v>3975</v>
      </c>
      <c r="G293" s="1086">
        <v>5.7453000000000003</v>
      </c>
      <c r="H293" s="1088">
        <v>0.18462200000000001</v>
      </c>
      <c r="I293" s="1088">
        <v>8.6110000000000006E-4</v>
      </c>
      <c r="J293" s="1089">
        <v>11.577199999999999</v>
      </c>
    </row>
    <row r="294" spans="2:10" x14ac:dyDescent="0.25">
      <c r="B294" s="1086" t="s">
        <v>666</v>
      </c>
      <c r="C294" s="1087">
        <v>2040</v>
      </c>
      <c r="D294" s="1086">
        <v>1092000</v>
      </c>
      <c r="E294" s="1088">
        <v>1092000</v>
      </c>
      <c r="F294" s="1089">
        <v>3975</v>
      </c>
      <c r="G294" s="1086">
        <v>5.7453000000000003</v>
      </c>
      <c r="H294" s="1088">
        <v>0.18462200000000001</v>
      </c>
      <c r="I294" s="1088">
        <v>8.6110000000000006E-4</v>
      </c>
      <c r="J294" s="1089">
        <v>11.577199999999999</v>
      </c>
    </row>
    <row r="295" spans="2:10" x14ac:dyDescent="0.25">
      <c r="B295" s="1086" t="s">
        <v>667</v>
      </c>
      <c r="C295" s="1087">
        <v>2040</v>
      </c>
      <c r="D295" s="1086">
        <v>-1185000</v>
      </c>
      <c r="E295" s="1088">
        <v>0</v>
      </c>
      <c r="F295" s="1089">
        <v>0</v>
      </c>
      <c r="G295" s="1086">
        <v>-85.800000000000011</v>
      </c>
      <c r="H295" s="1088">
        <v>0.54700000000000004</v>
      </c>
      <c r="I295" s="1088">
        <v>-1.8286999999999999E-3</v>
      </c>
      <c r="J295" s="1089">
        <v>-70.08</v>
      </c>
    </row>
    <row r="296" spans="2:10" x14ac:dyDescent="0.25">
      <c r="B296" s="1086" t="s">
        <v>668</v>
      </c>
      <c r="C296" s="1087">
        <v>2040</v>
      </c>
      <c r="D296" s="1086">
        <v>1732000</v>
      </c>
      <c r="E296" s="1088">
        <v>1300000</v>
      </c>
      <c r="F296" s="1089">
        <v>17320</v>
      </c>
      <c r="G296" s="1086">
        <v>129.32</v>
      </c>
      <c r="H296" s="1088">
        <v>0.20383000000000001</v>
      </c>
      <c r="I296" s="1088">
        <v>1.8644999999999998E-3</v>
      </c>
      <c r="J296" s="1089">
        <v>134.37</v>
      </c>
    </row>
    <row r="297" spans="2:10" x14ac:dyDescent="0.25">
      <c r="B297" s="1086" t="s">
        <v>683</v>
      </c>
      <c r="C297" s="1087">
        <v>2040</v>
      </c>
      <c r="D297" s="1086">
        <v>1732000</v>
      </c>
      <c r="E297" s="1088">
        <v>1300000</v>
      </c>
      <c r="F297" s="1089">
        <v>17320</v>
      </c>
      <c r="G297" s="1086">
        <v>129.32</v>
      </c>
      <c r="H297" s="1088">
        <v>0.20383000000000001</v>
      </c>
      <c r="I297" s="1088">
        <v>1.8644999999999998E-3</v>
      </c>
      <c r="J297" s="1089">
        <v>134.37</v>
      </c>
    </row>
    <row r="298" spans="2:10" x14ac:dyDescent="0.25">
      <c r="B298" s="1086" t="s">
        <v>669</v>
      </c>
      <c r="C298" s="1087">
        <v>2040</v>
      </c>
      <c r="D298" s="1086">
        <v>1732000</v>
      </c>
      <c r="E298" s="1088">
        <v>1300000</v>
      </c>
      <c r="F298" s="1089">
        <v>17320</v>
      </c>
      <c r="G298" s="1086">
        <v>129.32</v>
      </c>
      <c r="H298" s="1088">
        <v>0.20383000000000001</v>
      </c>
      <c r="I298" s="1088">
        <v>1.8644999999999998E-3</v>
      </c>
      <c r="J298" s="1089">
        <v>134.37</v>
      </c>
    </row>
    <row r="299" spans="2:10" x14ac:dyDescent="0.25">
      <c r="B299" s="1086" t="s">
        <v>1060</v>
      </c>
      <c r="C299" s="1087">
        <v>2040</v>
      </c>
      <c r="D299" s="1086">
        <v>1022000</v>
      </c>
      <c r="E299" s="1088">
        <v>1021000</v>
      </c>
      <c r="F299" s="1089">
        <v>15510</v>
      </c>
      <c r="G299" s="1086">
        <v>1.7054</v>
      </c>
      <c r="H299" s="1088">
        <v>0.14096210000000001</v>
      </c>
      <c r="I299" s="1088">
        <v>3.2928999999999996E-5</v>
      </c>
      <c r="J299" s="1089">
        <v>5.9637000000000002</v>
      </c>
    </row>
    <row r="300" spans="2:10" x14ac:dyDescent="0.25">
      <c r="B300" s="1086" t="s">
        <v>701</v>
      </c>
      <c r="C300" s="1087">
        <v>2040</v>
      </c>
      <c r="D300" s="1086">
        <v>1022000</v>
      </c>
      <c r="E300" s="1088">
        <v>1021000</v>
      </c>
      <c r="F300" s="1089">
        <v>15510</v>
      </c>
      <c r="G300" s="1086">
        <v>1.7054</v>
      </c>
      <c r="H300" s="1088">
        <v>0.14096210000000001</v>
      </c>
      <c r="I300" s="1088">
        <v>3.2928999999999996E-5</v>
      </c>
      <c r="J300" s="1089">
        <v>5.9637000000000002</v>
      </c>
    </row>
    <row r="301" spans="2:10" x14ac:dyDescent="0.25">
      <c r="B301" s="1086" t="s">
        <v>702</v>
      </c>
      <c r="C301" s="1087">
        <v>2040</v>
      </c>
      <c r="D301" s="1086">
        <v>1022000</v>
      </c>
      <c r="E301" s="1088">
        <v>1021000</v>
      </c>
      <c r="F301" s="1089">
        <v>15510</v>
      </c>
      <c r="G301" s="1086">
        <v>1.7054</v>
      </c>
      <c r="H301" s="1088">
        <v>0.14096210000000001</v>
      </c>
      <c r="I301" s="1088">
        <v>3.2928999999999996E-5</v>
      </c>
      <c r="J301" s="1089">
        <v>5.9637000000000002</v>
      </c>
    </row>
    <row r="302" spans="2:10" x14ac:dyDescent="0.25">
      <c r="B302" s="1086" t="s">
        <v>891</v>
      </c>
      <c r="C302" s="1087">
        <v>2040</v>
      </c>
      <c r="D302" s="1086">
        <v>1209000</v>
      </c>
      <c r="E302" s="1088">
        <v>1202000</v>
      </c>
      <c r="F302" s="1089">
        <v>1052000</v>
      </c>
      <c r="G302" s="1086">
        <v>18.032</v>
      </c>
      <c r="H302" s="1088">
        <v>0.16412599999999999</v>
      </c>
      <c r="I302" s="1088">
        <v>2.9167E-4</v>
      </c>
      <c r="J302" s="1089">
        <v>23.062000000000001</v>
      </c>
    </row>
    <row r="303" spans="2:10" x14ac:dyDescent="0.25">
      <c r="B303" s="1086" t="s">
        <v>889</v>
      </c>
      <c r="C303" s="1087">
        <v>2040</v>
      </c>
      <c r="D303" s="1086">
        <v>1586000</v>
      </c>
      <c r="E303" s="1088">
        <v>696600</v>
      </c>
      <c r="F303" s="1089">
        <v>286100</v>
      </c>
      <c r="G303" s="1086">
        <v>38.200000000000003</v>
      </c>
      <c r="H303" s="1088">
        <v>0.1118</v>
      </c>
      <c r="I303" s="1088">
        <v>2.5350000000000001E-2</v>
      </c>
      <c r="J303" s="1089">
        <v>45.3</v>
      </c>
    </row>
    <row r="304" spans="2:10" x14ac:dyDescent="0.25">
      <c r="B304" s="1086" t="s">
        <v>892</v>
      </c>
      <c r="C304" s="1087">
        <v>2040</v>
      </c>
      <c r="D304" s="1086">
        <v>1250000</v>
      </c>
      <c r="E304" s="1088">
        <v>1242000</v>
      </c>
      <c r="F304" s="1089">
        <v>1078000</v>
      </c>
      <c r="G304" s="1086">
        <v>23.914999999999999</v>
      </c>
      <c r="H304" s="1088">
        <v>0.16985499999999998</v>
      </c>
      <c r="I304" s="1088">
        <v>3.7957999999999997E-4</v>
      </c>
      <c r="J304" s="1089">
        <v>29.232999999999997</v>
      </c>
    </row>
    <row r="305" spans="2:10" x14ac:dyDescent="0.25">
      <c r="B305" s="1086" t="s">
        <v>1054</v>
      </c>
      <c r="C305" s="1087">
        <v>2040</v>
      </c>
      <c r="D305" s="1086">
        <v>1190000</v>
      </c>
      <c r="E305" s="1088">
        <v>51610</v>
      </c>
      <c r="F305" s="1089">
        <v>29220</v>
      </c>
      <c r="G305" s="1086">
        <v>3.7715999999999998</v>
      </c>
      <c r="H305" s="1088">
        <v>8.4332999999999995E-3</v>
      </c>
      <c r="I305" s="1088">
        <v>-3.8260220000000001E-3</v>
      </c>
      <c r="J305" s="1089">
        <v>3.02</v>
      </c>
    </row>
    <row r="306" spans="2:10" x14ac:dyDescent="0.25">
      <c r="B306" s="1086" t="s">
        <v>800</v>
      </c>
      <c r="C306" s="1087">
        <v>2040</v>
      </c>
      <c r="D306" s="1086">
        <v>1190000</v>
      </c>
      <c r="E306" s="1088">
        <v>51610</v>
      </c>
      <c r="F306" s="1089">
        <v>29220</v>
      </c>
      <c r="G306" s="1086">
        <v>3.7715999999999998</v>
      </c>
      <c r="H306" s="1088">
        <v>8.4332999999999995E-3</v>
      </c>
      <c r="I306" s="1088">
        <v>-3.8260220000000001E-3</v>
      </c>
      <c r="J306" s="1089">
        <v>3.02</v>
      </c>
    </row>
    <row r="307" spans="2:10" x14ac:dyDescent="0.25">
      <c r="B307" s="1086" t="s">
        <v>806</v>
      </c>
      <c r="C307" s="1087">
        <v>2040</v>
      </c>
      <c r="D307" s="1086">
        <v>1190000</v>
      </c>
      <c r="E307" s="1088">
        <v>51610</v>
      </c>
      <c r="F307" s="1089">
        <v>29220</v>
      </c>
      <c r="G307" s="1086">
        <v>3.7715999999999998</v>
      </c>
      <c r="H307" s="1088">
        <v>8.4332999999999995E-3</v>
      </c>
      <c r="I307" s="1088">
        <v>-3.8260220000000001E-3</v>
      </c>
      <c r="J307" s="1089">
        <v>3.02</v>
      </c>
    </row>
    <row r="308" spans="2:10" ht="13.8" thickBot="1" x14ac:dyDescent="0.3">
      <c r="B308" s="1090" t="s">
        <v>1061</v>
      </c>
      <c r="C308" s="1091">
        <v>2040</v>
      </c>
      <c r="D308" s="1090">
        <v>1384000</v>
      </c>
      <c r="E308" s="1092">
        <v>1383000</v>
      </c>
      <c r="F308" s="1093">
        <v>5034</v>
      </c>
      <c r="G308" s="1090">
        <v>78.571100000000001</v>
      </c>
      <c r="H308" s="1092">
        <v>0.27494000000000002</v>
      </c>
      <c r="I308" s="1092">
        <v>2.3304000000000003E-3</v>
      </c>
      <c r="J308" s="1093">
        <v>87.594300000000004</v>
      </c>
    </row>
    <row r="309" spans="2:10" x14ac:dyDescent="0.25">
      <c r="B309" s="1082" t="s">
        <v>1058</v>
      </c>
      <c r="C309" s="1083">
        <v>2045</v>
      </c>
      <c r="D309" s="1082">
        <v>1092000</v>
      </c>
      <c r="E309" s="1084">
        <v>1092000</v>
      </c>
      <c r="F309" s="1085">
        <v>3972</v>
      </c>
      <c r="G309" s="1082">
        <v>5.7410000000000005</v>
      </c>
      <c r="H309" s="1084">
        <v>0.18462200000000001</v>
      </c>
      <c r="I309" s="1084">
        <v>8.6110000000000006E-4</v>
      </c>
      <c r="J309" s="1085">
        <v>11.565900000000001</v>
      </c>
    </row>
    <row r="310" spans="2:10" x14ac:dyDescent="0.25">
      <c r="B310" s="1086" t="s">
        <v>280</v>
      </c>
      <c r="C310" s="1087">
        <v>2045</v>
      </c>
      <c r="D310" s="1086">
        <v>1092000</v>
      </c>
      <c r="E310" s="1088">
        <v>1092000</v>
      </c>
      <c r="F310" s="1089">
        <v>3972</v>
      </c>
      <c r="G310" s="1086">
        <v>5.7410000000000005</v>
      </c>
      <c r="H310" s="1088">
        <v>0.18462200000000001</v>
      </c>
      <c r="I310" s="1088">
        <v>8.6110000000000006E-4</v>
      </c>
      <c r="J310" s="1089">
        <v>11.565900000000001</v>
      </c>
    </row>
    <row r="311" spans="2:10" x14ac:dyDescent="0.25">
      <c r="B311" s="1086" t="s">
        <v>1059</v>
      </c>
      <c r="C311" s="1087">
        <v>2045</v>
      </c>
      <c r="D311" s="1086">
        <v>1092000</v>
      </c>
      <c r="E311" s="1088">
        <v>1092000</v>
      </c>
      <c r="F311" s="1089">
        <v>3972</v>
      </c>
      <c r="G311" s="1086">
        <v>5.7410000000000005</v>
      </c>
      <c r="H311" s="1088">
        <v>0.18462200000000001</v>
      </c>
      <c r="I311" s="1088">
        <v>8.6110000000000006E-4</v>
      </c>
      <c r="J311" s="1089">
        <v>11.565900000000001</v>
      </c>
    </row>
    <row r="312" spans="2:10" x14ac:dyDescent="0.25">
      <c r="B312" s="1086" t="s">
        <v>666</v>
      </c>
      <c r="C312" s="1087">
        <v>2045</v>
      </c>
      <c r="D312" s="1086">
        <v>1092000</v>
      </c>
      <c r="E312" s="1088">
        <v>1092000</v>
      </c>
      <c r="F312" s="1089">
        <v>3972</v>
      </c>
      <c r="G312" s="1086">
        <v>5.7410000000000005</v>
      </c>
      <c r="H312" s="1088">
        <v>0.18462200000000001</v>
      </c>
      <c r="I312" s="1088">
        <v>8.6110000000000006E-4</v>
      </c>
      <c r="J312" s="1089">
        <v>11.565900000000001</v>
      </c>
    </row>
    <row r="313" spans="2:10" x14ac:dyDescent="0.25">
      <c r="B313" s="1086" t="s">
        <v>667</v>
      </c>
      <c r="C313" s="1087">
        <v>2045</v>
      </c>
      <c r="D313" s="1086">
        <v>-1185000</v>
      </c>
      <c r="E313" s="1088">
        <v>0</v>
      </c>
      <c r="F313" s="1089">
        <v>0</v>
      </c>
      <c r="G313" s="1086">
        <v>-85.800000000000011</v>
      </c>
      <c r="H313" s="1088">
        <v>0.54700000000000004</v>
      </c>
      <c r="I313" s="1088">
        <v>-1.8286999999999999E-3</v>
      </c>
      <c r="J313" s="1089">
        <v>-70.08</v>
      </c>
    </row>
    <row r="314" spans="2:10" x14ac:dyDescent="0.25">
      <c r="B314" s="1086" t="s">
        <v>668</v>
      </c>
      <c r="C314" s="1087">
        <v>2045</v>
      </c>
      <c r="D314" s="1086">
        <v>1724000</v>
      </c>
      <c r="E314" s="1088">
        <v>1293000</v>
      </c>
      <c r="F314" s="1089">
        <v>15580</v>
      </c>
      <c r="G314" s="1086">
        <v>126.71000000000001</v>
      </c>
      <c r="H314" s="1088">
        <v>0.203795</v>
      </c>
      <c r="I314" s="1088">
        <v>1.8165E-3</v>
      </c>
      <c r="J314" s="1089">
        <v>131.63</v>
      </c>
    </row>
    <row r="315" spans="2:10" x14ac:dyDescent="0.25">
      <c r="B315" s="1086" t="s">
        <v>683</v>
      </c>
      <c r="C315" s="1087">
        <v>2045</v>
      </c>
      <c r="D315" s="1086">
        <v>1724000</v>
      </c>
      <c r="E315" s="1088">
        <v>1293000</v>
      </c>
      <c r="F315" s="1089">
        <v>15580</v>
      </c>
      <c r="G315" s="1086">
        <v>126.71000000000001</v>
      </c>
      <c r="H315" s="1088">
        <v>0.203795</v>
      </c>
      <c r="I315" s="1088">
        <v>1.8165E-3</v>
      </c>
      <c r="J315" s="1089">
        <v>131.63</v>
      </c>
    </row>
    <row r="316" spans="2:10" x14ac:dyDescent="0.25">
      <c r="B316" s="1086" t="s">
        <v>669</v>
      </c>
      <c r="C316" s="1087">
        <v>2045</v>
      </c>
      <c r="D316" s="1086">
        <v>1724000</v>
      </c>
      <c r="E316" s="1088">
        <v>1293000</v>
      </c>
      <c r="F316" s="1089">
        <v>15580</v>
      </c>
      <c r="G316" s="1086">
        <v>126.71000000000001</v>
      </c>
      <c r="H316" s="1088">
        <v>0.203795</v>
      </c>
      <c r="I316" s="1088">
        <v>1.8165E-3</v>
      </c>
      <c r="J316" s="1089">
        <v>131.63</v>
      </c>
    </row>
    <row r="317" spans="2:10" x14ac:dyDescent="0.25">
      <c r="B317" s="1086" t="s">
        <v>1060</v>
      </c>
      <c r="C317" s="1087">
        <v>2045</v>
      </c>
      <c r="D317" s="1086">
        <v>1022000</v>
      </c>
      <c r="E317" s="1088">
        <v>1021000</v>
      </c>
      <c r="F317" s="1089">
        <v>15510</v>
      </c>
      <c r="G317" s="1086">
        <v>1.6997</v>
      </c>
      <c r="H317" s="1088">
        <v>0.14096223999999999</v>
      </c>
      <c r="I317" s="1088">
        <v>3.2833999999999998E-5</v>
      </c>
      <c r="J317" s="1089">
        <v>5.9580000000000002</v>
      </c>
    </row>
    <row r="318" spans="2:10" x14ac:dyDescent="0.25">
      <c r="B318" s="1086" t="s">
        <v>701</v>
      </c>
      <c r="C318" s="1087">
        <v>2045</v>
      </c>
      <c r="D318" s="1086">
        <v>1022000</v>
      </c>
      <c r="E318" s="1088">
        <v>1021000</v>
      </c>
      <c r="F318" s="1089">
        <v>15510</v>
      </c>
      <c r="G318" s="1086">
        <v>1.6997</v>
      </c>
      <c r="H318" s="1088">
        <v>0.14096223999999999</v>
      </c>
      <c r="I318" s="1088">
        <v>3.2833999999999998E-5</v>
      </c>
      <c r="J318" s="1089">
        <v>5.9580000000000002</v>
      </c>
    </row>
    <row r="319" spans="2:10" x14ac:dyDescent="0.25">
      <c r="B319" s="1086" t="s">
        <v>702</v>
      </c>
      <c r="C319" s="1087">
        <v>2045</v>
      </c>
      <c r="D319" s="1086">
        <v>1022000</v>
      </c>
      <c r="E319" s="1088">
        <v>1021000</v>
      </c>
      <c r="F319" s="1089">
        <v>15510</v>
      </c>
      <c r="G319" s="1086">
        <v>1.6997</v>
      </c>
      <c r="H319" s="1088">
        <v>0.14096223999999999</v>
      </c>
      <c r="I319" s="1088">
        <v>3.2833999999999998E-5</v>
      </c>
      <c r="J319" s="1089">
        <v>5.9580000000000002</v>
      </c>
    </row>
    <row r="320" spans="2:10" x14ac:dyDescent="0.25">
      <c r="B320" s="1086" t="s">
        <v>891</v>
      </c>
      <c r="C320" s="1087">
        <v>2045</v>
      </c>
      <c r="D320" s="1086">
        <v>1209000</v>
      </c>
      <c r="E320" s="1088">
        <v>1202000</v>
      </c>
      <c r="F320" s="1089">
        <v>1052000</v>
      </c>
      <c r="G320" s="1086">
        <v>17.989000000000001</v>
      </c>
      <c r="H320" s="1088">
        <v>0.164127</v>
      </c>
      <c r="I320" s="1088">
        <v>2.9079000000000003E-4</v>
      </c>
      <c r="J320" s="1089">
        <v>23.018999999999998</v>
      </c>
    </row>
    <row r="321" spans="2:10" x14ac:dyDescent="0.25">
      <c r="B321" s="1086" t="s">
        <v>889</v>
      </c>
      <c r="C321" s="1087">
        <v>2045</v>
      </c>
      <c r="D321" s="1086">
        <v>1586000</v>
      </c>
      <c r="E321" s="1088">
        <v>696300</v>
      </c>
      <c r="F321" s="1089">
        <v>286000</v>
      </c>
      <c r="G321" s="1086">
        <v>38.110999999999997</v>
      </c>
      <c r="H321" s="1088">
        <v>0.1118</v>
      </c>
      <c r="I321" s="1088">
        <v>2.5350000000000001E-2</v>
      </c>
      <c r="J321" s="1089">
        <v>45.23</v>
      </c>
    </row>
    <row r="322" spans="2:10" x14ac:dyDescent="0.25">
      <c r="B322" s="1086" t="s">
        <v>892</v>
      </c>
      <c r="C322" s="1087">
        <v>2045</v>
      </c>
      <c r="D322" s="1086">
        <v>1249000</v>
      </c>
      <c r="E322" s="1088">
        <v>1242000</v>
      </c>
      <c r="F322" s="1089">
        <v>1078000</v>
      </c>
      <c r="G322" s="1086">
        <v>23.861000000000001</v>
      </c>
      <c r="H322" s="1088">
        <v>0.16985599999999998</v>
      </c>
      <c r="I322" s="1088">
        <v>3.7867E-4</v>
      </c>
      <c r="J322" s="1089">
        <v>29.189</v>
      </c>
    </row>
    <row r="323" spans="2:10" x14ac:dyDescent="0.25">
      <c r="B323" s="1086" t="s">
        <v>1054</v>
      </c>
      <c r="C323" s="1087">
        <v>2045</v>
      </c>
      <c r="D323" s="1086">
        <v>1190000</v>
      </c>
      <c r="E323" s="1088">
        <v>51590</v>
      </c>
      <c r="F323" s="1089">
        <v>29220</v>
      </c>
      <c r="G323" s="1086">
        <v>3.7631000000000001</v>
      </c>
      <c r="H323" s="1088">
        <v>8.4335E-3</v>
      </c>
      <c r="I323" s="1088">
        <v>-3.8260760000000003E-3</v>
      </c>
      <c r="J323" s="1089">
        <v>3.0114000000000001</v>
      </c>
    </row>
    <row r="324" spans="2:10" x14ac:dyDescent="0.25">
      <c r="B324" s="1086" t="s">
        <v>800</v>
      </c>
      <c r="C324" s="1087">
        <v>2045</v>
      </c>
      <c r="D324" s="1086">
        <v>1190000</v>
      </c>
      <c r="E324" s="1088">
        <v>51590</v>
      </c>
      <c r="F324" s="1089">
        <v>29220</v>
      </c>
      <c r="G324" s="1086">
        <v>3.7631000000000001</v>
      </c>
      <c r="H324" s="1088">
        <v>8.4335E-3</v>
      </c>
      <c r="I324" s="1088">
        <v>-3.8260760000000003E-3</v>
      </c>
      <c r="J324" s="1089">
        <v>3.0114000000000001</v>
      </c>
    </row>
    <row r="325" spans="2:10" x14ac:dyDescent="0.25">
      <c r="B325" s="1086" t="s">
        <v>806</v>
      </c>
      <c r="C325" s="1087">
        <v>2045</v>
      </c>
      <c r="D325" s="1086">
        <v>1190000</v>
      </c>
      <c r="E325" s="1088">
        <v>51590</v>
      </c>
      <c r="F325" s="1089">
        <v>29220</v>
      </c>
      <c r="G325" s="1086">
        <v>3.7631000000000001</v>
      </c>
      <c r="H325" s="1088">
        <v>8.4335E-3</v>
      </c>
      <c r="I325" s="1088">
        <v>-3.8260760000000003E-3</v>
      </c>
      <c r="J325" s="1089">
        <v>3.0114000000000001</v>
      </c>
    </row>
    <row r="326" spans="2:10" ht="13.8" thickBot="1" x14ac:dyDescent="0.3">
      <c r="B326" s="1090" t="s">
        <v>1061</v>
      </c>
      <c r="C326" s="1091">
        <v>2045</v>
      </c>
      <c r="D326" s="1090">
        <v>1384000</v>
      </c>
      <c r="E326" s="1092">
        <v>1383000</v>
      </c>
      <c r="F326" s="1093">
        <v>5034</v>
      </c>
      <c r="G326" s="1090">
        <v>78.571100000000001</v>
      </c>
      <c r="H326" s="1092">
        <v>0.27494000000000002</v>
      </c>
      <c r="I326" s="1092">
        <v>2.3304000000000003E-3</v>
      </c>
      <c r="J326" s="1093">
        <v>87.594300000000004</v>
      </c>
    </row>
    <row r="327" spans="2:10" x14ac:dyDescent="0.25">
      <c r="B327" s="1082" t="s">
        <v>1058</v>
      </c>
      <c r="C327" s="1083">
        <v>2050</v>
      </c>
      <c r="D327" s="1082">
        <v>1092000</v>
      </c>
      <c r="E327" s="1084">
        <v>1092000</v>
      </c>
      <c r="F327" s="1085">
        <v>3971</v>
      </c>
      <c r="G327" s="1082">
        <v>5.7390999999999996</v>
      </c>
      <c r="H327" s="1084">
        <v>0.18462200000000001</v>
      </c>
      <c r="I327" s="1084">
        <v>8.61E-4</v>
      </c>
      <c r="J327" s="1085">
        <v>11.5648</v>
      </c>
    </row>
    <row r="328" spans="2:10" x14ac:dyDescent="0.25">
      <c r="B328" s="1086" t="s">
        <v>280</v>
      </c>
      <c r="C328" s="1087">
        <v>2050</v>
      </c>
      <c r="D328" s="1086">
        <v>1092000</v>
      </c>
      <c r="E328" s="1088">
        <v>1092000</v>
      </c>
      <c r="F328" s="1089">
        <v>3971</v>
      </c>
      <c r="G328" s="1086">
        <v>5.7390999999999996</v>
      </c>
      <c r="H328" s="1088">
        <v>0.18462200000000001</v>
      </c>
      <c r="I328" s="1088">
        <v>8.61E-4</v>
      </c>
      <c r="J328" s="1089">
        <v>11.5648</v>
      </c>
    </row>
    <row r="329" spans="2:10" x14ac:dyDescent="0.25">
      <c r="B329" s="1086" t="s">
        <v>1059</v>
      </c>
      <c r="C329" s="1087">
        <v>2050</v>
      </c>
      <c r="D329" s="1086">
        <v>1092000</v>
      </c>
      <c r="E329" s="1088">
        <v>1092000</v>
      </c>
      <c r="F329" s="1089">
        <v>3971</v>
      </c>
      <c r="G329" s="1086">
        <v>5.7390999999999996</v>
      </c>
      <c r="H329" s="1088">
        <v>0.18462200000000001</v>
      </c>
      <c r="I329" s="1088">
        <v>8.61E-4</v>
      </c>
      <c r="J329" s="1089">
        <v>11.5648</v>
      </c>
    </row>
    <row r="330" spans="2:10" x14ac:dyDescent="0.25">
      <c r="B330" s="1086" t="s">
        <v>666</v>
      </c>
      <c r="C330" s="1087">
        <v>2050</v>
      </c>
      <c r="D330" s="1086">
        <v>1092000</v>
      </c>
      <c r="E330" s="1088">
        <v>1092000</v>
      </c>
      <c r="F330" s="1089">
        <v>3971</v>
      </c>
      <c r="G330" s="1086">
        <v>5.7390999999999996</v>
      </c>
      <c r="H330" s="1088">
        <v>0.18462200000000001</v>
      </c>
      <c r="I330" s="1088">
        <v>8.61E-4</v>
      </c>
      <c r="J330" s="1089">
        <v>11.5648</v>
      </c>
    </row>
    <row r="331" spans="2:10" x14ac:dyDescent="0.25">
      <c r="B331" s="1086" t="s">
        <v>667</v>
      </c>
      <c r="C331" s="1087">
        <v>2050</v>
      </c>
      <c r="D331" s="1086">
        <v>-1185000</v>
      </c>
      <c r="E331" s="1088">
        <v>0</v>
      </c>
      <c r="F331" s="1089">
        <v>0</v>
      </c>
      <c r="G331" s="1086">
        <v>-85.800000000000011</v>
      </c>
      <c r="H331" s="1088">
        <v>0.54700000000000004</v>
      </c>
      <c r="I331" s="1088">
        <v>-1.8286999999999999E-3</v>
      </c>
      <c r="J331" s="1089">
        <v>-70.08</v>
      </c>
    </row>
    <row r="332" spans="2:10" x14ac:dyDescent="0.25">
      <c r="B332" s="1086" t="s">
        <v>668</v>
      </c>
      <c r="C332" s="1087">
        <v>2050</v>
      </c>
      <c r="D332" s="1086">
        <v>1721000</v>
      </c>
      <c r="E332" s="1088">
        <v>1293000</v>
      </c>
      <c r="F332" s="1089">
        <v>15050</v>
      </c>
      <c r="G332" s="1086">
        <v>125.08</v>
      </c>
      <c r="H332" s="1088">
        <v>0.20477100000000001</v>
      </c>
      <c r="I332" s="1088">
        <v>1.7827000000000001E-3</v>
      </c>
      <c r="J332" s="1089">
        <v>129.82</v>
      </c>
    </row>
    <row r="333" spans="2:10" x14ac:dyDescent="0.25">
      <c r="B333" s="1086" t="s">
        <v>683</v>
      </c>
      <c r="C333" s="1087">
        <v>2050</v>
      </c>
      <c r="D333" s="1086">
        <v>1721000</v>
      </c>
      <c r="E333" s="1088">
        <v>1293000</v>
      </c>
      <c r="F333" s="1089">
        <v>15050</v>
      </c>
      <c r="G333" s="1086">
        <v>125.08</v>
      </c>
      <c r="H333" s="1088">
        <v>0.20477100000000001</v>
      </c>
      <c r="I333" s="1088">
        <v>1.7827000000000001E-3</v>
      </c>
      <c r="J333" s="1089">
        <v>129.82</v>
      </c>
    </row>
    <row r="334" spans="2:10" x14ac:dyDescent="0.25">
      <c r="B334" s="1086" t="s">
        <v>669</v>
      </c>
      <c r="C334" s="1087">
        <v>2050</v>
      </c>
      <c r="D334" s="1086">
        <v>1721000</v>
      </c>
      <c r="E334" s="1088">
        <v>1293000</v>
      </c>
      <c r="F334" s="1089">
        <v>15050</v>
      </c>
      <c r="G334" s="1086">
        <v>125.08</v>
      </c>
      <c r="H334" s="1088">
        <v>0.20477100000000001</v>
      </c>
      <c r="I334" s="1088">
        <v>1.7827000000000001E-3</v>
      </c>
      <c r="J334" s="1089">
        <v>129.82</v>
      </c>
    </row>
    <row r="335" spans="2:10" x14ac:dyDescent="0.25">
      <c r="B335" s="1086" t="s">
        <v>1060</v>
      </c>
      <c r="C335" s="1087">
        <v>2050</v>
      </c>
      <c r="D335" s="1086">
        <v>1022000</v>
      </c>
      <c r="E335" s="1088">
        <v>1021000</v>
      </c>
      <c r="F335" s="1089">
        <v>15510</v>
      </c>
      <c r="G335" s="1086">
        <v>1.6964999999999999</v>
      </c>
      <c r="H335" s="1088">
        <v>0.14096238999999999</v>
      </c>
      <c r="I335" s="1088">
        <v>3.2765999999999998E-5</v>
      </c>
      <c r="J335" s="1089">
        <v>5.9536999999999995</v>
      </c>
    </row>
    <row r="336" spans="2:10" x14ac:dyDescent="0.25">
      <c r="B336" s="1086" t="s">
        <v>701</v>
      </c>
      <c r="C336" s="1087">
        <v>2050</v>
      </c>
      <c r="D336" s="1086">
        <v>1022000</v>
      </c>
      <c r="E336" s="1088">
        <v>1021000</v>
      </c>
      <c r="F336" s="1089">
        <v>15510</v>
      </c>
      <c r="G336" s="1086">
        <v>1.6964999999999999</v>
      </c>
      <c r="H336" s="1088">
        <v>0.14096238999999999</v>
      </c>
      <c r="I336" s="1088">
        <v>3.2765999999999998E-5</v>
      </c>
      <c r="J336" s="1089">
        <v>5.9536999999999995</v>
      </c>
    </row>
    <row r="337" spans="2:10" x14ac:dyDescent="0.25">
      <c r="B337" s="1086" t="s">
        <v>702</v>
      </c>
      <c r="C337" s="1087">
        <v>2050</v>
      </c>
      <c r="D337" s="1086">
        <v>1022000</v>
      </c>
      <c r="E337" s="1088">
        <v>1021000</v>
      </c>
      <c r="F337" s="1089">
        <v>15510</v>
      </c>
      <c r="G337" s="1086">
        <v>1.6964999999999999</v>
      </c>
      <c r="H337" s="1088">
        <v>0.14096238999999999</v>
      </c>
      <c r="I337" s="1088">
        <v>3.2765999999999998E-5</v>
      </c>
      <c r="J337" s="1089">
        <v>5.9536999999999995</v>
      </c>
    </row>
    <row r="338" spans="2:10" x14ac:dyDescent="0.25">
      <c r="B338" s="1086" t="s">
        <v>891</v>
      </c>
      <c r="C338" s="1087">
        <v>2050</v>
      </c>
      <c r="D338" s="1086">
        <v>1209000</v>
      </c>
      <c r="E338" s="1088">
        <v>1202000</v>
      </c>
      <c r="F338" s="1089">
        <v>1052000</v>
      </c>
      <c r="G338" s="1086">
        <v>17.969000000000001</v>
      </c>
      <c r="H338" s="1088">
        <v>0.164128</v>
      </c>
      <c r="I338" s="1088">
        <v>2.9025999999999998E-4</v>
      </c>
      <c r="J338" s="1089">
        <v>22.988</v>
      </c>
    </row>
    <row r="339" spans="2:10" x14ac:dyDescent="0.25">
      <c r="B339" s="1086" t="s">
        <v>889</v>
      </c>
      <c r="C339" s="1087">
        <v>2050</v>
      </c>
      <c r="D339" s="1086">
        <v>1585000</v>
      </c>
      <c r="E339" s="1088">
        <v>696300</v>
      </c>
      <c r="F339" s="1089">
        <v>286000</v>
      </c>
      <c r="G339" s="1086">
        <v>38.049999999999997</v>
      </c>
      <c r="H339" s="1088">
        <v>0.1118</v>
      </c>
      <c r="I339" s="1088">
        <v>2.5350000000000001E-2</v>
      </c>
      <c r="J339" s="1089">
        <v>45.19</v>
      </c>
    </row>
    <row r="340" spans="2:10" x14ac:dyDescent="0.25">
      <c r="B340" s="1086" t="s">
        <v>892</v>
      </c>
      <c r="C340" s="1087">
        <v>2050</v>
      </c>
      <c r="D340" s="1086">
        <v>1249000</v>
      </c>
      <c r="E340" s="1088">
        <v>1242000</v>
      </c>
      <c r="F340" s="1089">
        <v>1078000</v>
      </c>
      <c r="G340" s="1086">
        <v>23.84</v>
      </c>
      <c r="H340" s="1088">
        <v>0.16985799999999998</v>
      </c>
      <c r="I340" s="1088">
        <v>3.7813000000000001E-4</v>
      </c>
      <c r="J340" s="1089">
        <v>29.157000000000004</v>
      </c>
    </row>
    <row r="341" spans="2:10" x14ac:dyDescent="0.25">
      <c r="B341" s="1086" t="s">
        <v>1054</v>
      </c>
      <c r="C341" s="1087">
        <v>2050</v>
      </c>
      <c r="D341" s="1086">
        <v>1190000</v>
      </c>
      <c r="E341" s="1088">
        <v>51590</v>
      </c>
      <c r="F341" s="1089">
        <v>29220</v>
      </c>
      <c r="G341" s="1086">
        <v>3.7582</v>
      </c>
      <c r="H341" s="1088">
        <v>8.4366999999999984E-3</v>
      </c>
      <c r="I341" s="1088">
        <v>-3.8261190000000002E-3</v>
      </c>
      <c r="J341" s="1089">
        <v>3.0054000000000003</v>
      </c>
    </row>
    <row r="342" spans="2:10" x14ac:dyDescent="0.25">
      <c r="B342" s="1086" t="s">
        <v>800</v>
      </c>
      <c r="C342" s="1087">
        <v>2050</v>
      </c>
      <c r="D342" s="1086">
        <v>1190000</v>
      </c>
      <c r="E342" s="1088">
        <v>51590</v>
      </c>
      <c r="F342" s="1089">
        <v>29220</v>
      </c>
      <c r="G342" s="1086">
        <v>3.7582</v>
      </c>
      <c r="H342" s="1088">
        <v>8.4366999999999984E-3</v>
      </c>
      <c r="I342" s="1088">
        <v>-3.8261190000000002E-3</v>
      </c>
      <c r="J342" s="1089">
        <v>3.0054000000000003</v>
      </c>
    </row>
    <row r="343" spans="2:10" x14ac:dyDescent="0.25">
      <c r="B343" s="1086" t="s">
        <v>806</v>
      </c>
      <c r="C343" s="1087">
        <v>2050</v>
      </c>
      <c r="D343" s="1086">
        <v>1190000</v>
      </c>
      <c r="E343" s="1088">
        <v>51590</v>
      </c>
      <c r="F343" s="1089">
        <v>29220</v>
      </c>
      <c r="G343" s="1086">
        <v>3.7582</v>
      </c>
      <c r="H343" s="1088">
        <v>8.4366999999999984E-3</v>
      </c>
      <c r="I343" s="1088">
        <v>-3.8261190000000002E-3</v>
      </c>
      <c r="J343" s="1089">
        <v>3.0054000000000003</v>
      </c>
    </row>
    <row r="344" spans="2:10" ht="13.8" thickBot="1" x14ac:dyDescent="0.3">
      <c r="B344" s="1090" t="s">
        <v>1061</v>
      </c>
      <c r="C344" s="1091">
        <v>2050</v>
      </c>
      <c r="D344" s="1090">
        <v>1384000</v>
      </c>
      <c r="E344" s="1092">
        <v>1383000</v>
      </c>
      <c r="F344" s="1093">
        <v>5034</v>
      </c>
      <c r="G344" s="1090">
        <v>78.571100000000001</v>
      </c>
      <c r="H344" s="1092">
        <v>0.27494000000000002</v>
      </c>
      <c r="I344" s="1092">
        <v>2.3304000000000003E-3</v>
      </c>
      <c r="J344" s="1093">
        <v>87.594300000000004</v>
      </c>
    </row>
    <row r="345" spans="2:10" x14ac:dyDescent="0.25">
      <c r="B345" s="1082" t="s">
        <v>1058</v>
      </c>
      <c r="C345" s="1083">
        <v>2055</v>
      </c>
      <c r="D345" s="1082">
        <v>1092000</v>
      </c>
      <c r="E345" s="1084">
        <v>1092000</v>
      </c>
      <c r="F345" s="1085">
        <v>3971</v>
      </c>
      <c r="G345" s="1082">
        <v>5.7390999999999996</v>
      </c>
      <c r="H345" s="1084">
        <v>0.18462200000000001</v>
      </c>
      <c r="I345" s="1084">
        <v>8.61E-4</v>
      </c>
      <c r="J345" s="1085">
        <v>11.5648</v>
      </c>
    </row>
    <row r="346" spans="2:10" x14ac:dyDescent="0.25">
      <c r="B346" s="1086" t="s">
        <v>280</v>
      </c>
      <c r="C346" s="1087">
        <v>2055</v>
      </c>
      <c r="D346" s="1086">
        <v>1092000</v>
      </c>
      <c r="E346" s="1088">
        <v>1092000</v>
      </c>
      <c r="F346" s="1089">
        <v>3971</v>
      </c>
      <c r="G346" s="1086">
        <v>5.7390999999999996</v>
      </c>
      <c r="H346" s="1088">
        <v>0.18462200000000001</v>
      </c>
      <c r="I346" s="1088">
        <v>8.61E-4</v>
      </c>
      <c r="J346" s="1089">
        <v>11.5648</v>
      </c>
    </row>
    <row r="347" spans="2:10" x14ac:dyDescent="0.25">
      <c r="B347" s="1086" t="s">
        <v>1059</v>
      </c>
      <c r="C347" s="1087">
        <v>2055</v>
      </c>
      <c r="D347" s="1086">
        <v>1092000</v>
      </c>
      <c r="E347" s="1088">
        <v>1092000</v>
      </c>
      <c r="F347" s="1089">
        <v>3971</v>
      </c>
      <c r="G347" s="1086">
        <v>5.7390999999999996</v>
      </c>
      <c r="H347" s="1088">
        <v>0.18462200000000001</v>
      </c>
      <c r="I347" s="1088">
        <v>8.61E-4</v>
      </c>
      <c r="J347" s="1089">
        <v>11.5648</v>
      </c>
    </row>
    <row r="348" spans="2:10" x14ac:dyDescent="0.25">
      <c r="B348" s="1086" t="s">
        <v>666</v>
      </c>
      <c r="C348" s="1087">
        <v>2055</v>
      </c>
      <c r="D348" s="1086">
        <v>1092000</v>
      </c>
      <c r="E348" s="1088">
        <v>1092000</v>
      </c>
      <c r="F348" s="1089">
        <v>3971</v>
      </c>
      <c r="G348" s="1086">
        <v>5.7390999999999996</v>
      </c>
      <c r="H348" s="1088">
        <v>0.18462200000000001</v>
      </c>
      <c r="I348" s="1088">
        <v>8.61E-4</v>
      </c>
      <c r="J348" s="1089">
        <v>11.5648</v>
      </c>
    </row>
    <row r="349" spans="2:10" x14ac:dyDescent="0.25">
      <c r="B349" s="1086" t="s">
        <v>667</v>
      </c>
      <c r="C349" s="1087">
        <v>2055</v>
      </c>
      <c r="D349" s="1086">
        <v>-1185000</v>
      </c>
      <c r="E349" s="1088">
        <v>0</v>
      </c>
      <c r="F349" s="1089">
        <v>0</v>
      </c>
      <c r="G349" s="1086">
        <v>-85.800000000000011</v>
      </c>
      <c r="H349" s="1088">
        <v>0.54700000000000004</v>
      </c>
      <c r="I349" s="1088">
        <v>-1.8286999999999999E-3</v>
      </c>
      <c r="J349" s="1089">
        <v>-70.08</v>
      </c>
    </row>
    <row r="350" spans="2:10" x14ac:dyDescent="0.25">
      <c r="B350" s="1086" t="s">
        <v>668</v>
      </c>
      <c r="C350" s="1087">
        <v>2055</v>
      </c>
      <c r="D350" s="1086">
        <v>1721000</v>
      </c>
      <c r="E350" s="1088">
        <v>1293000</v>
      </c>
      <c r="F350" s="1089">
        <v>15050</v>
      </c>
      <c r="G350" s="1086">
        <v>125.08</v>
      </c>
      <c r="H350" s="1088">
        <v>0.20477100000000001</v>
      </c>
      <c r="I350" s="1088">
        <v>1.7827000000000001E-3</v>
      </c>
      <c r="J350" s="1089">
        <v>129.82</v>
      </c>
    </row>
    <row r="351" spans="2:10" x14ac:dyDescent="0.25">
      <c r="B351" s="1086" t="s">
        <v>683</v>
      </c>
      <c r="C351" s="1087">
        <v>2055</v>
      </c>
      <c r="D351" s="1086">
        <v>1721000</v>
      </c>
      <c r="E351" s="1088">
        <v>1293000</v>
      </c>
      <c r="F351" s="1089">
        <v>15050</v>
      </c>
      <c r="G351" s="1086">
        <v>125.08</v>
      </c>
      <c r="H351" s="1088">
        <v>0.20477100000000001</v>
      </c>
      <c r="I351" s="1088">
        <v>1.7827000000000001E-3</v>
      </c>
      <c r="J351" s="1089">
        <v>129.82</v>
      </c>
    </row>
    <row r="352" spans="2:10" x14ac:dyDescent="0.25">
      <c r="B352" s="1086" t="s">
        <v>669</v>
      </c>
      <c r="C352" s="1087">
        <v>2055</v>
      </c>
      <c r="D352" s="1086">
        <v>1721000</v>
      </c>
      <c r="E352" s="1088">
        <v>1293000</v>
      </c>
      <c r="F352" s="1089">
        <v>15050</v>
      </c>
      <c r="G352" s="1086">
        <v>125.08</v>
      </c>
      <c r="H352" s="1088">
        <v>0.20477100000000001</v>
      </c>
      <c r="I352" s="1088">
        <v>1.7827000000000001E-3</v>
      </c>
      <c r="J352" s="1089">
        <v>129.82</v>
      </c>
    </row>
    <row r="353" spans="2:10" x14ac:dyDescent="0.25">
      <c r="B353" s="1086" t="s">
        <v>1060</v>
      </c>
      <c r="C353" s="1087">
        <v>2055</v>
      </c>
      <c r="D353" s="1086">
        <v>1022000</v>
      </c>
      <c r="E353" s="1088">
        <v>1021000</v>
      </c>
      <c r="F353" s="1089">
        <v>15510</v>
      </c>
      <c r="G353" s="1086">
        <v>1.6964999999999999</v>
      </c>
      <c r="H353" s="1088">
        <v>0.14096238999999999</v>
      </c>
      <c r="I353" s="1088">
        <v>3.2765999999999998E-5</v>
      </c>
      <c r="J353" s="1089">
        <v>5.9536999999999995</v>
      </c>
    </row>
    <row r="354" spans="2:10" x14ac:dyDescent="0.25">
      <c r="B354" s="1086" t="s">
        <v>701</v>
      </c>
      <c r="C354" s="1087">
        <v>2055</v>
      </c>
      <c r="D354" s="1086">
        <v>1022000</v>
      </c>
      <c r="E354" s="1088">
        <v>1021000</v>
      </c>
      <c r="F354" s="1089">
        <v>15510</v>
      </c>
      <c r="G354" s="1086">
        <v>1.6964999999999999</v>
      </c>
      <c r="H354" s="1088">
        <v>0.14096238999999999</v>
      </c>
      <c r="I354" s="1088">
        <v>3.2765999999999998E-5</v>
      </c>
      <c r="J354" s="1089">
        <v>5.9536999999999995</v>
      </c>
    </row>
    <row r="355" spans="2:10" x14ac:dyDescent="0.25">
      <c r="B355" s="1086" t="s">
        <v>702</v>
      </c>
      <c r="C355" s="1087">
        <v>2055</v>
      </c>
      <c r="D355" s="1086">
        <v>1022000</v>
      </c>
      <c r="E355" s="1088">
        <v>1021000</v>
      </c>
      <c r="F355" s="1089">
        <v>15510</v>
      </c>
      <c r="G355" s="1086">
        <v>1.6964999999999999</v>
      </c>
      <c r="H355" s="1088">
        <v>0.14096238999999999</v>
      </c>
      <c r="I355" s="1088">
        <v>3.2765999999999998E-5</v>
      </c>
      <c r="J355" s="1089">
        <v>5.9536999999999995</v>
      </c>
    </row>
    <row r="356" spans="2:10" x14ac:dyDescent="0.25">
      <c r="B356" s="1086" t="s">
        <v>891</v>
      </c>
      <c r="C356" s="1087">
        <v>2055</v>
      </c>
      <c r="D356" s="1086">
        <v>1209000</v>
      </c>
      <c r="E356" s="1088">
        <v>1202000</v>
      </c>
      <c r="F356" s="1089">
        <v>1052000</v>
      </c>
      <c r="G356" s="1086">
        <v>17.969000000000001</v>
      </c>
      <c r="H356" s="1088">
        <v>0.164128</v>
      </c>
      <c r="I356" s="1088">
        <v>2.9025999999999998E-4</v>
      </c>
      <c r="J356" s="1089">
        <v>22.988</v>
      </c>
    </row>
    <row r="357" spans="2:10" x14ac:dyDescent="0.25">
      <c r="B357" s="1086" t="s">
        <v>889</v>
      </c>
      <c r="C357" s="1087">
        <v>2055</v>
      </c>
      <c r="D357" s="1086">
        <v>1585000</v>
      </c>
      <c r="E357" s="1088">
        <v>696300</v>
      </c>
      <c r="F357" s="1089">
        <v>286000</v>
      </c>
      <c r="G357" s="1086">
        <v>38.049999999999997</v>
      </c>
      <c r="H357" s="1088">
        <v>0.1118</v>
      </c>
      <c r="I357" s="1088">
        <v>2.5350000000000001E-2</v>
      </c>
      <c r="J357" s="1089">
        <v>45.19</v>
      </c>
    </row>
    <row r="358" spans="2:10" x14ac:dyDescent="0.25">
      <c r="B358" s="1086" t="s">
        <v>892</v>
      </c>
      <c r="C358" s="1087">
        <v>2055</v>
      </c>
      <c r="D358" s="1086">
        <v>1249000</v>
      </c>
      <c r="E358" s="1088">
        <v>1242000</v>
      </c>
      <c r="F358" s="1089">
        <v>1078000</v>
      </c>
      <c r="G358" s="1086">
        <v>23.84</v>
      </c>
      <c r="H358" s="1088">
        <v>0.16985799999999998</v>
      </c>
      <c r="I358" s="1088">
        <v>3.7813000000000001E-4</v>
      </c>
      <c r="J358" s="1089">
        <v>29.157000000000004</v>
      </c>
    </row>
    <row r="359" spans="2:10" x14ac:dyDescent="0.25">
      <c r="B359" s="1086" t="s">
        <v>1054</v>
      </c>
      <c r="C359" s="1087">
        <v>2055</v>
      </c>
      <c r="D359" s="1086">
        <v>1190000</v>
      </c>
      <c r="E359" s="1088">
        <v>51590</v>
      </c>
      <c r="F359" s="1089">
        <v>29220</v>
      </c>
      <c r="G359" s="1086">
        <v>3.7582</v>
      </c>
      <c r="H359" s="1088">
        <v>8.4366999999999984E-3</v>
      </c>
      <c r="I359" s="1088">
        <v>-3.8261190000000002E-3</v>
      </c>
      <c r="J359" s="1089">
        <v>3.0054000000000003</v>
      </c>
    </row>
    <row r="360" spans="2:10" x14ac:dyDescent="0.25">
      <c r="B360" s="1086" t="s">
        <v>800</v>
      </c>
      <c r="C360" s="1087">
        <v>2055</v>
      </c>
      <c r="D360" s="1086">
        <v>1190000</v>
      </c>
      <c r="E360" s="1088">
        <v>51590</v>
      </c>
      <c r="F360" s="1089">
        <v>29220</v>
      </c>
      <c r="G360" s="1086">
        <v>3.7582</v>
      </c>
      <c r="H360" s="1088">
        <v>8.4366999999999984E-3</v>
      </c>
      <c r="I360" s="1088">
        <v>-3.8261190000000002E-3</v>
      </c>
      <c r="J360" s="1089">
        <v>3.0054000000000003</v>
      </c>
    </row>
    <row r="361" spans="2:10" x14ac:dyDescent="0.25">
      <c r="B361" s="1086" t="s">
        <v>806</v>
      </c>
      <c r="C361" s="1087">
        <v>2055</v>
      </c>
      <c r="D361" s="1086">
        <v>1190000</v>
      </c>
      <c r="E361" s="1088">
        <v>51590</v>
      </c>
      <c r="F361" s="1089">
        <v>29220</v>
      </c>
      <c r="G361" s="1086">
        <v>3.7582</v>
      </c>
      <c r="H361" s="1088">
        <v>8.4366999999999984E-3</v>
      </c>
      <c r="I361" s="1088">
        <v>-3.8261190000000002E-3</v>
      </c>
      <c r="J361" s="1089">
        <v>3.0054000000000003</v>
      </c>
    </row>
    <row r="362" spans="2:10" ht="13.8" thickBot="1" x14ac:dyDescent="0.3">
      <c r="B362" s="1090" t="s">
        <v>1061</v>
      </c>
      <c r="C362" s="1091">
        <v>2055</v>
      </c>
      <c r="D362" s="1090">
        <v>1384000</v>
      </c>
      <c r="E362" s="1092">
        <v>1383000</v>
      </c>
      <c r="F362" s="1093">
        <v>5034</v>
      </c>
      <c r="G362" s="1090">
        <v>78.571100000000001</v>
      </c>
      <c r="H362" s="1092">
        <v>0.27494000000000002</v>
      </c>
      <c r="I362" s="1092">
        <v>2.3304000000000003E-3</v>
      </c>
      <c r="J362" s="1093">
        <v>87.594300000000004</v>
      </c>
    </row>
    <row r="363" spans="2:10" x14ac:dyDescent="0.25">
      <c r="B363" s="1082" t="s">
        <v>1058</v>
      </c>
      <c r="C363" s="1083">
        <v>2060</v>
      </c>
      <c r="D363" s="1082">
        <v>1092000</v>
      </c>
      <c r="E363" s="1084">
        <v>1092000</v>
      </c>
      <c r="F363" s="1085">
        <v>3971</v>
      </c>
      <c r="G363" s="1082">
        <v>5.7390999999999996</v>
      </c>
      <c r="H363" s="1084">
        <v>0.18462200000000001</v>
      </c>
      <c r="I363" s="1084">
        <v>8.61E-4</v>
      </c>
      <c r="J363" s="1085">
        <v>11.5648</v>
      </c>
    </row>
    <row r="364" spans="2:10" x14ac:dyDescent="0.25">
      <c r="B364" s="1086" t="s">
        <v>280</v>
      </c>
      <c r="C364" s="1087">
        <v>2060</v>
      </c>
      <c r="D364" s="1086">
        <v>1092000</v>
      </c>
      <c r="E364" s="1088">
        <v>1092000</v>
      </c>
      <c r="F364" s="1089">
        <v>3971</v>
      </c>
      <c r="G364" s="1086">
        <v>5.7390999999999996</v>
      </c>
      <c r="H364" s="1088">
        <v>0.18462200000000001</v>
      </c>
      <c r="I364" s="1088">
        <v>8.61E-4</v>
      </c>
      <c r="J364" s="1089">
        <v>11.5648</v>
      </c>
    </row>
    <row r="365" spans="2:10" x14ac:dyDescent="0.25">
      <c r="B365" s="1086" t="s">
        <v>1059</v>
      </c>
      <c r="C365" s="1087">
        <v>2060</v>
      </c>
      <c r="D365" s="1086">
        <v>1092000</v>
      </c>
      <c r="E365" s="1088">
        <v>1092000</v>
      </c>
      <c r="F365" s="1089">
        <v>3971</v>
      </c>
      <c r="G365" s="1086">
        <v>5.7390999999999996</v>
      </c>
      <c r="H365" s="1088">
        <v>0.18462200000000001</v>
      </c>
      <c r="I365" s="1088">
        <v>8.61E-4</v>
      </c>
      <c r="J365" s="1089">
        <v>11.5648</v>
      </c>
    </row>
    <row r="366" spans="2:10" x14ac:dyDescent="0.25">
      <c r="B366" s="1086" t="s">
        <v>666</v>
      </c>
      <c r="C366" s="1087">
        <v>2060</v>
      </c>
      <c r="D366" s="1086">
        <v>1092000</v>
      </c>
      <c r="E366" s="1088">
        <v>1092000</v>
      </c>
      <c r="F366" s="1089">
        <v>3971</v>
      </c>
      <c r="G366" s="1086">
        <v>5.7390999999999996</v>
      </c>
      <c r="H366" s="1088">
        <v>0.18462200000000001</v>
      </c>
      <c r="I366" s="1088">
        <v>8.61E-4</v>
      </c>
      <c r="J366" s="1089">
        <v>11.5648</v>
      </c>
    </row>
    <row r="367" spans="2:10" x14ac:dyDescent="0.25">
      <c r="B367" s="1086" t="s">
        <v>667</v>
      </c>
      <c r="C367" s="1087">
        <v>2060</v>
      </c>
      <c r="D367" s="1086">
        <v>-1185000</v>
      </c>
      <c r="E367" s="1088">
        <v>0</v>
      </c>
      <c r="F367" s="1089">
        <v>0</v>
      </c>
      <c r="G367" s="1086">
        <v>-85.800000000000011</v>
      </c>
      <c r="H367" s="1088">
        <v>0.54700000000000004</v>
      </c>
      <c r="I367" s="1088">
        <v>-1.8286999999999999E-3</v>
      </c>
      <c r="J367" s="1089">
        <v>-70.08</v>
      </c>
    </row>
    <row r="368" spans="2:10" x14ac:dyDescent="0.25">
      <c r="B368" s="1086" t="s">
        <v>668</v>
      </c>
      <c r="C368" s="1087">
        <v>2060</v>
      </c>
      <c r="D368" s="1086">
        <v>1721000</v>
      </c>
      <c r="E368" s="1088">
        <v>1293000</v>
      </c>
      <c r="F368" s="1089">
        <v>15050</v>
      </c>
      <c r="G368" s="1086">
        <v>125.08</v>
      </c>
      <c r="H368" s="1088">
        <v>0.20477100000000001</v>
      </c>
      <c r="I368" s="1088">
        <v>1.7827000000000001E-3</v>
      </c>
      <c r="J368" s="1089">
        <v>129.82</v>
      </c>
    </row>
    <row r="369" spans="2:10" x14ac:dyDescent="0.25">
      <c r="B369" s="1086" t="s">
        <v>683</v>
      </c>
      <c r="C369" s="1087">
        <v>2060</v>
      </c>
      <c r="D369" s="1086">
        <v>1721000</v>
      </c>
      <c r="E369" s="1088">
        <v>1293000</v>
      </c>
      <c r="F369" s="1089">
        <v>15050</v>
      </c>
      <c r="G369" s="1086">
        <v>125.08</v>
      </c>
      <c r="H369" s="1088">
        <v>0.20477100000000001</v>
      </c>
      <c r="I369" s="1088">
        <v>1.7827000000000001E-3</v>
      </c>
      <c r="J369" s="1089">
        <v>129.82</v>
      </c>
    </row>
    <row r="370" spans="2:10" x14ac:dyDescent="0.25">
      <c r="B370" s="1086" t="s">
        <v>669</v>
      </c>
      <c r="C370" s="1087">
        <v>2060</v>
      </c>
      <c r="D370" s="1086">
        <v>1721000</v>
      </c>
      <c r="E370" s="1088">
        <v>1293000</v>
      </c>
      <c r="F370" s="1089">
        <v>15050</v>
      </c>
      <c r="G370" s="1086">
        <v>125.08</v>
      </c>
      <c r="H370" s="1088">
        <v>0.20477100000000001</v>
      </c>
      <c r="I370" s="1088">
        <v>1.7827000000000001E-3</v>
      </c>
      <c r="J370" s="1089">
        <v>129.82</v>
      </c>
    </row>
    <row r="371" spans="2:10" x14ac:dyDescent="0.25">
      <c r="B371" s="1086" t="s">
        <v>1060</v>
      </c>
      <c r="C371" s="1087">
        <v>2060</v>
      </c>
      <c r="D371" s="1086">
        <v>1022000</v>
      </c>
      <c r="E371" s="1088">
        <v>1021000</v>
      </c>
      <c r="F371" s="1089">
        <v>15510</v>
      </c>
      <c r="G371" s="1086">
        <v>1.6964999999999999</v>
      </c>
      <c r="H371" s="1088">
        <v>0.14096238999999999</v>
      </c>
      <c r="I371" s="1088">
        <v>3.2765999999999998E-5</v>
      </c>
      <c r="J371" s="1089">
        <v>5.9536999999999995</v>
      </c>
    </row>
    <row r="372" spans="2:10" x14ac:dyDescent="0.25">
      <c r="B372" s="1086" t="s">
        <v>701</v>
      </c>
      <c r="C372" s="1087">
        <v>2060</v>
      </c>
      <c r="D372" s="1086">
        <v>1022000</v>
      </c>
      <c r="E372" s="1088">
        <v>1021000</v>
      </c>
      <c r="F372" s="1089">
        <v>15510</v>
      </c>
      <c r="G372" s="1086">
        <v>1.6964999999999999</v>
      </c>
      <c r="H372" s="1088">
        <v>0.14096238999999999</v>
      </c>
      <c r="I372" s="1088">
        <v>3.2765999999999998E-5</v>
      </c>
      <c r="J372" s="1089">
        <v>5.9536999999999995</v>
      </c>
    </row>
    <row r="373" spans="2:10" x14ac:dyDescent="0.25">
      <c r="B373" s="1086" t="s">
        <v>702</v>
      </c>
      <c r="C373" s="1087">
        <v>2060</v>
      </c>
      <c r="D373" s="1086">
        <v>1022000</v>
      </c>
      <c r="E373" s="1088">
        <v>1021000</v>
      </c>
      <c r="F373" s="1089">
        <v>15510</v>
      </c>
      <c r="G373" s="1086">
        <v>1.6964999999999999</v>
      </c>
      <c r="H373" s="1088">
        <v>0.14096238999999999</v>
      </c>
      <c r="I373" s="1088">
        <v>3.2765999999999998E-5</v>
      </c>
      <c r="J373" s="1089">
        <v>5.9536999999999995</v>
      </c>
    </row>
    <row r="374" spans="2:10" x14ac:dyDescent="0.25">
      <c r="B374" s="1086" t="s">
        <v>891</v>
      </c>
      <c r="C374" s="1087">
        <v>2060</v>
      </c>
      <c r="D374" s="1086">
        <v>1209000</v>
      </c>
      <c r="E374" s="1088">
        <v>1202000</v>
      </c>
      <c r="F374" s="1089">
        <v>1052000</v>
      </c>
      <c r="G374" s="1086">
        <v>17.969000000000001</v>
      </c>
      <c r="H374" s="1088">
        <v>0.164128</v>
      </c>
      <c r="I374" s="1088">
        <v>2.9025999999999998E-4</v>
      </c>
      <c r="J374" s="1089">
        <v>22.988</v>
      </c>
    </row>
    <row r="375" spans="2:10" x14ac:dyDescent="0.25">
      <c r="B375" s="1086" t="s">
        <v>889</v>
      </c>
      <c r="C375" s="1087">
        <v>2060</v>
      </c>
      <c r="D375" s="1086">
        <v>1585000</v>
      </c>
      <c r="E375" s="1088">
        <v>696300</v>
      </c>
      <c r="F375" s="1089">
        <v>286000</v>
      </c>
      <c r="G375" s="1086">
        <v>38.049999999999997</v>
      </c>
      <c r="H375" s="1088">
        <v>0.1118</v>
      </c>
      <c r="I375" s="1088">
        <v>2.5350000000000001E-2</v>
      </c>
      <c r="J375" s="1089">
        <v>45.19</v>
      </c>
    </row>
    <row r="376" spans="2:10" x14ac:dyDescent="0.25">
      <c r="B376" s="1086" t="s">
        <v>892</v>
      </c>
      <c r="C376" s="1087">
        <v>2060</v>
      </c>
      <c r="D376" s="1086">
        <v>1249000</v>
      </c>
      <c r="E376" s="1088">
        <v>1242000</v>
      </c>
      <c r="F376" s="1089">
        <v>1078000</v>
      </c>
      <c r="G376" s="1086">
        <v>23.84</v>
      </c>
      <c r="H376" s="1088">
        <v>0.16985799999999998</v>
      </c>
      <c r="I376" s="1088">
        <v>3.7813000000000001E-4</v>
      </c>
      <c r="J376" s="1089">
        <v>29.157000000000004</v>
      </c>
    </row>
    <row r="377" spans="2:10" x14ac:dyDescent="0.25">
      <c r="B377" s="1086" t="s">
        <v>1054</v>
      </c>
      <c r="C377" s="1087">
        <v>2060</v>
      </c>
      <c r="D377" s="1086">
        <v>1190000</v>
      </c>
      <c r="E377" s="1088">
        <v>51590</v>
      </c>
      <c r="F377" s="1089">
        <v>29220</v>
      </c>
      <c r="G377" s="1086">
        <v>3.7582</v>
      </c>
      <c r="H377" s="1088">
        <v>8.4366999999999984E-3</v>
      </c>
      <c r="I377" s="1088">
        <v>-3.8261190000000002E-3</v>
      </c>
      <c r="J377" s="1089">
        <v>3.0054000000000003</v>
      </c>
    </row>
    <row r="378" spans="2:10" x14ac:dyDescent="0.25">
      <c r="B378" s="1086" t="s">
        <v>800</v>
      </c>
      <c r="C378" s="1087">
        <v>2060</v>
      </c>
      <c r="D378" s="1086">
        <v>1190000</v>
      </c>
      <c r="E378" s="1088">
        <v>51590</v>
      </c>
      <c r="F378" s="1089">
        <v>29220</v>
      </c>
      <c r="G378" s="1086">
        <v>3.7582</v>
      </c>
      <c r="H378" s="1088">
        <v>8.4366999999999984E-3</v>
      </c>
      <c r="I378" s="1088">
        <v>-3.8261190000000002E-3</v>
      </c>
      <c r="J378" s="1089">
        <v>3.0054000000000003</v>
      </c>
    </row>
    <row r="379" spans="2:10" x14ac:dyDescent="0.25">
      <c r="B379" s="1086" t="s">
        <v>806</v>
      </c>
      <c r="C379" s="1087">
        <v>2060</v>
      </c>
      <c r="D379" s="1086">
        <v>1190000</v>
      </c>
      <c r="E379" s="1088">
        <v>51590</v>
      </c>
      <c r="F379" s="1089">
        <v>29220</v>
      </c>
      <c r="G379" s="1086">
        <v>3.7582</v>
      </c>
      <c r="H379" s="1088">
        <v>8.4366999999999984E-3</v>
      </c>
      <c r="I379" s="1088">
        <v>-3.8261190000000002E-3</v>
      </c>
      <c r="J379" s="1089">
        <v>3.0054000000000003</v>
      </c>
    </row>
    <row r="380" spans="2:10" ht="13.8" thickBot="1" x14ac:dyDescent="0.3">
      <c r="B380" s="1090" t="s">
        <v>1061</v>
      </c>
      <c r="C380" s="1091">
        <v>2060</v>
      </c>
      <c r="D380" s="1090">
        <v>1384000</v>
      </c>
      <c r="E380" s="1092">
        <v>1383000</v>
      </c>
      <c r="F380" s="1093">
        <v>5034</v>
      </c>
      <c r="G380" s="1090">
        <v>78.571100000000001</v>
      </c>
      <c r="H380" s="1092">
        <v>0.27494000000000002</v>
      </c>
      <c r="I380" s="1092">
        <v>2.3304000000000003E-3</v>
      </c>
      <c r="J380" s="1093">
        <v>87.594300000000004</v>
      </c>
    </row>
    <row r="381" spans="2:10" x14ac:dyDescent="0.25">
      <c r="B381" s="1082" t="s">
        <v>1058</v>
      </c>
      <c r="C381" s="1083">
        <v>2065</v>
      </c>
      <c r="D381" s="1082">
        <v>1092000</v>
      </c>
      <c r="E381" s="1084">
        <v>1092000</v>
      </c>
      <c r="F381" s="1085">
        <v>3971</v>
      </c>
      <c r="G381" s="1082">
        <v>5.7390999999999996</v>
      </c>
      <c r="H381" s="1084">
        <v>0.18462200000000001</v>
      </c>
      <c r="I381" s="1084">
        <v>8.61E-4</v>
      </c>
      <c r="J381" s="1085">
        <v>11.5648</v>
      </c>
    </row>
    <row r="382" spans="2:10" x14ac:dyDescent="0.25">
      <c r="B382" s="1086" t="s">
        <v>280</v>
      </c>
      <c r="C382" s="1087">
        <v>2065</v>
      </c>
      <c r="D382" s="1086">
        <v>1092000</v>
      </c>
      <c r="E382" s="1088">
        <v>1092000</v>
      </c>
      <c r="F382" s="1089">
        <v>3971</v>
      </c>
      <c r="G382" s="1086">
        <v>5.7390999999999996</v>
      </c>
      <c r="H382" s="1088">
        <v>0.18462200000000001</v>
      </c>
      <c r="I382" s="1088">
        <v>8.61E-4</v>
      </c>
      <c r="J382" s="1089">
        <v>11.5648</v>
      </c>
    </row>
    <row r="383" spans="2:10" x14ac:dyDescent="0.25">
      <c r="B383" s="1086" t="s">
        <v>1059</v>
      </c>
      <c r="C383" s="1087">
        <v>2065</v>
      </c>
      <c r="D383" s="1086">
        <v>1092000</v>
      </c>
      <c r="E383" s="1088">
        <v>1092000</v>
      </c>
      <c r="F383" s="1089">
        <v>3971</v>
      </c>
      <c r="G383" s="1086">
        <v>5.7390999999999996</v>
      </c>
      <c r="H383" s="1088">
        <v>0.18462200000000001</v>
      </c>
      <c r="I383" s="1088">
        <v>8.61E-4</v>
      </c>
      <c r="J383" s="1089">
        <v>11.5648</v>
      </c>
    </row>
    <row r="384" spans="2:10" x14ac:dyDescent="0.25">
      <c r="B384" s="1086" t="s">
        <v>666</v>
      </c>
      <c r="C384" s="1087">
        <v>2065</v>
      </c>
      <c r="D384" s="1086">
        <v>1092000</v>
      </c>
      <c r="E384" s="1088">
        <v>1092000</v>
      </c>
      <c r="F384" s="1089">
        <v>3971</v>
      </c>
      <c r="G384" s="1086">
        <v>5.7390999999999996</v>
      </c>
      <c r="H384" s="1088">
        <v>0.18462200000000001</v>
      </c>
      <c r="I384" s="1088">
        <v>8.61E-4</v>
      </c>
      <c r="J384" s="1089">
        <v>11.5648</v>
      </c>
    </row>
    <row r="385" spans="2:10" x14ac:dyDescent="0.25">
      <c r="B385" s="1086" t="s">
        <v>667</v>
      </c>
      <c r="C385" s="1087">
        <v>2065</v>
      </c>
      <c r="D385" s="1086">
        <v>-1185000</v>
      </c>
      <c r="E385" s="1088">
        <v>0</v>
      </c>
      <c r="F385" s="1089">
        <v>0</v>
      </c>
      <c r="G385" s="1086">
        <v>-85.800000000000011</v>
      </c>
      <c r="H385" s="1088">
        <v>0.54700000000000004</v>
      </c>
      <c r="I385" s="1088">
        <v>-1.8286999999999999E-3</v>
      </c>
      <c r="J385" s="1089">
        <v>-70.08</v>
      </c>
    </row>
    <row r="386" spans="2:10" x14ac:dyDescent="0.25">
      <c r="B386" s="1086" t="s">
        <v>668</v>
      </c>
      <c r="C386" s="1087">
        <v>2065</v>
      </c>
      <c r="D386" s="1086">
        <v>1721000</v>
      </c>
      <c r="E386" s="1088">
        <v>1293000</v>
      </c>
      <c r="F386" s="1089">
        <v>15050</v>
      </c>
      <c r="G386" s="1086">
        <v>125.08</v>
      </c>
      <c r="H386" s="1088">
        <v>0.20477100000000001</v>
      </c>
      <c r="I386" s="1088">
        <v>1.7827000000000001E-3</v>
      </c>
      <c r="J386" s="1089">
        <v>129.82</v>
      </c>
    </row>
    <row r="387" spans="2:10" x14ac:dyDescent="0.25">
      <c r="B387" s="1086" t="s">
        <v>683</v>
      </c>
      <c r="C387" s="1087">
        <v>2065</v>
      </c>
      <c r="D387" s="1086">
        <v>1721000</v>
      </c>
      <c r="E387" s="1088">
        <v>1293000</v>
      </c>
      <c r="F387" s="1089">
        <v>15050</v>
      </c>
      <c r="G387" s="1086">
        <v>125.08</v>
      </c>
      <c r="H387" s="1088">
        <v>0.20477100000000001</v>
      </c>
      <c r="I387" s="1088">
        <v>1.7827000000000001E-3</v>
      </c>
      <c r="J387" s="1089">
        <v>129.82</v>
      </c>
    </row>
    <row r="388" spans="2:10" x14ac:dyDescent="0.25">
      <c r="B388" s="1086" t="s">
        <v>669</v>
      </c>
      <c r="C388" s="1087">
        <v>2065</v>
      </c>
      <c r="D388" s="1086">
        <v>1721000</v>
      </c>
      <c r="E388" s="1088">
        <v>1293000</v>
      </c>
      <c r="F388" s="1089">
        <v>15050</v>
      </c>
      <c r="G388" s="1086">
        <v>125.08</v>
      </c>
      <c r="H388" s="1088">
        <v>0.20477100000000001</v>
      </c>
      <c r="I388" s="1088">
        <v>1.7827000000000001E-3</v>
      </c>
      <c r="J388" s="1089">
        <v>129.82</v>
      </c>
    </row>
    <row r="389" spans="2:10" x14ac:dyDescent="0.25">
      <c r="B389" s="1086" t="s">
        <v>1060</v>
      </c>
      <c r="C389" s="1087">
        <v>2065</v>
      </c>
      <c r="D389" s="1086">
        <v>1022000</v>
      </c>
      <c r="E389" s="1088">
        <v>1021000</v>
      </c>
      <c r="F389" s="1089">
        <v>15510</v>
      </c>
      <c r="G389" s="1086">
        <v>1.6964999999999999</v>
      </c>
      <c r="H389" s="1088">
        <v>0.14096238999999999</v>
      </c>
      <c r="I389" s="1088">
        <v>3.2765999999999998E-5</v>
      </c>
      <c r="J389" s="1089">
        <v>5.9536999999999995</v>
      </c>
    </row>
    <row r="390" spans="2:10" x14ac:dyDescent="0.25">
      <c r="B390" s="1086" t="s">
        <v>701</v>
      </c>
      <c r="C390" s="1087">
        <v>2065</v>
      </c>
      <c r="D390" s="1086">
        <v>1022000</v>
      </c>
      <c r="E390" s="1088">
        <v>1021000</v>
      </c>
      <c r="F390" s="1089">
        <v>15510</v>
      </c>
      <c r="G390" s="1086">
        <v>1.6964999999999999</v>
      </c>
      <c r="H390" s="1088">
        <v>0.14096238999999999</v>
      </c>
      <c r="I390" s="1088">
        <v>3.2765999999999998E-5</v>
      </c>
      <c r="J390" s="1089">
        <v>5.9536999999999995</v>
      </c>
    </row>
    <row r="391" spans="2:10" x14ac:dyDescent="0.25">
      <c r="B391" s="1086" t="s">
        <v>702</v>
      </c>
      <c r="C391" s="1087">
        <v>2065</v>
      </c>
      <c r="D391" s="1086">
        <v>1022000</v>
      </c>
      <c r="E391" s="1088">
        <v>1021000</v>
      </c>
      <c r="F391" s="1089">
        <v>15510</v>
      </c>
      <c r="G391" s="1086">
        <v>1.6964999999999999</v>
      </c>
      <c r="H391" s="1088">
        <v>0.14096238999999999</v>
      </c>
      <c r="I391" s="1088">
        <v>3.2765999999999998E-5</v>
      </c>
      <c r="J391" s="1089">
        <v>5.9536999999999995</v>
      </c>
    </row>
    <row r="392" spans="2:10" x14ac:dyDescent="0.25">
      <c r="B392" s="1086" t="s">
        <v>891</v>
      </c>
      <c r="C392" s="1087">
        <v>2065</v>
      </c>
      <c r="D392" s="1086">
        <v>1209000</v>
      </c>
      <c r="E392" s="1088">
        <v>1202000</v>
      </c>
      <c r="F392" s="1089">
        <v>1052000</v>
      </c>
      <c r="G392" s="1086">
        <v>17.969000000000001</v>
      </c>
      <c r="H392" s="1088">
        <v>0.164128</v>
      </c>
      <c r="I392" s="1088">
        <v>2.9025999999999998E-4</v>
      </c>
      <c r="J392" s="1089">
        <v>22.988</v>
      </c>
    </row>
    <row r="393" spans="2:10" x14ac:dyDescent="0.25">
      <c r="B393" s="1086" t="s">
        <v>889</v>
      </c>
      <c r="C393" s="1087">
        <v>2065</v>
      </c>
      <c r="D393" s="1086">
        <v>1585000</v>
      </c>
      <c r="E393" s="1088">
        <v>696300</v>
      </c>
      <c r="F393" s="1089">
        <v>286000</v>
      </c>
      <c r="G393" s="1086">
        <v>38.049999999999997</v>
      </c>
      <c r="H393" s="1088">
        <v>0.1118</v>
      </c>
      <c r="I393" s="1088">
        <v>2.5350000000000001E-2</v>
      </c>
      <c r="J393" s="1089">
        <v>45.19</v>
      </c>
    </row>
    <row r="394" spans="2:10" x14ac:dyDescent="0.25">
      <c r="B394" s="1086" t="s">
        <v>892</v>
      </c>
      <c r="C394" s="1087">
        <v>2065</v>
      </c>
      <c r="D394" s="1086">
        <v>1249000</v>
      </c>
      <c r="E394" s="1088">
        <v>1242000</v>
      </c>
      <c r="F394" s="1089">
        <v>1078000</v>
      </c>
      <c r="G394" s="1086">
        <v>23.84</v>
      </c>
      <c r="H394" s="1088">
        <v>0.16985799999999998</v>
      </c>
      <c r="I394" s="1088">
        <v>3.7813000000000001E-4</v>
      </c>
      <c r="J394" s="1089">
        <v>29.157000000000004</v>
      </c>
    </row>
    <row r="395" spans="2:10" x14ac:dyDescent="0.25">
      <c r="B395" s="1086" t="s">
        <v>1054</v>
      </c>
      <c r="C395" s="1087">
        <v>2065</v>
      </c>
      <c r="D395" s="1086">
        <v>1190000</v>
      </c>
      <c r="E395" s="1088">
        <v>51590</v>
      </c>
      <c r="F395" s="1089">
        <v>29220</v>
      </c>
      <c r="G395" s="1086">
        <v>3.7582</v>
      </c>
      <c r="H395" s="1088">
        <v>8.4366999999999984E-3</v>
      </c>
      <c r="I395" s="1088">
        <v>-3.8261190000000002E-3</v>
      </c>
      <c r="J395" s="1089">
        <v>3.0054000000000003</v>
      </c>
    </row>
    <row r="396" spans="2:10" x14ac:dyDescent="0.25">
      <c r="B396" s="1086" t="s">
        <v>800</v>
      </c>
      <c r="C396" s="1087">
        <v>2065</v>
      </c>
      <c r="D396" s="1086">
        <v>1190000</v>
      </c>
      <c r="E396" s="1088">
        <v>51590</v>
      </c>
      <c r="F396" s="1089">
        <v>29220</v>
      </c>
      <c r="G396" s="1086">
        <v>3.7582</v>
      </c>
      <c r="H396" s="1088">
        <v>8.4366999999999984E-3</v>
      </c>
      <c r="I396" s="1088">
        <v>-3.8261190000000002E-3</v>
      </c>
      <c r="J396" s="1089">
        <v>3.0054000000000003</v>
      </c>
    </row>
    <row r="397" spans="2:10" x14ac:dyDescent="0.25">
      <c r="B397" s="1086" t="s">
        <v>806</v>
      </c>
      <c r="C397" s="1087">
        <v>2065</v>
      </c>
      <c r="D397" s="1086">
        <v>1190000</v>
      </c>
      <c r="E397" s="1088">
        <v>51590</v>
      </c>
      <c r="F397" s="1089">
        <v>29220</v>
      </c>
      <c r="G397" s="1086">
        <v>3.7582</v>
      </c>
      <c r="H397" s="1088">
        <v>8.4366999999999984E-3</v>
      </c>
      <c r="I397" s="1088">
        <v>-3.8261190000000002E-3</v>
      </c>
      <c r="J397" s="1089">
        <v>3.0054000000000003</v>
      </c>
    </row>
    <row r="398" spans="2:10" ht="13.8" thickBot="1" x14ac:dyDescent="0.3">
      <c r="B398" s="1090" t="s">
        <v>1061</v>
      </c>
      <c r="C398" s="1091">
        <v>2065</v>
      </c>
      <c r="D398" s="1090">
        <v>1384000</v>
      </c>
      <c r="E398" s="1092">
        <v>1383000</v>
      </c>
      <c r="F398" s="1093">
        <v>5034</v>
      </c>
      <c r="G398" s="1090">
        <v>78.571100000000001</v>
      </c>
      <c r="H398" s="1092">
        <v>0.27494000000000002</v>
      </c>
      <c r="I398" s="1092">
        <v>2.3304000000000003E-3</v>
      </c>
      <c r="J398" s="1093">
        <v>87.594300000000004</v>
      </c>
    </row>
    <row r="399" spans="2:10" x14ac:dyDescent="0.25">
      <c r="B399" s="1082" t="s">
        <v>1058</v>
      </c>
      <c r="C399" s="1083">
        <v>2070</v>
      </c>
      <c r="D399" s="1082">
        <v>1092000</v>
      </c>
      <c r="E399" s="1084">
        <v>1092000</v>
      </c>
      <c r="F399" s="1085">
        <v>3971</v>
      </c>
      <c r="G399" s="1082">
        <v>5.7390999999999996</v>
      </c>
      <c r="H399" s="1084">
        <v>0.18462200000000001</v>
      </c>
      <c r="I399" s="1084">
        <v>8.61E-4</v>
      </c>
      <c r="J399" s="1085">
        <v>11.5648</v>
      </c>
    </row>
    <row r="400" spans="2:10" x14ac:dyDescent="0.25">
      <c r="B400" s="1086" t="s">
        <v>280</v>
      </c>
      <c r="C400" s="1087">
        <v>2070</v>
      </c>
      <c r="D400" s="1086">
        <v>1092000</v>
      </c>
      <c r="E400" s="1088">
        <v>1092000</v>
      </c>
      <c r="F400" s="1089">
        <v>3971</v>
      </c>
      <c r="G400" s="1086">
        <v>5.7390999999999996</v>
      </c>
      <c r="H400" s="1088">
        <v>0.18462200000000001</v>
      </c>
      <c r="I400" s="1088">
        <v>8.61E-4</v>
      </c>
      <c r="J400" s="1089">
        <v>11.5648</v>
      </c>
    </row>
    <row r="401" spans="2:10" x14ac:dyDescent="0.25">
      <c r="B401" s="1086" t="s">
        <v>1059</v>
      </c>
      <c r="C401" s="1087">
        <v>2070</v>
      </c>
      <c r="D401" s="1086">
        <v>1092000</v>
      </c>
      <c r="E401" s="1088">
        <v>1092000</v>
      </c>
      <c r="F401" s="1089">
        <v>3971</v>
      </c>
      <c r="G401" s="1086">
        <v>5.7390999999999996</v>
      </c>
      <c r="H401" s="1088">
        <v>0.18462200000000001</v>
      </c>
      <c r="I401" s="1088">
        <v>8.61E-4</v>
      </c>
      <c r="J401" s="1089">
        <v>11.5648</v>
      </c>
    </row>
    <row r="402" spans="2:10" x14ac:dyDescent="0.25">
      <c r="B402" s="1086" t="s">
        <v>666</v>
      </c>
      <c r="C402" s="1087">
        <v>2070</v>
      </c>
      <c r="D402" s="1086">
        <v>1092000</v>
      </c>
      <c r="E402" s="1088">
        <v>1092000</v>
      </c>
      <c r="F402" s="1089">
        <v>3971</v>
      </c>
      <c r="G402" s="1086">
        <v>5.7390999999999996</v>
      </c>
      <c r="H402" s="1088">
        <v>0.18462200000000001</v>
      </c>
      <c r="I402" s="1088">
        <v>8.61E-4</v>
      </c>
      <c r="J402" s="1089">
        <v>11.5648</v>
      </c>
    </row>
    <row r="403" spans="2:10" x14ac:dyDescent="0.25">
      <c r="B403" s="1086" t="s">
        <v>667</v>
      </c>
      <c r="C403" s="1087">
        <v>2070</v>
      </c>
      <c r="D403" s="1086">
        <v>-1185000</v>
      </c>
      <c r="E403" s="1088">
        <v>0</v>
      </c>
      <c r="F403" s="1089">
        <v>0</v>
      </c>
      <c r="G403" s="1086">
        <v>-85.800000000000011</v>
      </c>
      <c r="H403" s="1088">
        <v>0.54700000000000004</v>
      </c>
      <c r="I403" s="1088">
        <v>-1.8286999999999999E-3</v>
      </c>
      <c r="J403" s="1089">
        <v>-70.08</v>
      </c>
    </row>
    <row r="404" spans="2:10" x14ac:dyDescent="0.25">
      <c r="B404" s="1086" t="s">
        <v>668</v>
      </c>
      <c r="C404" s="1087">
        <v>2070</v>
      </c>
      <c r="D404" s="1086">
        <v>1721000</v>
      </c>
      <c r="E404" s="1088">
        <v>1293000</v>
      </c>
      <c r="F404" s="1089">
        <v>15050</v>
      </c>
      <c r="G404" s="1086">
        <v>125.08</v>
      </c>
      <c r="H404" s="1088">
        <v>0.20477100000000001</v>
      </c>
      <c r="I404" s="1088">
        <v>1.7827000000000001E-3</v>
      </c>
      <c r="J404" s="1089">
        <v>129.82</v>
      </c>
    </row>
    <row r="405" spans="2:10" x14ac:dyDescent="0.25">
      <c r="B405" s="1086" t="s">
        <v>683</v>
      </c>
      <c r="C405" s="1087">
        <v>2070</v>
      </c>
      <c r="D405" s="1086">
        <v>1721000</v>
      </c>
      <c r="E405" s="1088">
        <v>1293000</v>
      </c>
      <c r="F405" s="1089">
        <v>15050</v>
      </c>
      <c r="G405" s="1086">
        <v>125.08</v>
      </c>
      <c r="H405" s="1088">
        <v>0.20477100000000001</v>
      </c>
      <c r="I405" s="1088">
        <v>1.7827000000000001E-3</v>
      </c>
      <c r="J405" s="1089">
        <v>129.82</v>
      </c>
    </row>
    <row r="406" spans="2:10" x14ac:dyDescent="0.25">
      <c r="B406" s="1086" t="s">
        <v>669</v>
      </c>
      <c r="C406" s="1087">
        <v>2070</v>
      </c>
      <c r="D406" s="1086">
        <v>1721000</v>
      </c>
      <c r="E406" s="1088">
        <v>1293000</v>
      </c>
      <c r="F406" s="1089">
        <v>15050</v>
      </c>
      <c r="G406" s="1086">
        <v>125.08</v>
      </c>
      <c r="H406" s="1088">
        <v>0.20477100000000001</v>
      </c>
      <c r="I406" s="1088">
        <v>1.7827000000000001E-3</v>
      </c>
      <c r="J406" s="1089">
        <v>129.82</v>
      </c>
    </row>
    <row r="407" spans="2:10" x14ac:dyDescent="0.25">
      <c r="B407" s="1086" t="s">
        <v>1060</v>
      </c>
      <c r="C407" s="1087">
        <v>2070</v>
      </c>
      <c r="D407" s="1086">
        <v>1022000</v>
      </c>
      <c r="E407" s="1088">
        <v>1021000</v>
      </c>
      <c r="F407" s="1089">
        <v>15510</v>
      </c>
      <c r="G407" s="1086">
        <v>1.6964999999999999</v>
      </c>
      <c r="H407" s="1088">
        <v>0.14096238999999999</v>
      </c>
      <c r="I407" s="1088">
        <v>3.2765999999999998E-5</v>
      </c>
      <c r="J407" s="1089">
        <v>5.9536999999999995</v>
      </c>
    </row>
    <row r="408" spans="2:10" x14ac:dyDescent="0.25">
      <c r="B408" s="1086" t="s">
        <v>701</v>
      </c>
      <c r="C408" s="1087">
        <v>2070</v>
      </c>
      <c r="D408" s="1086">
        <v>1022000</v>
      </c>
      <c r="E408" s="1088">
        <v>1021000</v>
      </c>
      <c r="F408" s="1089">
        <v>15510</v>
      </c>
      <c r="G408" s="1086">
        <v>1.6964999999999999</v>
      </c>
      <c r="H408" s="1088">
        <v>0.14096238999999999</v>
      </c>
      <c r="I408" s="1088">
        <v>3.2765999999999998E-5</v>
      </c>
      <c r="J408" s="1089">
        <v>5.9536999999999995</v>
      </c>
    </row>
    <row r="409" spans="2:10" x14ac:dyDescent="0.25">
      <c r="B409" s="1086" t="s">
        <v>702</v>
      </c>
      <c r="C409" s="1087">
        <v>2070</v>
      </c>
      <c r="D409" s="1086">
        <v>1022000</v>
      </c>
      <c r="E409" s="1088">
        <v>1021000</v>
      </c>
      <c r="F409" s="1089">
        <v>15510</v>
      </c>
      <c r="G409" s="1086">
        <v>1.6964999999999999</v>
      </c>
      <c r="H409" s="1088">
        <v>0.14096238999999999</v>
      </c>
      <c r="I409" s="1088">
        <v>3.2765999999999998E-5</v>
      </c>
      <c r="J409" s="1089">
        <v>5.9536999999999995</v>
      </c>
    </row>
    <row r="410" spans="2:10" x14ac:dyDescent="0.25">
      <c r="B410" s="1086" t="s">
        <v>891</v>
      </c>
      <c r="C410" s="1087">
        <v>2070</v>
      </c>
      <c r="D410" s="1086">
        <v>1209000</v>
      </c>
      <c r="E410" s="1088">
        <v>1202000</v>
      </c>
      <c r="F410" s="1089">
        <v>1052000</v>
      </c>
      <c r="G410" s="1086">
        <v>17.969000000000001</v>
      </c>
      <c r="H410" s="1088">
        <v>0.164128</v>
      </c>
      <c r="I410" s="1088">
        <v>2.9025999999999998E-4</v>
      </c>
      <c r="J410" s="1089">
        <v>22.988</v>
      </c>
    </row>
    <row r="411" spans="2:10" x14ac:dyDescent="0.25">
      <c r="B411" s="1086" t="s">
        <v>889</v>
      </c>
      <c r="C411" s="1087">
        <v>2070</v>
      </c>
      <c r="D411" s="1086">
        <v>1585000</v>
      </c>
      <c r="E411" s="1088">
        <v>696300</v>
      </c>
      <c r="F411" s="1089">
        <v>286000</v>
      </c>
      <c r="G411" s="1086">
        <v>38.049999999999997</v>
      </c>
      <c r="H411" s="1088">
        <v>0.1118</v>
      </c>
      <c r="I411" s="1088">
        <v>2.5350000000000001E-2</v>
      </c>
      <c r="J411" s="1089">
        <v>45.19</v>
      </c>
    </row>
    <row r="412" spans="2:10" x14ac:dyDescent="0.25">
      <c r="B412" s="1086" t="s">
        <v>892</v>
      </c>
      <c r="C412" s="1087">
        <v>2070</v>
      </c>
      <c r="D412" s="1086">
        <v>1249000</v>
      </c>
      <c r="E412" s="1088">
        <v>1242000</v>
      </c>
      <c r="F412" s="1089">
        <v>1078000</v>
      </c>
      <c r="G412" s="1086">
        <v>23.84</v>
      </c>
      <c r="H412" s="1088">
        <v>0.16985799999999998</v>
      </c>
      <c r="I412" s="1088">
        <v>3.7813000000000001E-4</v>
      </c>
      <c r="J412" s="1089">
        <v>29.157000000000004</v>
      </c>
    </row>
    <row r="413" spans="2:10" x14ac:dyDescent="0.25">
      <c r="B413" s="1086" t="s">
        <v>1054</v>
      </c>
      <c r="C413" s="1087">
        <v>2070</v>
      </c>
      <c r="D413" s="1086">
        <v>1190000</v>
      </c>
      <c r="E413" s="1088">
        <v>51590</v>
      </c>
      <c r="F413" s="1089">
        <v>29220</v>
      </c>
      <c r="G413" s="1086">
        <v>3.7582</v>
      </c>
      <c r="H413" s="1088">
        <v>8.4366999999999984E-3</v>
      </c>
      <c r="I413" s="1088">
        <v>-3.8261190000000002E-3</v>
      </c>
      <c r="J413" s="1089">
        <v>3.0054000000000003</v>
      </c>
    </row>
    <row r="414" spans="2:10" x14ac:dyDescent="0.25">
      <c r="B414" s="1086" t="s">
        <v>800</v>
      </c>
      <c r="C414" s="1087">
        <v>2070</v>
      </c>
      <c r="D414" s="1086">
        <v>1190000</v>
      </c>
      <c r="E414" s="1088">
        <v>51590</v>
      </c>
      <c r="F414" s="1089">
        <v>29220</v>
      </c>
      <c r="G414" s="1086">
        <v>3.7582</v>
      </c>
      <c r="H414" s="1088">
        <v>8.4366999999999984E-3</v>
      </c>
      <c r="I414" s="1088">
        <v>-3.8261190000000002E-3</v>
      </c>
      <c r="J414" s="1089">
        <v>3.0054000000000003</v>
      </c>
    </row>
    <row r="415" spans="2:10" x14ac:dyDescent="0.25">
      <c r="B415" s="1086" t="s">
        <v>806</v>
      </c>
      <c r="C415" s="1087">
        <v>2070</v>
      </c>
      <c r="D415" s="1086">
        <v>1190000</v>
      </c>
      <c r="E415" s="1088">
        <v>51590</v>
      </c>
      <c r="F415" s="1089">
        <v>29220</v>
      </c>
      <c r="G415" s="1086">
        <v>3.7582</v>
      </c>
      <c r="H415" s="1088">
        <v>8.4366999999999984E-3</v>
      </c>
      <c r="I415" s="1088">
        <v>-3.8261190000000002E-3</v>
      </c>
      <c r="J415" s="1089">
        <v>3.0054000000000003</v>
      </c>
    </row>
    <row r="416" spans="2:10" ht="13.8" thickBot="1" x14ac:dyDescent="0.3">
      <c r="B416" s="1090" t="s">
        <v>1061</v>
      </c>
      <c r="C416" s="1091">
        <v>2070</v>
      </c>
      <c r="D416" s="1090">
        <v>1384000</v>
      </c>
      <c r="E416" s="1092">
        <v>1383000</v>
      </c>
      <c r="F416" s="1093">
        <v>5034</v>
      </c>
      <c r="G416" s="1090">
        <v>78.571100000000001</v>
      </c>
      <c r="H416" s="1092">
        <v>0.27494000000000002</v>
      </c>
      <c r="I416" s="1092">
        <v>2.3304000000000003E-3</v>
      </c>
      <c r="J416" s="1093">
        <v>87.594300000000004</v>
      </c>
    </row>
    <row r="417" spans="2:10" x14ac:dyDescent="0.25">
      <c r="B417" s="1082" t="s">
        <v>1058</v>
      </c>
      <c r="C417" s="1083">
        <v>2075</v>
      </c>
      <c r="D417" s="1082">
        <v>1092000</v>
      </c>
      <c r="E417" s="1084">
        <v>1092000</v>
      </c>
      <c r="F417" s="1085">
        <v>3971</v>
      </c>
      <c r="G417" s="1082">
        <v>5.7390999999999996</v>
      </c>
      <c r="H417" s="1084">
        <v>0.18462200000000001</v>
      </c>
      <c r="I417" s="1084">
        <v>8.61E-4</v>
      </c>
      <c r="J417" s="1085">
        <v>11.5648</v>
      </c>
    </row>
    <row r="418" spans="2:10" x14ac:dyDescent="0.25">
      <c r="B418" s="1086" t="s">
        <v>280</v>
      </c>
      <c r="C418" s="1087">
        <v>2075</v>
      </c>
      <c r="D418" s="1086">
        <v>1092000</v>
      </c>
      <c r="E418" s="1088">
        <v>1092000</v>
      </c>
      <c r="F418" s="1089">
        <v>3971</v>
      </c>
      <c r="G418" s="1086">
        <v>5.7390999999999996</v>
      </c>
      <c r="H418" s="1088">
        <v>0.18462200000000001</v>
      </c>
      <c r="I418" s="1088">
        <v>8.61E-4</v>
      </c>
      <c r="J418" s="1089">
        <v>11.5648</v>
      </c>
    </row>
    <row r="419" spans="2:10" x14ac:dyDescent="0.25">
      <c r="B419" s="1086" t="s">
        <v>1059</v>
      </c>
      <c r="C419" s="1087">
        <v>2075</v>
      </c>
      <c r="D419" s="1086">
        <v>1092000</v>
      </c>
      <c r="E419" s="1088">
        <v>1092000</v>
      </c>
      <c r="F419" s="1089">
        <v>3971</v>
      </c>
      <c r="G419" s="1086">
        <v>5.7390999999999996</v>
      </c>
      <c r="H419" s="1088">
        <v>0.18462200000000001</v>
      </c>
      <c r="I419" s="1088">
        <v>8.61E-4</v>
      </c>
      <c r="J419" s="1089">
        <v>11.5648</v>
      </c>
    </row>
    <row r="420" spans="2:10" x14ac:dyDescent="0.25">
      <c r="B420" s="1086" t="s">
        <v>666</v>
      </c>
      <c r="C420" s="1087">
        <v>2075</v>
      </c>
      <c r="D420" s="1086">
        <v>1092000</v>
      </c>
      <c r="E420" s="1088">
        <v>1092000</v>
      </c>
      <c r="F420" s="1089">
        <v>3971</v>
      </c>
      <c r="G420" s="1086">
        <v>5.7390999999999996</v>
      </c>
      <c r="H420" s="1088">
        <v>0.18462200000000001</v>
      </c>
      <c r="I420" s="1088">
        <v>8.61E-4</v>
      </c>
      <c r="J420" s="1089">
        <v>11.5648</v>
      </c>
    </row>
    <row r="421" spans="2:10" x14ac:dyDescent="0.25">
      <c r="B421" s="1086" t="s">
        <v>667</v>
      </c>
      <c r="C421" s="1087">
        <v>2075</v>
      </c>
      <c r="D421" s="1086">
        <v>-1185000</v>
      </c>
      <c r="E421" s="1088">
        <v>0</v>
      </c>
      <c r="F421" s="1089">
        <v>0</v>
      </c>
      <c r="G421" s="1086">
        <v>-85.800000000000011</v>
      </c>
      <c r="H421" s="1088">
        <v>0.54700000000000004</v>
      </c>
      <c r="I421" s="1088">
        <v>-1.8286999999999999E-3</v>
      </c>
      <c r="J421" s="1089">
        <v>-70.08</v>
      </c>
    </row>
    <row r="422" spans="2:10" x14ac:dyDescent="0.25">
      <c r="B422" s="1086" t="s">
        <v>668</v>
      </c>
      <c r="C422" s="1087">
        <v>2075</v>
      </c>
      <c r="D422" s="1086">
        <v>1721000</v>
      </c>
      <c r="E422" s="1088">
        <v>1293000</v>
      </c>
      <c r="F422" s="1089">
        <v>15050</v>
      </c>
      <c r="G422" s="1086">
        <v>125.08</v>
      </c>
      <c r="H422" s="1088">
        <v>0.20477100000000001</v>
      </c>
      <c r="I422" s="1088">
        <v>1.7827000000000001E-3</v>
      </c>
      <c r="J422" s="1089">
        <v>129.82</v>
      </c>
    </row>
    <row r="423" spans="2:10" x14ac:dyDescent="0.25">
      <c r="B423" s="1086" t="s">
        <v>683</v>
      </c>
      <c r="C423" s="1087">
        <v>2075</v>
      </c>
      <c r="D423" s="1086">
        <v>1721000</v>
      </c>
      <c r="E423" s="1088">
        <v>1293000</v>
      </c>
      <c r="F423" s="1089">
        <v>15050</v>
      </c>
      <c r="G423" s="1086">
        <v>125.08</v>
      </c>
      <c r="H423" s="1088">
        <v>0.20477100000000001</v>
      </c>
      <c r="I423" s="1088">
        <v>1.7827000000000001E-3</v>
      </c>
      <c r="J423" s="1089">
        <v>129.82</v>
      </c>
    </row>
    <row r="424" spans="2:10" x14ac:dyDescent="0.25">
      <c r="B424" s="1086" t="s">
        <v>669</v>
      </c>
      <c r="C424" s="1087">
        <v>2075</v>
      </c>
      <c r="D424" s="1086">
        <v>1721000</v>
      </c>
      <c r="E424" s="1088">
        <v>1293000</v>
      </c>
      <c r="F424" s="1089">
        <v>15050</v>
      </c>
      <c r="G424" s="1086">
        <v>125.08</v>
      </c>
      <c r="H424" s="1088">
        <v>0.20477100000000001</v>
      </c>
      <c r="I424" s="1088">
        <v>1.7827000000000001E-3</v>
      </c>
      <c r="J424" s="1089">
        <v>129.82</v>
      </c>
    </row>
    <row r="425" spans="2:10" x14ac:dyDescent="0.25">
      <c r="B425" s="1086" t="s">
        <v>1060</v>
      </c>
      <c r="C425" s="1087">
        <v>2075</v>
      </c>
      <c r="D425" s="1086">
        <v>1022000</v>
      </c>
      <c r="E425" s="1088">
        <v>1021000</v>
      </c>
      <c r="F425" s="1089">
        <v>15510</v>
      </c>
      <c r="G425" s="1086">
        <v>1.6964999999999999</v>
      </c>
      <c r="H425" s="1088">
        <v>0.14096238999999999</v>
      </c>
      <c r="I425" s="1088">
        <v>3.2765999999999998E-5</v>
      </c>
      <c r="J425" s="1089">
        <v>5.9536999999999995</v>
      </c>
    </row>
    <row r="426" spans="2:10" x14ac:dyDescent="0.25">
      <c r="B426" s="1086" t="s">
        <v>701</v>
      </c>
      <c r="C426" s="1087">
        <v>2075</v>
      </c>
      <c r="D426" s="1086">
        <v>1022000</v>
      </c>
      <c r="E426" s="1088">
        <v>1021000</v>
      </c>
      <c r="F426" s="1089">
        <v>15510</v>
      </c>
      <c r="G426" s="1086">
        <v>1.6964999999999999</v>
      </c>
      <c r="H426" s="1088">
        <v>0.14096238999999999</v>
      </c>
      <c r="I426" s="1088">
        <v>3.2765999999999998E-5</v>
      </c>
      <c r="J426" s="1089">
        <v>5.9536999999999995</v>
      </c>
    </row>
    <row r="427" spans="2:10" x14ac:dyDescent="0.25">
      <c r="B427" s="1086" t="s">
        <v>702</v>
      </c>
      <c r="C427" s="1087">
        <v>2075</v>
      </c>
      <c r="D427" s="1086">
        <v>1022000</v>
      </c>
      <c r="E427" s="1088">
        <v>1021000</v>
      </c>
      <c r="F427" s="1089">
        <v>15510</v>
      </c>
      <c r="G427" s="1086">
        <v>1.6964999999999999</v>
      </c>
      <c r="H427" s="1088">
        <v>0.14096238999999999</v>
      </c>
      <c r="I427" s="1088">
        <v>3.2765999999999998E-5</v>
      </c>
      <c r="J427" s="1089">
        <v>5.9536999999999995</v>
      </c>
    </row>
    <row r="428" spans="2:10" x14ac:dyDescent="0.25">
      <c r="B428" s="1086" t="s">
        <v>891</v>
      </c>
      <c r="C428" s="1087">
        <v>2075</v>
      </c>
      <c r="D428" s="1086">
        <v>1209000</v>
      </c>
      <c r="E428" s="1088">
        <v>1202000</v>
      </c>
      <c r="F428" s="1089">
        <v>1052000</v>
      </c>
      <c r="G428" s="1086">
        <v>17.969000000000001</v>
      </c>
      <c r="H428" s="1088">
        <v>0.164128</v>
      </c>
      <c r="I428" s="1088">
        <v>2.9025999999999998E-4</v>
      </c>
      <c r="J428" s="1089">
        <v>22.988</v>
      </c>
    </row>
    <row r="429" spans="2:10" x14ac:dyDescent="0.25">
      <c r="B429" s="1086" t="s">
        <v>889</v>
      </c>
      <c r="C429" s="1087">
        <v>2075</v>
      </c>
      <c r="D429" s="1086">
        <v>1585000</v>
      </c>
      <c r="E429" s="1088">
        <v>696300</v>
      </c>
      <c r="F429" s="1089">
        <v>286000</v>
      </c>
      <c r="G429" s="1086">
        <v>38.049999999999997</v>
      </c>
      <c r="H429" s="1088">
        <v>0.1118</v>
      </c>
      <c r="I429" s="1088">
        <v>2.5350000000000001E-2</v>
      </c>
      <c r="J429" s="1089">
        <v>45.19</v>
      </c>
    </row>
    <row r="430" spans="2:10" x14ac:dyDescent="0.25">
      <c r="B430" s="1086" t="s">
        <v>892</v>
      </c>
      <c r="C430" s="1087">
        <v>2075</v>
      </c>
      <c r="D430" s="1086">
        <v>1249000</v>
      </c>
      <c r="E430" s="1088">
        <v>1242000</v>
      </c>
      <c r="F430" s="1089">
        <v>1078000</v>
      </c>
      <c r="G430" s="1086">
        <v>23.84</v>
      </c>
      <c r="H430" s="1088">
        <v>0.16985799999999998</v>
      </c>
      <c r="I430" s="1088">
        <v>3.7813000000000001E-4</v>
      </c>
      <c r="J430" s="1089">
        <v>29.157000000000004</v>
      </c>
    </row>
    <row r="431" spans="2:10" x14ac:dyDescent="0.25">
      <c r="B431" s="1086" t="s">
        <v>1054</v>
      </c>
      <c r="C431" s="1087">
        <v>2075</v>
      </c>
      <c r="D431" s="1086">
        <v>1190000</v>
      </c>
      <c r="E431" s="1088">
        <v>51590</v>
      </c>
      <c r="F431" s="1089">
        <v>29220</v>
      </c>
      <c r="G431" s="1086">
        <v>3.7582</v>
      </c>
      <c r="H431" s="1088">
        <v>8.4366999999999984E-3</v>
      </c>
      <c r="I431" s="1088">
        <v>-3.8261190000000002E-3</v>
      </c>
      <c r="J431" s="1089">
        <v>3.0054000000000003</v>
      </c>
    </row>
    <row r="432" spans="2:10" x14ac:dyDescent="0.25">
      <c r="B432" s="1086" t="s">
        <v>800</v>
      </c>
      <c r="C432" s="1087">
        <v>2075</v>
      </c>
      <c r="D432" s="1086">
        <v>1190000</v>
      </c>
      <c r="E432" s="1088">
        <v>51590</v>
      </c>
      <c r="F432" s="1089">
        <v>29220</v>
      </c>
      <c r="G432" s="1086">
        <v>3.7582</v>
      </c>
      <c r="H432" s="1088">
        <v>8.4366999999999984E-3</v>
      </c>
      <c r="I432" s="1088">
        <v>-3.8261190000000002E-3</v>
      </c>
      <c r="J432" s="1089">
        <v>3.0054000000000003</v>
      </c>
    </row>
    <row r="433" spans="2:10" x14ac:dyDescent="0.25">
      <c r="B433" s="1086" t="s">
        <v>806</v>
      </c>
      <c r="C433" s="1087">
        <v>2075</v>
      </c>
      <c r="D433" s="1086">
        <v>1190000</v>
      </c>
      <c r="E433" s="1088">
        <v>51590</v>
      </c>
      <c r="F433" s="1089">
        <v>29220</v>
      </c>
      <c r="G433" s="1086">
        <v>3.7582</v>
      </c>
      <c r="H433" s="1088">
        <v>8.4366999999999984E-3</v>
      </c>
      <c r="I433" s="1088">
        <v>-3.8261190000000002E-3</v>
      </c>
      <c r="J433" s="1089">
        <v>3.0054000000000003</v>
      </c>
    </row>
    <row r="434" spans="2:10" ht="13.8" thickBot="1" x14ac:dyDescent="0.3">
      <c r="B434" s="1090" t="s">
        <v>1061</v>
      </c>
      <c r="C434" s="1091">
        <v>2075</v>
      </c>
      <c r="D434" s="1090">
        <v>1384000</v>
      </c>
      <c r="E434" s="1092">
        <v>1383000</v>
      </c>
      <c r="F434" s="1093">
        <v>5034</v>
      </c>
      <c r="G434" s="1090">
        <v>78.571100000000001</v>
      </c>
      <c r="H434" s="1092">
        <v>0.27494000000000002</v>
      </c>
      <c r="I434" s="1092">
        <v>2.3304000000000003E-3</v>
      </c>
      <c r="J434" s="1093">
        <v>87.594300000000004</v>
      </c>
    </row>
    <row r="435" spans="2:10" x14ac:dyDescent="0.25">
      <c r="B435" s="1082" t="s">
        <v>1058</v>
      </c>
      <c r="C435" s="1083">
        <v>2080</v>
      </c>
      <c r="D435" s="1082">
        <v>1092000</v>
      </c>
      <c r="E435" s="1084">
        <v>1092000</v>
      </c>
      <c r="F435" s="1085">
        <v>3971</v>
      </c>
      <c r="G435" s="1082">
        <v>5.7390999999999996</v>
      </c>
      <c r="H435" s="1084">
        <v>0.18462200000000001</v>
      </c>
      <c r="I435" s="1084">
        <v>8.61E-4</v>
      </c>
      <c r="J435" s="1085">
        <v>11.5648</v>
      </c>
    </row>
    <row r="436" spans="2:10" x14ac:dyDescent="0.25">
      <c r="B436" s="1086" t="s">
        <v>280</v>
      </c>
      <c r="C436" s="1087">
        <v>2080</v>
      </c>
      <c r="D436" s="1086">
        <v>1092000</v>
      </c>
      <c r="E436" s="1088">
        <v>1092000</v>
      </c>
      <c r="F436" s="1089">
        <v>3971</v>
      </c>
      <c r="G436" s="1086">
        <v>5.7390999999999996</v>
      </c>
      <c r="H436" s="1088">
        <v>0.18462200000000001</v>
      </c>
      <c r="I436" s="1088">
        <v>8.61E-4</v>
      </c>
      <c r="J436" s="1089">
        <v>11.5648</v>
      </c>
    </row>
    <row r="437" spans="2:10" x14ac:dyDescent="0.25">
      <c r="B437" s="1086" t="s">
        <v>1059</v>
      </c>
      <c r="C437" s="1087">
        <v>2080</v>
      </c>
      <c r="D437" s="1086">
        <v>1092000</v>
      </c>
      <c r="E437" s="1088">
        <v>1092000</v>
      </c>
      <c r="F437" s="1089">
        <v>3971</v>
      </c>
      <c r="G437" s="1086">
        <v>5.7390999999999996</v>
      </c>
      <c r="H437" s="1088">
        <v>0.18462200000000001</v>
      </c>
      <c r="I437" s="1088">
        <v>8.61E-4</v>
      </c>
      <c r="J437" s="1089">
        <v>11.5648</v>
      </c>
    </row>
    <row r="438" spans="2:10" x14ac:dyDescent="0.25">
      <c r="B438" s="1086" t="s">
        <v>666</v>
      </c>
      <c r="C438" s="1087">
        <v>2080</v>
      </c>
      <c r="D438" s="1086">
        <v>1092000</v>
      </c>
      <c r="E438" s="1088">
        <v>1092000</v>
      </c>
      <c r="F438" s="1089">
        <v>3971</v>
      </c>
      <c r="G438" s="1086">
        <v>5.7390999999999996</v>
      </c>
      <c r="H438" s="1088">
        <v>0.18462200000000001</v>
      </c>
      <c r="I438" s="1088">
        <v>8.61E-4</v>
      </c>
      <c r="J438" s="1089">
        <v>11.5648</v>
      </c>
    </row>
    <row r="439" spans="2:10" x14ac:dyDescent="0.25">
      <c r="B439" s="1086" t="s">
        <v>667</v>
      </c>
      <c r="C439" s="1087">
        <v>2080</v>
      </c>
      <c r="D439" s="1086">
        <v>-1185000</v>
      </c>
      <c r="E439" s="1088">
        <v>0</v>
      </c>
      <c r="F439" s="1089">
        <v>0</v>
      </c>
      <c r="G439" s="1086">
        <v>-85.800000000000011</v>
      </c>
      <c r="H439" s="1088">
        <v>0.54700000000000004</v>
      </c>
      <c r="I439" s="1088">
        <v>-1.8286999999999999E-3</v>
      </c>
      <c r="J439" s="1089">
        <v>-70.08</v>
      </c>
    </row>
    <row r="440" spans="2:10" x14ac:dyDescent="0.25">
      <c r="B440" s="1086" t="s">
        <v>668</v>
      </c>
      <c r="C440" s="1087">
        <v>2080</v>
      </c>
      <c r="D440" s="1086">
        <v>1721000</v>
      </c>
      <c r="E440" s="1088">
        <v>1293000</v>
      </c>
      <c r="F440" s="1089">
        <v>15050</v>
      </c>
      <c r="G440" s="1086">
        <v>125.08</v>
      </c>
      <c r="H440" s="1088">
        <v>0.20477100000000001</v>
      </c>
      <c r="I440" s="1088">
        <v>1.7827000000000001E-3</v>
      </c>
      <c r="J440" s="1089">
        <v>129.82</v>
      </c>
    </row>
    <row r="441" spans="2:10" x14ac:dyDescent="0.25">
      <c r="B441" s="1086" t="s">
        <v>683</v>
      </c>
      <c r="C441" s="1087">
        <v>2080</v>
      </c>
      <c r="D441" s="1086">
        <v>1721000</v>
      </c>
      <c r="E441" s="1088">
        <v>1293000</v>
      </c>
      <c r="F441" s="1089">
        <v>15050</v>
      </c>
      <c r="G441" s="1086">
        <v>125.08</v>
      </c>
      <c r="H441" s="1088">
        <v>0.20477100000000001</v>
      </c>
      <c r="I441" s="1088">
        <v>1.7827000000000001E-3</v>
      </c>
      <c r="J441" s="1089">
        <v>129.82</v>
      </c>
    </row>
    <row r="442" spans="2:10" x14ac:dyDescent="0.25">
      <c r="B442" s="1086" t="s">
        <v>669</v>
      </c>
      <c r="C442" s="1087">
        <v>2080</v>
      </c>
      <c r="D442" s="1086">
        <v>1721000</v>
      </c>
      <c r="E442" s="1088">
        <v>1293000</v>
      </c>
      <c r="F442" s="1089">
        <v>15050</v>
      </c>
      <c r="G442" s="1086">
        <v>125.08</v>
      </c>
      <c r="H442" s="1088">
        <v>0.20477100000000001</v>
      </c>
      <c r="I442" s="1088">
        <v>1.7827000000000001E-3</v>
      </c>
      <c r="J442" s="1089">
        <v>129.82</v>
      </c>
    </row>
    <row r="443" spans="2:10" x14ac:dyDescent="0.25">
      <c r="B443" s="1086" t="s">
        <v>1060</v>
      </c>
      <c r="C443" s="1087">
        <v>2080</v>
      </c>
      <c r="D443" s="1086">
        <v>1022000</v>
      </c>
      <c r="E443" s="1088">
        <v>1021000</v>
      </c>
      <c r="F443" s="1089">
        <v>15510</v>
      </c>
      <c r="G443" s="1086">
        <v>1.6964999999999999</v>
      </c>
      <c r="H443" s="1088">
        <v>0.14096238999999999</v>
      </c>
      <c r="I443" s="1088">
        <v>3.2765999999999998E-5</v>
      </c>
      <c r="J443" s="1089">
        <v>5.9536999999999995</v>
      </c>
    </row>
    <row r="444" spans="2:10" x14ac:dyDescent="0.25">
      <c r="B444" s="1086" t="s">
        <v>701</v>
      </c>
      <c r="C444" s="1087">
        <v>2080</v>
      </c>
      <c r="D444" s="1086">
        <v>1022000</v>
      </c>
      <c r="E444" s="1088">
        <v>1021000</v>
      </c>
      <c r="F444" s="1089">
        <v>15510</v>
      </c>
      <c r="G444" s="1086">
        <v>1.6964999999999999</v>
      </c>
      <c r="H444" s="1088">
        <v>0.14096238999999999</v>
      </c>
      <c r="I444" s="1088">
        <v>3.2765999999999998E-5</v>
      </c>
      <c r="J444" s="1089">
        <v>5.9536999999999995</v>
      </c>
    </row>
    <row r="445" spans="2:10" x14ac:dyDescent="0.25">
      <c r="B445" s="1086" t="s">
        <v>702</v>
      </c>
      <c r="C445" s="1087">
        <v>2080</v>
      </c>
      <c r="D445" s="1086">
        <v>1022000</v>
      </c>
      <c r="E445" s="1088">
        <v>1021000</v>
      </c>
      <c r="F445" s="1089">
        <v>15510</v>
      </c>
      <c r="G445" s="1086">
        <v>1.6964999999999999</v>
      </c>
      <c r="H445" s="1088">
        <v>0.14096238999999999</v>
      </c>
      <c r="I445" s="1088">
        <v>3.2765999999999998E-5</v>
      </c>
      <c r="J445" s="1089">
        <v>5.9536999999999995</v>
      </c>
    </row>
    <row r="446" spans="2:10" x14ac:dyDescent="0.25">
      <c r="B446" s="1086" t="s">
        <v>891</v>
      </c>
      <c r="C446" s="1087">
        <v>2080</v>
      </c>
      <c r="D446" s="1086">
        <v>1209000</v>
      </c>
      <c r="E446" s="1088">
        <v>1202000</v>
      </c>
      <c r="F446" s="1089">
        <v>1052000</v>
      </c>
      <c r="G446" s="1086">
        <v>17.969000000000001</v>
      </c>
      <c r="H446" s="1088">
        <v>0.164128</v>
      </c>
      <c r="I446" s="1088">
        <v>2.9025999999999998E-4</v>
      </c>
      <c r="J446" s="1089">
        <v>22.988</v>
      </c>
    </row>
    <row r="447" spans="2:10" x14ac:dyDescent="0.25">
      <c r="B447" s="1086" t="s">
        <v>889</v>
      </c>
      <c r="C447" s="1087">
        <v>2080</v>
      </c>
      <c r="D447" s="1086">
        <v>1585000</v>
      </c>
      <c r="E447" s="1088">
        <v>696300</v>
      </c>
      <c r="F447" s="1089">
        <v>286000</v>
      </c>
      <c r="G447" s="1086">
        <v>38.049999999999997</v>
      </c>
      <c r="H447" s="1088">
        <v>0.1118</v>
      </c>
      <c r="I447" s="1088">
        <v>2.5350000000000001E-2</v>
      </c>
      <c r="J447" s="1089">
        <v>45.19</v>
      </c>
    </row>
    <row r="448" spans="2:10" x14ac:dyDescent="0.25">
      <c r="B448" s="1086" t="s">
        <v>892</v>
      </c>
      <c r="C448" s="1087">
        <v>2080</v>
      </c>
      <c r="D448" s="1086">
        <v>1249000</v>
      </c>
      <c r="E448" s="1088">
        <v>1242000</v>
      </c>
      <c r="F448" s="1089">
        <v>1078000</v>
      </c>
      <c r="G448" s="1086">
        <v>23.84</v>
      </c>
      <c r="H448" s="1088">
        <v>0.16985799999999998</v>
      </c>
      <c r="I448" s="1088">
        <v>3.7813000000000001E-4</v>
      </c>
      <c r="J448" s="1089">
        <v>29.157000000000004</v>
      </c>
    </row>
    <row r="449" spans="2:10" x14ac:dyDescent="0.25">
      <c r="B449" s="1086" t="s">
        <v>1054</v>
      </c>
      <c r="C449" s="1087">
        <v>2080</v>
      </c>
      <c r="D449" s="1086">
        <v>1190000</v>
      </c>
      <c r="E449" s="1088">
        <v>51590</v>
      </c>
      <c r="F449" s="1089">
        <v>29220</v>
      </c>
      <c r="G449" s="1086">
        <v>3.7582</v>
      </c>
      <c r="H449" s="1088">
        <v>8.4366999999999984E-3</v>
      </c>
      <c r="I449" s="1088">
        <v>-3.8261190000000002E-3</v>
      </c>
      <c r="J449" s="1089">
        <v>3.0054000000000003</v>
      </c>
    </row>
    <row r="450" spans="2:10" x14ac:dyDescent="0.25">
      <c r="B450" s="1086" t="s">
        <v>800</v>
      </c>
      <c r="C450" s="1087">
        <v>2080</v>
      </c>
      <c r="D450" s="1086">
        <v>1190000</v>
      </c>
      <c r="E450" s="1088">
        <v>51590</v>
      </c>
      <c r="F450" s="1089">
        <v>29220</v>
      </c>
      <c r="G450" s="1086">
        <v>3.7582</v>
      </c>
      <c r="H450" s="1088">
        <v>8.4366999999999984E-3</v>
      </c>
      <c r="I450" s="1088">
        <v>-3.8261190000000002E-3</v>
      </c>
      <c r="J450" s="1089">
        <v>3.0054000000000003</v>
      </c>
    </row>
    <row r="451" spans="2:10" x14ac:dyDescent="0.25">
      <c r="B451" s="1086" t="s">
        <v>806</v>
      </c>
      <c r="C451" s="1087">
        <v>2080</v>
      </c>
      <c r="D451" s="1086">
        <v>1190000</v>
      </c>
      <c r="E451" s="1088">
        <v>51590</v>
      </c>
      <c r="F451" s="1089">
        <v>29220</v>
      </c>
      <c r="G451" s="1086">
        <v>3.7582</v>
      </c>
      <c r="H451" s="1088">
        <v>8.4366999999999984E-3</v>
      </c>
      <c r="I451" s="1088">
        <v>-3.8261190000000002E-3</v>
      </c>
      <c r="J451" s="1089">
        <v>3.0054000000000003</v>
      </c>
    </row>
    <row r="452" spans="2:10" ht="13.8" thickBot="1" x14ac:dyDescent="0.3">
      <c r="B452" s="1090" t="s">
        <v>1061</v>
      </c>
      <c r="C452" s="1091">
        <v>2080</v>
      </c>
      <c r="D452" s="1090">
        <v>1384000</v>
      </c>
      <c r="E452" s="1092">
        <v>1383000</v>
      </c>
      <c r="F452" s="1093">
        <v>5034</v>
      </c>
      <c r="G452" s="1090">
        <v>78.571100000000001</v>
      </c>
      <c r="H452" s="1092">
        <v>0.27494000000000002</v>
      </c>
      <c r="I452" s="1092">
        <v>2.3304000000000003E-3</v>
      </c>
      <c r="J452" s="1093">
        <v>87.594300000000004</v>
      </c>
    </row>
    <row r="453" spans="2:10" x14ac:dyDescent="0.25">
      <c r="B453" s="1082" t="s">
        <v>1058</v>
      </c>
      <c r="C453" s="1083">
        <v>2085</v>
      </c>
      <c r="D453" s="1082">
        <v>1092000</v>
      </c>
      <c r="E453" s="1084">
        <v>1092000</v>
      </c>
      <c r="F453" s="1085">
        <v>3971</v>
      </c>
      <c r="G453" s="1082">
        <v>5.7390999999999996</v>
      </c>
      <c r="H453" s="1084">
        <v>0.18462200000000001</v>
      </c>
      <c r="I453" s="1084">
        <v>8.61E-4</v>
      </c>
      <c r="J453" s="1085">
        <v>11.5648</v>
      </c>
    </row>
    <row r="454" spans="2:10" x14ac:dyDescent="0.25">
      <c r="B454" s="1086" t="s">
        <v>280</v>
      </c>
      <c r="C454" s="1087">
        <v>2085</v>
      </c>
      <c r="D454" s="1086">
        <v>1092000</v>
      </c>
      <c r="E454" s="1088">
        <v>1092000</v>
      </c>
      <c r="F454" s="1089">
        <v>3971</v>
      </c>
      <c r="G454" s="1086">
        <v>5.7390999999999996</v>
      </c>
      <c r="H454" s="1088">
        <v>0.18462200000000001</v>
      </c>
      <c r="I454" s="1088">
        <v>8.61E-4</v>
      </c>
      <c r="J454" s="1089">
        <v>11.5648</v>
      </c>
    </row>
    <row r="455" spans="2:10" x14ac:dyDescent="0.25">
      <c r="B455" s="1086" t="s">
        <v>1059</v>
      </c>
      <c r="C455" s="1087">
        <v>2085</v>
      </c>
      <c r="D455" s="1086">
        <v>1092000</v>
      </c>
      <c r="E455" s="1088">
        <v>1092000</v>
      </c>
      <c r="F455" s="1089">
        <v>3971</v>
      </c>
      <c r="G455" s="1086">
        <v>5.7390999999999996</v>
      </c>
      <c r="H455" s="1088">
        <v>0.18462200000000001</v>
      </c>
      <c r="I455" s="1088">
        <v>8.61E-4</v>
      </c>
      <c r="J455" s="1089">
        <v>11.5648</v>
      </c>
    </row>
    <row r="456" spans="2:10" x14ac:dyDescent="0.25">
      <c r="B456" s="1086" t="s">
        <v>666</v>
      </c>
      <c r="C456" s="1087">
        <v>2085</v>
      </c>
      <c r="D456" s="1086">
        <v>1092000</v>
      </c>
      <c r="E456" s="1088">
        <v>1092000</v>
      </c>
      <c r="F456" s="1089">
        <v>3971</v>
      </c>
      <c r="G456" s="1086">
        <v>5.7390999999999996</v>
      </c>
      <c r="H456" s="1088">
        <v>0.18462200000000001</v>
      </c>
      <c r="I456" s="1088">
        <v>8.61E-4</v>
      </c>
      <c r="J456" s="1089">
        <v>11.5648</v>
      </c>
    </row>
    <row r="457" spans="2:10" x14ac:dyDescent="0.25">
      <c r="B457" s="1086" t="s">
        <v>667</v>
      </c>
      <c r="C457" s="1087">
        <v>2085</v>
      </c>
      <c r="D457" s="1086">
        <v>-1185000</v>
      </c>
      <c r="E457" s="1088">
        <v>0</v>
      </c>
      <c r="F457" s="1089">
        <v>0</v>
      </c>
      <c r="G457" s="1086">
        <v>-85.800000000000011</v>
      </c>
      <c r="H457" s="1088">
        <v>0.54700000000000004</v>
      </c>
      <c r="I457" s="1088">
        <v>-1.8286999999999999E-3</v>
      </c>
      <c r="J457" s="1089">
        <v>-70.08</v>
      </c>
    </row>
    <row r="458" spans="2:10" x14ac:dyDescent="0.25">
      <c r="B458" s="1086" t="s">
        <v>668</v>
      </c>
      <c r="C458" s="1087">
        <v>2085</v>
      </c>
      <c r="D458" s="1086">
        <v>1721000</v>
      </c>
      <c r="E458" s="1088">
        <v>1293000</v>
      </c>
      <c r="F458" s="1089">
        <v>15050</v>
      </c>
      <c r="G458" s="1086">
        <v>125.08</v>
      </c>
      <c r="H458" s="1088">
        <v>0.20477100000000001</v>
      </c>
      <c r="I458" s="1088">
        <v>1.7827000000000001E-3</v>
      </c>
      <c r="J458" s="1089">
        <v>129.82</v>
      </c>
    </row>
    <row r="459" spans="2:10" x14ac:dyDescent="0.25">
      <c r="B459" s="1086" t="s">
        <v>683</v>
      </c>
      <c r="C459" s="1087">
        <v>2085</v>
      </c>
      <c r="D459" s="1086">
        <v>1721000</v>
      </c>
      <c r="E459" s="1088">
        <v>1293000</v>
      </c>
      <c r="F459" s="1089">
        <v>15050</v>
      </c>
      <c r="G459" s="1086">
        <v>125.08</v>
      </c>
      <c r="H459" s="1088">
        <v>0.20477100000000001</v>
      </c>
      <c r="I459" s="1088">
        <v>1.7827000000000001E-3</v>
      </c>
      <c r="J459" s="1089">
        <v>129.82</v>
      </c>
    </row>
    <row r="460" spans="2:10" x14ac:dyDescent="0.25">
      <c r="B460" s="1086" t="s">
        <v>669</v>
      </c>
      <c r="C460" s="1087">
        <v>2085</v>
      </c>
      <c r="D460" s="1086">
        <v>1721000</v>
      </c>
      <c r="E460" s="1088">
        <v>1293000</v>
      </c>
      <c r="F460" s="1089">
        <v>15050</v>
      </c>
      <c r="G460" s="1086">
        <v>125.08</v>
      </c>
      <c r="H460" s="1088">
        <v>0.20477100000000001</v>
      </c>
      <c r="I460" s="1088">
        <v>1.7827000000000001E-3</v>
      </c>
      <c r="J460" s="1089">
        <v>129.82</v>
      </c>
    </row>
    <row r="461" spans="2:10" x14ac:dyDescent="0.25">
      <c r="B461" s="1086" t="s">
        <v>1060</v>
      </c>
      <c r="C461" s="1087">
        <v>2085</v>
      </c>
      <c r="D461" s="1086">
        <v>1022000</v>
      </c>
      <c r="E461" s="1088">
        <v>1021000</v>
      </c>
      <c r="F461" s="1089">
        <v>15510</v>
      </c>
      <c r="G461" s="1086">
        <v>1.6964999999999999</v>
      </c>
      <c r="H461" s="1088">
        <v>0.14096238999999999</v>
      </c>
      <c r="I461" s="1088">
        <v>3.2765999999999998E-5</v>
      </c>
      <c r="J461" s="1089">
        <v>5.9536999999999995</v>
      </c>
    </row>
    <row r="462" spans="2:10" x14ac:dyDescent="0.25">
      <c r="B462" s="1086" t="s">
        <v>701</v>
      </c>
      <c r="C462" s="1087">
        <v>2085</v>
      </c>
      <c r="D462" s="1086">
        <v>1022000</v>
      </c>
      <c r="E462" s="1088">
        <v>1021000</v>
      </c>
      <c r="F462" s="1089">
        <v>15510</v>
      </c>
      <c r="G462" s="1086">
        <v>1.6964999999999999</v>
      </c>
      <c r="H462" s="1088">
        <v>0.14096238999999999</v>
      </c>
      <c r="I462" s="1088">
        <v>3.2765999999999998E-5</v>
      </c>
      <c r="J462" s="1089">
        <v>5.9536999999999995</v>
      </c>
    </row>
    <row r="463" spans="2:10" x14ac:dyDescent="0.25">
      <c r="B463" s="1086" t="s">
        <v>702</v>
      </c>
      <c r="C463" s="1087">
        <v>2085</v>
      </c>
      <c r="D463" s="1086">
        <v>1022000</v>
      </c>
      <c r="E463" s="1088">
        <v>1021000</v>
      </c>
      <c r="F463" s="1089">
        <v>15510</v>
      </c>
      <c r="G463" s="1086">
        <v>1.6964999999999999</v>
      </c>
      <c r="H463" s="1088">
        <v>0.14096238999999999</v>
      </c>
      <c r="I463" s="1088">
        <v>3.2765999999999998E-5</v>
      </c>
      <c r="J463" s="1089">
        <v>5.9536999999999995</v>
      </c>
    </row>
    <row r="464" spans="2:10" x14ac:dyDescent="0.25">
      <c r="B464" s="1086" t="s">
        <v>891</v>
      </c>
      <c r="C464" s="1087">
        <v>2085</v>
      </c>
      <c r="D464" s="1086">
        <v>1209000</v>
      </c>
      <c r="E464" s="1088">
        <v>1202000</v>
      </c>
      <c r="F464" s="1089">
        <v>1052000</v>
      </c>
      <c r="G464" s="1086">
        <v>17.969000000000001</v>
      </c>
      <c r="H464" s="1088">
        <v>0.164128</v>
      </c>
      <c r="I464" s="1088">
        <v>2.9025999999999998E-4</v>
      </c>
      <c r="J464" s="1089">
        <v>22.988</v>
      </c>
    </row>
    <row r="465" spans="2:10" x14ac:dyDescent="0.25">
      <c r="B465" s="1086" t="s">
        <v>889</v>
      </c>
      <c r="C465" s="1087">
        <v>2085</v>
      </c>
      <c r="D465" s="1086">
        <v>1585000</v>
      </c>
      <c r="E465" s="1088">
        <v>696300</v>
      </c>
      <c r="F465" s="1089">
        <v>286000</v>
      </c>
      <c r="G465" s="1086">
        <v>38.049999999999997</v>
      </c>
      <c r="H465" s="1088">
        <v>0.1118</v>
      </c>
      <c r="I465" s="1088">
        <v>2.5350000000000001E-2</v>
      </c>
      <c r="J465" s="1089">
        <v>45.19</v>
      </c>
    </row>
    <row r="466" spans="2:10" x14ac:dyDescent="0.25">
      <c r="B466" s="1086" t="s">
        <v>892</v>
      </c>
      <c r="C466" s="1087">
        <v>2085</v>
      </c>
      <c r="D466" s="1086">
        <v>1249000</v>
      </c>
      <c r="E466" s="1088">
        <v>1242000</v>
      </c>
      <c r="F466" s="1089">
        <v>1078000</v>
      </c>
      <c r="G466" s="1086">
        <v>23.84</v>
      </c>
      <c r="H466" s="1088">
        <v>0.16985799999999998</v>
      </c>
      <c r="I466" s="1088">
        <v>3.7813000000000001E-4</v>
      </c>
      <c r="J466" s="1089">
        <v>29.157000000000004</v>
      </c>
    </row>
    <row r="467" spans="2:10" x14ac:dyDescent="0.25">
      <c r="B467" s="1086" t="s">
        <v>1054</v>
      </c>
      <c r="C467" s="1087">
        <v>2085</v>
      </c>
      <c r="D467" s="1086">
        <v>1190000</v>
      </c>
      <c r="E467" s="1088">
        <v>51590</v>
      </c>
      <c r="F467" s="1089">
        <v>29220</v>
      </c>
      <c r="G467" s="1086">
        <v>3.7582</v>
      </c>
      <c r="H467" s="1088">
        <v>8.4366999999999984E-3</v>
      </c>
      <c r="I467" s="1088">
        <v>-3.8261190000000002E-3</v>
      </c>
      <c r="J467" s="1089">
        <v>3.0054000000000003</v>
      </c>
    </row>
    <row r="468" spans="2:10" x14ac:dyDescent="0.25">
      <c r="B468" s="1086" t="s">
        <v>800</v>
      </c>
      <c r="C468" s="1087">
        <v>2085</v>
      </c>
      <c r="D468" s="1086">
        <v>1190000</v>
      </c>
      <c r="E468" s="1088">
        <v>51590</v>
      </c>
      <c r="F468" s="1089">
        <v>29220</v>
      </c>
      <c r="G468" s="1086">
        <v>3.7582</v>
      </c>
      <c r="H468" s="1088">
        <v>8.4366999999999984E-3</v>
      </c>
      <c r="I468" s="1088">
        <v>-3.8261190000000002E-3</v>
      </c>
      <c r="J468" s="1089">
        <v>3.0054000000000003</v>
      </c>
    </row>
    <row r="469" spans="2:10" x14ac:dyDescent="0.25">
      <c r="B469" s="1086" t="s">
        <v>806</v>
      </c>
      <c r="C469" s="1087">
        <v>2085</v>
      </c>
      <c r="D469" s="1086">
        <v>1190000</v>
      </c>
      <c r="E469" s="1088">
        <v>51590</v>
      </c>
      <c r="F469" s="1089">
        <v>29220</v>
      </c>
      <c r="G469" s="1086">
        <v>3.7582</v>
      </c>
      <c r="H469" s="1088">
        <v>8.4366999999999984E-3</v>
      </c>
      <c r="I469" s="1088">
        <v>-3.8261190000000002E-3</v>
      </c>
      <c r="J469" s="1089">
        <v>3.0054000000000003</v>
      </c>
    </row>
    <row r="470" spans="2:10" ht="13.8" thickBot="1" x14ac:dyDescent="0.3">
      <c r="B470" s="1090" t="s">
        <v>1061</v>
      </c>
      <c r="C470" s="1091">
        <v>2085</v>
      </c>
      <c r="D470" s="1090">
        <v>1384000</v>
      </c>
      <c r="E470" s="1092">
        <v>1383000</v>
      </c>
      <c r="F470" s="1093">
        <v>5034</v>
      </c>
      <c r="G470" s="1090">
        <v>78.571100000000001</v>
      </c>
      <c r="H470" s="1092">
        <v>0.27494000000000002</v>
      </c>
      <c r="I470" s="1092">
        <v>2.3304000000000003E-3</v>
      </c>
      <c r="J470" s="1093">
        <v>87.594300000000004</v>
      </c>
    </row>
    <row r="471" spans="2:10" x14ac:dyDescent="0.25">
      <c r="B471" s="1082" t="s">
        <v>1058</v>
      </c>
      <c r="C471" s="1083">
        <v>2090</v>
      </c>
      <c r="D471" s="1082">
        <v>1092000</v>
      </c>
      <c r="E471" s="1084">
        <v>1092000</v>
      </c>
      <c r="F471" s="1085">
        <v>3971</v>
      </c>
      <c r="G471" s="1082">
        <v>5.7390999999999996</v>
      </c>
      <c r="H471" s="1084">
        <v>0.18462200000000001</v>
      </c>
      <c r="I471" s="1084">
        <v>8.61E-4</v>
      </c>
      <c r="J471" s="1085">
        <v>11.5648</v>
      </c>
    </row>
    <row r="472" spans="2:10" x14ac:dyDescent="0.25">
      <c r="B472" s="1086" t="s">
        <v>280</v>
      </c>
      <c r="C472" s="1087">
        <v>2090</v>
      </c>
      <c r="D472" s="1086">
        <v>1092000</v>
      </c>
      <c r="E472" s="1088">
        <v>1092000</v>
      </c>
      <c r="F472" s="1089">
        <v>3971</v>
      </c>
      <c r="G472" s="1086">
        <v>5.7390999999999996</v>
      </c>
      <c r="H472" s="1088">
        <v>0.18462200000000001</v>
      </c>
      <c r="I472" s="1088">
        <v>8.61E-4</v>
      </c>
      <c r="J472" s="1089">
        <v>11.5648</v>
      </c>
    </row>
    <row r="473" spans="2:10" x14ac:dyDescent="0.25">
      <c r="B473" s="1086" t="s">
        <v>1059</v>
      </c>
      <c r="C473" s="1087">
        <v>2090</v>
      </c>
      <c r="D473" s="1086">
        <v>1092000</v>
      </c>
      <c r="E473" s="1088">
        <v>1092000</v>
      </c>
      <c r="F473" s="1089">
        <v>3971</v>
      </c>
      <c r="G473" s="1086">
        <v>5.7390999999999996</v>
      </c>
      <c r="H473" s="1088">
        <v>0.18462200000000001</v>
      </c>
      <c r="I473" s="1088">
        <v>8.61E-4</v>
      </c>
      <c r="J473" s="1089">
        <v>11.5648</v>
      </c>
    </row>
    <row r="474" spans="2:10" x14ac:dyDescent="0.25">
      <c r="B474" s="1086" t="s">
        <v>666</v>
      </c>
      <c r="C474" s="1087">
        <v>2090</v>
      </c>
      <c r="D474" s="1086">
        <v>1092000</v>
      </c>
      <c r="E474" s="1088">
        <v>1092000</v>
      </c>
      <c r="F474" s="1089">
        <v>3971</v>
      </c>
      <c r="G474" s="1086">
        <v>5.7390999999999996</v>
      </c>
      <c r="H474" s="1088">
        <v>0.18462200000000001</v>
      </c>
      <c r="I474" s="1088">
        <v>8.61E-4</v>
      </c>
      <c r="J474" s="1089">
        <v>11.5648</v>
      </c>
    </row>
    <row r="475" spans="2:10" x14ac:dyDescent="0.25">
      <c r="B475" s="1086" t="s">
        <v>667</v>
      </c>
      <c r="C475" s="1087">
        <v>2090</v>
      </c>
      <c r="D475" s="1086">
        <v>-1185000</v>
      </c>
      <c r="E475" s="1088">
        <v>0</v>
      </c>
      <c r="F475" s="1089">
        <v>0</v>
      </c>
      <c r="G475" s="1086">
        <v>-85.800000000000011</v>
      </c>
      <c r="H475" s="1088">
        <v>0.54700000000000004</v>
      </c>
      <c r="I475" s="1088">
        <v>-1.8286999999999999E-3</v>
      </c>
      <c r="J475" s="1089">
        <v>-70.08</v>
      </c>
    </row>
    <row r="476" spans="2:10" x14ac:dyDescent="0.25">
      <c r="B476" s="1086" t="s">
        <v>668</v>
      </c>
      <c r="C476" s="1087">
        <v>2090</v>
      </c>
      <c r="D476" s="1086">
        <v>1721000</v>
      </c>
      <c r="E476" s="1088">
        <v>1293000</v>
      </c>
      <c r="F476" s="1089">
        <v>15050</v>
      </c>
      <c r="G476" s="1086">
        <v>125.08</v>
      </c>
      <c r="H476" s="1088">
        <v>0.20477100000000001</v>
      </c>
      <c r="I476" s="1088">
        <v>1.7827000000000001E-3</v>
      </c>
      <c r="J476" s="1089">
        <v>129.82</v>
      </c>
    </row>
    <row r="477" spans="2:10" x14ac:dyDescent="0.25">
      <c r="B477" s="1086" t="s">
        <v>683</v>
      </c>
      <c r="C477" s="1087">
        <v>2090</v>
      </c>
      <c r="D477" s="1086">
        <v>1721000</v>
      </c>
      <c r="E477" s="1088">
        <v>1293000</v>
      </c>
      <c r="F477" s="1089">
        <v>15050</v>
      </c>
      <c r="G477" s="1086">
        <v>125.08</v>
      </c>
      <c r="H477" s="1088">
        <v>0.20477100000000001</v>
      </c>
      <c r="I477" s="1088">
        <v>1.7827000000000001E-3</v>
      </c>
      <c r="J477" s="1089">
        <v>129.82</v>
      </c>
    </row>
    <row r="478" spans="2:10" x14ac:dyDescent="0.25">
      <c r="B478" s="1086" t="s">
        <v>669</v>
      </c>
      <c r="C478" s="1087">
        <v>2090</v>
      </c>
      <c r="D478" s="1086">
        <v>1721000</v>
      </c>
      <c r="E478" s="1088">
        <v>1293000</v>
      </c>
      <c r="F478" s="1089">
        <v>15050</v>
      </c>
      <c r="G478" s="1086">
        <v>125.08</v>
      </c>
      <c r="H478" s="1088">
        <v>0.20477100000000001</v>
      </c>
      <c r="I478" s="1088">
        <v>1.7827000000000001E-3</v>
      </c>
      <c r="J478" s="1089">
        <v>129.82</v>
      </c>
    </row>
    <row r="479" spans="2:10" x14ac:dyDescent="0.25">
      <c r="B479" s="1086" t="s">
        <v>1060</v>
      </c>
      <c r="C479" s="1087">
        <v>2090</v>
      </c>
      <c r="D479" s="1086">
        <v>1022000</v>
      </c>
      <c r="E479" s="1088">
        <v>1021000</v>
      </c>
      <c r="F479" s="1089">
        <v>15510</v>
      </c>
      <c r="G479" s="1086">
        <v>1.6964999999999999</v>
      </c>
      <c r="H479" s="1088">
        <v>0.14096238999999999</v>
      </c>
      <c r="I479" s="1088">
        <v>3.2765999999999998E-5</v>
      </c>
      <c r="J479" s="1089">
        <v>5.9536999999999995</v>
      </c>
    </row>
    <row r="480" spans="2:10" x14ac:dyDescent="0.25">
      <c r="B480" s="1086" t="s">
        <v>701</v>
      </c>
      <c r="C480" s="1087">
        <v>2090</v>
      </c>
      <c r="D480" s="1086">
        <v>1022000</v>
      </c>
      <c r="E480" s="1088">
        <v>1021000</v>
      </c>
      <c r="F480" s="1089">
        <v>15510</v>
      </c>
      <c r="G480" s="1086">
        <v>1.6964999999999999</v>
      </c>
      <c r="H480" s="1088">
        <v>0.14096238999999999</v>
      </c>
      <c r="I480" s="1088">
        <v>3.2765999999999998E-5</v>
      </c>
      <c r="J480" s="1089">
        <v>5.9536999999999995</v>
      </c>
    </row>
    <row r="481" spans="2:10" x14ac:dyDescent="0.25">
      <c r="B481" s="1086" t="s">
        <v>702</v>
      </c>
      <c r="C481" s="1087">
        <v>2090</v>
      </c>
      <c r="D481" s="1086">
        <v>1022000</v>
      </c>
      <c r="E481" s="1088">
        <v>1021000</v>
      </c>
      <c r="F481" s="1089">
        <v>15510</v>
      </c>
      <c r="G481" s="1086">
        <v>1.6964999999999999</v>
      </c>
      <c r="H481" s="1088">
        <v>0.14096238999999999</v>
      </c>
      <c r="I481" s="1088">
        <v>3.2765999999999998E-5</v>
      </c>
      <c r="J481" s="1089">
        <v>5.9536999999999995</v>
      </c>
    </row>
    <row r="482" spans="2:10" x14ac:dyDescent="0.25">
      <c r="B482" s="1086" t="s">
        <v>891</v>
      </c>
      <c r="C482" s="1087">
        <v>2090</v>
      </c>
      <c r="D482" s="1086">
        <v>1209000</v>
      </c>
      <c r="E482" s="1088">
        <v>1202000</v>
      </c>
      <c r="F482" s="1089">
        <v>1052000</v>
      </c>
      <c r="G482" s="1086">
        <v>17.969000000000001</v>
      </c>
      <c r="H482" s="1088">
        <v>0.164128</v>
      </c>
      <c r="I482" s="1088">
        <v>2.9025999999999998E-4</v>
      </c>
      <c r="J482" s="1089">
        <v>22.988</v>
      </c>
    </row>
    <row r="483" spans="2:10" x14ac:dyDescent="0.25">
      <c r="B483" s="1086" t="s">
        <v>889</v>
      </c>
      <c r="C483" s="1087">
        <v>2090</v>
      </c>
      <c r="D483" s="1086">
        <v>1585000</v>
      </c>
      <c r="E483" s="1088">
        <v>696300</v>
      </c>
      <c r="F483" s="1089">
        <v>286000</v>
      </c>
      <c r="G483" s="1086">
        <v>38.049999999999997</v>
      </c>
      <c r="H483" s="1088">
        <v>0.1118</v>
      </c>
      <c r="I483" s="1088">
        <v>2.5350000000000001E-2</v>
      </c>
      <c r="J483" s="1089">
        <v>45.19</v>
      </c>
    </row>
    <row r="484" spans="2:10" x14ac:dyDescent="0.25">
      <c r="B484" s="1086" t="s">
        <v>892</v>
      </c>
      <c r="C484" s="1087">
        <v>2090</v>
      </c>
      <c r="D484" s="1086">
        <v>1249000</v>
      </c>
      <c r="E484" s="1088">
        <v>1242000</v>
      </c>
      <c r="F484" s="1089">
        <v>1078000</v>
      </c>
      <c r="G484" s="1086">
        <v>23.84</v>
      </c>
      <c r="H484" s="1088">
        <v>0.16985799999999998</v>
      </c>
      <c r="I484" s="1088">
        <v>3.7813000000000001E-4</v>
      </c>
      <c r="J484" s="1089">
        <v>29.157000000000004</v>
      </c>
    </row>
    <row r="485" spans="2:10" x14ac:dyDescent="0.25">
      <c r="B485" s="1086" t="s">
        <v>1054</v>
      </c>
      <c r="C485" s="1087">
        <v>2090</v>
      </c>
      <c r="D485" s="1086">
        <v>1190000</v>
      </c>
      <c r="E485" s="1088">
        <v>51590</v>
      </c>
      <c r="F485" s="1089">
        <v>29220</v>
      </c>
      <c r="G485" s="1086">
        <v>3.7582</v>
      </c>
      <c r="H485" s="1088">
        <v>8.4366999999999984E-3</v>
      </c>
      <c r="I485" s="1088">
        <v>-3.8261190000000002E-3</v>
      </c>
      <c r="J485" s="1089">
        <v>3.0054000000000003</v>
      </c>
    </row>
    <row r="486" spans="2:10" x14ac:dyDescent="0.25">
      <c r="B486" s="1086" t="s">
        <v>800</v>
      </c>
      <c r="C486" s="1087">
        <v>2090</v>
      </c>
      <c r="D486" s="1086">
        <v>1190000</v>
      </c>
      <c r="E486" s="1088">
        <v>51590</v>
      </c>
      <c r="F486" s="1089">
        <v>29220</v>
      </c>
      <c r="G486" s="1086">
        <v>3.7582</v>
      </c>
      <c r="H486" s="1088">
        <v>8.4366999999999984E-3</v>
      </c>
      <c r="I486" s="1088">
        <v>-3.8261190000000002E-3</v>
      </c>
      <c r="J486" s="1089">
        <v>3.0054000000000003</v>
      </c>
    </row>
    <row r="487" spans="2:10" x14ac:dyDescent="0.25">
      <c r="B487" s="1086" t="s">
        <v>806</v>
      </c>
      <c r="C487" s="1087">
        <v>2090</v>
      </c>
      <c r="D487" s="1086">
        <v>1190000</v>
      </c>
      <c r="E487" s="1088">
        <v>51590</v>
      </c>
      <c r="F487" s="1089">
        <v>29220</v>
      </c>
      <c r="G487" s="1086">
        <v>3.7582</v>
      </c>
      <c r="H487" s="1088">
        <v>8.4366999999999984E-3</v>
      </c>
      <c r="I487" s="1088">
        <v>-3.8261190000000002E-3</v>
      </c>
      <c r="J487" s="1089">
        <v>3.0054000000000003</v>
      </c>
    </row>
    <row r="488" spans="2:10" ht="13.8" thickBot="1" x14ac:dyDescent="0.3">
      <c r="B488" s="1090" t="s">
        <v>1061</v>
      </c>
      <c r="C488" s="1091">
        <v>2090</v>
      </c>
      <c r="D488" s="1090">
        <v>1384000</v>
      </c>
      <c r="E488" s="1092">
        <v>1383000</v>
      </c>
      <c r="F488" s="1093">
        <v>5034</v>
      </c>
      <c r="G488" s="1090">
        <v>78.571100000000001</v>
      </c>
      <c r="H488" s="1092">
        <v>0.27494000000000002</v>
      </c>
      <c r="I488" s="1092">
        <v>2.3304000000000003E-3</v>
      </c>
      <c r="J488" s="1093">
        <v>87.594300000000004</v>
      </c>
    </row>
    <row r="489" spans="2:10" x14ac:dyDescent="0.25">
      <c r="B489" s="1082" t="s">
        <v>1058</v>
      </c>
      <c r="C489" s="1083">
        <v>2095</v>
      </c>
      <c r="D489" s="1082">
        <v>1092000</v>
      </c>
      <c r="E489" s="1084">
        <v>1092000</v>
      </c>
      <c r="F489" s="1085">
        <v>3971</v>
      </c>
      <c r="G489" s="1082">
        <v>5.7390999999999996</v>
      </c>
      <c r="H489" s="1084">
        <v>0.18462200000000001</v>
      </c>
      <c r="I489" s="1084">
        <v>8.61E-4</v>
      </c>
      <c r="J489" s="1085">
        <v>11.5648</v>
      </c>
    </row>
    <row r="490" spans="2:10" x14ac:dyDescent="0.25">
      <c r="B490" s="1086" t="s">
        <v>280</v>
      </c>
      <c r="C490" s="1087">
        <v>2095</v>
      </c>
      <c r="D490" s="1086">
        <v>1092000</v>
      </c>
      <c r="E490" s="1088">
        <v>1092000</v>
      </c>
      <c r="F490" s="1089">
        <v>3971</v>
      </c>
      <c r="G490" s="1086">
        <v>5.7390999999999996</v>
      </c>
      <c r="H490" s="1088">
        <v>0.18462200000000001</v>
      </c>
      <c r="I490" s="1088">
        <v>8.61E-4</v>
      </c>
      <c r="J490" s="1089">
        <v>11.5648</v>
      </c>
    </row>
    <row r="491" spans="2:10" x14ac:dyDescent="0.25">
      <c r="B491" s="1086" t="s">
        <v>1059</v>
      </c>
      <c r="C491" s="1087">
        <v>2095</v>
      </c>
      <c r="D491" s="1086">
        <v>1092000</v>
      </c>
      <c r="E491" s="1088">
        <v>1092000</v>
      </c>
      <c r="F491" s="1089">
        <v>3971</v>
      </c>
      <c r="G491" s="1086">
        <v>5.7390999999999996</v>
      </c>
      <c r="H491" s="1088">
        <v>0.18462200000000001</v>
      </c>
      <c r="I491" s="1088">
        <v>8.61E-4</v>
      </c>
      <c r="J491" s="1089">
        <v>11.5648</v>
      </c>
    </row>
    <row r="492" spans="2:10" x14ac:dyDescent="0.25">
      <c r="B492" s="1086" t="s">
        <v>666</v>
      </c>
      <c r="C492" s="1087">
        <v>2095</v>
      </c>
      <c r="D492" s="1086">
        <v>1092000</v>
      </c>
      <c r="E492" s="1088">
        <v>1092000</v>
      </c>
      <c r="F492" s="1089">
        <v>3971</v>
      </c>
      <c r="G492" s="1086">
        <v>5.7390999999999996</v>
      </c>
      <c r="H492" s="1088">
        <v>0.18462200000000001</v>
      </c>
      <c r="I492" s="1088">
        <v>8.61E-4</v>
      </c>
      <c r="J492" s="1089">
        <v>11.5648</v>
      </c>
    </row>
    <row r="493" spans="2:10" x14ac:dyDescent="0.25">
      <c r="B493" s="1086" t="s">
        <v>667</v>
      </c>
      <c r="C493" s="1087">
        <v>2095</v>
      </c>
      <c r="D493" s="1086">
        <v>-1185000</v>
      </c>
      <c r="E493" s="1088">
        <v>0</v>
      </c>
      <c r="F493" s="1089">
        <v>0</v>
      </c>
      <c r="G493" s="1086">
        <v>-85.800000000000011</v>
      </c>
      <c r="H493" s="1088">
        <v>0.54700000000000004</v>
      </c>
      <c r="I493" s="1088">
        <v>-1.8286999999999999E-3</v>
      </c>
      <c r="J493" s="1089">
        <v>-70.08</v>
      </c>
    </row>
    <row r="494" spans="2:10" x14ac:dyDescent="0.25">
      <c r="B494" s="1086" t="s">
        <v>668</v>
      </c>
      <c r="C494" s="1087">
        <v>2095</v>
      </c>
      <c r="D494" s="1086">
        <v>1721000</v>
      </c>
      <c r="E494" s="1088">
        <v>1293000</v>
      </c>
      <c r="F494" s="1089">
        <v>15050</v>
      </c>
      <c r="G494" s="1086">
        <v>125.08</v>
      </c>
      <c r="H494" s="1088">
        <v>0.20477100000000001</v>
      </c>
      <c r="I494" s="1088">
        <v>1.7827000000000001E-3</v>
      </c>
      <c r="J494" s="1089">
        <v>129.82</v>
      </c>
    </row>
    <row r="495" spans="2:10" x14ac:dyDescent="0.25">
      <c r="B495" s="1086" t="s">
        <v>683</v>
      </c>
      <c r="C495" s="1087">
        <v>2095</v>
      </c>
      <c r="D495" s="1086">
        <v>1721000</v>
      </c>
      <c r="E495" s="1088">
        <v>1293000</v>
      </c>
      <c r="F495" s="1089">
        <v>15050</v>
      </c>
      <c r="G495" s="1086">
        <v>125.08</v>
      </c>
      <c r="H495" s="1088">
        <v>0.20477100000000001</v>
      </c>
      <c r="I495" s="1088">
        <v>1.7827000000000001E-3</v>
      </c>
      <c r="J495" s="1089">
        <v>129.82</v>
      </c>
    </row>
    <row r="496" spans="2:10" x14ac:dyDescent="0.25">
      <c r="B496" s="1086" t="s">
        <v>669</v>
      </c>
      <c r="C496" s="1087">
        <v>2095</v>
      </c>
      <c r="D496" s="1086">
        <v>1721000</v>
      </c>
      <c r="E496" s="1088">
        <v>1293000</v>
      </c>
      <c r="F496" s="1089">
        <v>15050</v>
      </c>
      <c r="G496" s="1086">
        <v>125.08</v>
      </c>
      <c r="H496" s="1088">
        <v>0.20477100000000001</v>
      </c>
      <c r="I496" s="1088">
        <v>1.7827000000000001E-3</v>
      </c>
      <c r="J496" s="1089">
        <v>129.82</v>
      </c>
    </row>
    <row r="497" spans="2:10" x14ac:dyDescent="0.25">
      <c r="B497" s="1086" t="s">
        <v>1060</v>
      </c>
      <c r="C497" s="1087">
        <v>2095</v>
      </c>
      <c r="D497" s="1086">
        <v>1022000</v>
      </c>
      <c r="E497" s="1088">
        <v>1021000</v>
      </c>
      <c r="F497" s="1089">
        <v>15510</v>
      </c>
      <c r="G497" s="1086">
        <v>1.6964999999999999</v>
      </c>
      <c r="H497" s="1088">
        <v>0.14096238999999999</v>
      </c>
      <c r="I497" s="1088">
        <v>3.2765999999999998E-5</v>
      </c>
      <c r="J497" s="1089">
        <v>5.9536999999999995</v>
      </c>
    </row>
    <row r="498" spans="2:10" x14ac:dyDescent="0.25">
      <c r="B498" s="1086" t="s">
        <v>701</v>
      </c>
      <c r="C498" s="1087">
        <v>2095</v>
      </c>
      <c r="D498" s="1086">
        <v>1022000</v>
      </c>
      <c r="E498" s="1088">
        <v>1021000</v>
      </c>
      <c r="F498" s="1089">
        <v>15510</v>
      </c>
      <c r="G498" s="1086">
        <v>1.6964999999999999</v>
      </c>
      <c r="H498" s="1088">
        <v>0.14096238999999999</v>
      </c>
      <c r="I498" s="1088">
        <v>3.2765999999999998E-5</v>
      </c>
      <c r="J498" s="1089">
        <v>5.9536999999999995</v>
      </c>
    </row>
    <row r="499" spans="2:10" x14ac:dyDescent="0.25">
      <c r="B499" s="1086" t="s">
        <v>702</v>
      </c>
      <c r="C499" s="1087">
        <v>2095</v>
      </c>
      <c r="D499" s="1086">
        <v>1022000</v>
      </c>
      <c r="E499" s="1088">
        <v>1021000</v>
      </c>
      <c r="F499" s="1089">
        <v>15510</v>
      </c>
      <c r="G499" s="1086">
        <v>1.6964999999999999</v>
      </c>
      <c r="H499" s="1088">
        <v>0.14096238999999999</v>
      </c>
      <c r="I499" s="1088">
        <v>3.2765999999999998E-5</v>
      </c>
      <c r="J499" s="1089">
        <v>5.9536999999999995</v>
      </c>
    </row>
    <row r="500" spans="2:10" x14ac:dyDescent="0.25">
      <c r="B500" s="1086" t="s">
        <v>891</v>
      </c>
      <c r="C500" s="1087">
        <v>2095</v>
      </c>
      <c r="D500" s="1086">
        <v>1209000</v>
      </c>
      <c r="E500" s="1088">
        <v>1202000</v>
      </c>
      <c r="F500" s="1089">
        <v>1052000</v>
      </c>
      <c r="G500" s="1086">
        <v>17.969000000000001</v>
      </c>
      <c r="H500" s="1088">
        <v>0.164128</v>
      </c>
      <c r="I500" s="1088">
        <v>2.9025999999999998E-4</v>
      </c>
      <c r="J500" s="1089">
        <v>22.988</v>
      </c>
    </row>
    <row r="501" spans="2:10" x14ac:dyDescent="0.25">
      <c r="B501" s="1086" t="s">
        <v>889</v>
      </c>
      <c r="C501" s="1087">
        <v>2095</v>
      </c>
      <c r="D501" s="1086">
        <v>1585000</v>
      </c>
      <c r="E501" s="1088">
        <v>696300</v>
      </c>
      <c r="F501" s="1089">
        <v>286000</v>
      </c>
      <c r="G501" s="1086">
        <v>38.049999999999997</v>
      </c>
      <c r="H501" s="1088">
        <v>0.1118</v>
      </c>
      <c r="I501" s="1088">
        <v>2.5350000000000001E-2</v>
      </c>
      <c r="J501" s="1089">
        <v>45.19</v>
      </c>
    </row>
    <row r="502" spans="2:10" x14ac:dyDescent="0.25">
      <c r="B502" s="1086" t="s">
        <v>892</v>
      </c>
      <c r="C502" s="1087">
        <v>2095</v>
      </c>
      <c r="D502" s="1086">
        <v>1249000</v>
      </c>
      <c r="E502" s="1088">
        <v>1242000</v>
      </c>
      <c r="F502" s="1089">
        <v>1078000</v>
      </c>
      <c r="G502" s="1086">
        <v>23.84</v>
      </c>
      <c r="H502" s="1088">
        <v>0.16985799999999998</v>
      </c>
      <c r="I502" s="1088">
        <v>3.7813000000000001E-4</v>
      </c>
      <c r="J502" s="1089">
        <v>29.157000000000004</v>
      </c>
    </row>
    <row r="503" spans="2:10" x14ac:dyDescent="0.25">
      <c r="B503" s="1086" t="s">
        <v>1054</v>
      </c>
      <c r="C503" s="1087">
        <v>2095</v>
      </c>
      <c r="D503" s="1086">
        <v>1190000</v>
      </c>
      <c r="E503" s="1088">
        <v>51590</v>
      </c>
      <c r="F503" s="1089">
        <v>29220</v>
      </c>
      <c r="G503" s="1086">
        <v>3.7582</v>
      </c>
      <c r="H503" s="1088">
        <v>8.4366999999999984E-3</v>
      </c>
      <c r="I503" s="1088">
        <v>-3.8261190000000002E-3</v>
      </c>
      <c r="J503" s="1089">
        <v>3.0054000000000003</v>
      </c>
    </row>
    <row r="504" spans="2:10" x14ac:dyDescent="0.25">
      <c r="B504" s="1086" t="s">
        <v>800</v>
      </c>
      <c r="C504" s="1087">
        <v>2095</v>
      </c>
      <c r="D504" s="1086">
        <v>1190000</v>
      </c>
      <c r="E504" s="1088">
        <v>51590</v>
      </c>
      <c r="F504" s="1089">
        <v>29220</v>
      </c>
      <c r="G504" s="1086">
        <v>3.7582</v>
      </c>
      <c r="H504" s="1088">
        <v>8.4366999999999984E-3</v>
      </c>
      <c r="I504" s="1088">
        <v>-3.8261190000000002E-3</v>
      </c>
      <c r="J504" s="1089">
        <v>3.0054000000000003</v>
      </c>
    </row>
    <row r="505" spans="2:10" x14ac:dyDescent="0.25">
      <c r="B505" s="1086" t="s">
        <v>806</v>
      </c>
      <c r="C505" s="1087">
        <v>2095</v>
      </c>
      <c r="D505" s="1086">
        <v>1190000</v>
      </c>
      <c r="E505" s="1088">
        <v>51590</v>
      </c>
      <c r="F505" s="1089">
        <v>29220</v>
      </c>
      <c r="G505" s="1086">
        <v>3.7582</v>
      </c>
      <c r="H505" s="1088">
        <v>8.4366999999999984E-3</v>
      </c>
      <c r="I505" s="1088">
        <v>-3.8261190000000002E-3</v>
      </c>
      <c r="J505" s="1089">
        <v>3.0054000000000003</v>
      </c>
    </row>
    <row r="506" spans="2:10" ht="13.8" thickBot="1" x14ac:dyDescent="0.3">
      <c r="B506" s="1090" t="s">
        <v>1061</v>
      </c>
      <c r="C506" s="1091">
        <v>2095</v>
      </c>
      <c r="D506" s="1090">
        <v>1384000</v>
      </c>
      <c r="E506" s="1092">
        <v>1383000</v>
      </c>
      <c r="F506" s="1093">
        <v>5034</v>
      </c>
      <c r="G506" s="1090">
        <v>78.571100000000001</v>
      </c>
      <c r="H506" s="1092">
        <v>0.27494000000000002</v>
      </c>
      <c r="I506" s="1092">
        <v>2.3304000000000003E-3</v>
      </c>
      <c r="J506" s="1093">
        <v>87.594300000000004</v>
      </c>
    </row>
    <row r="507" spans="2:10" x14ac:dyDescent="0.25">
      <c r="B507" s="1082" t="s">
        <v>1058</v>
      </c>
      <c r="C507" s="1083">
        <v>2100</v>
      </c>
      <c r="D507" s="1082">
        <v>1092000</v>
      </c>
      <c r="E507" s="1084">
        <v>1092000</v>
      </c>
      <c r="F507" s="1085">
        <v>3971</v>
      </c>
      <c r="G507" s="1082">
        <v>5.7390999999999996</v>
      </c>
      <c r="H507" s="1084">
        <v>0.18462200000000001</v>
      </c>
      <c r="I507" s="1084">
        <v>8.61E-4</v>
      </c>
      <c r="J507" s="1085">
        <v>11.5648</v>
      </c>
    </row>
    <row r="508" spans="2:10" x14ac:dyDescent="0.25">
      <c r="B508" s="1086" t="s">
        <v>280</v>
      </c>
      <c r="C508" s="1087">
        <v>2100</v>
      </c>
      <c r="D508" s="1086">
        <v>1092000</v>
      </c>
      <c r="E508" s="1088">
        <v>1092000</v>
      </c>
      <c r="F508" s="1089">
        <v>3971</v>
      </c>
      <c r="G508" s="1086">
        <v>5.7390999999999996</v>
      </c>
      <c r="H508" s="1088">
        <v>0.18462200000000001</v>
      </c>
      <c r="I508" s="1088">
        <v>8.61E-4</v>
      </c>
      <c r="J508" s="1089">
        <v>11.5648</v>
      </c>
    </row>
    <row r="509" spans="2:10" x14ac:dyDescent="0.25">
      <c r="B509" s="1086" t="s">
        <v>1059</v>
      </c>
      <c r="C509" s="1087">
        <v>2100</v>
      </c>
      <c r="D509" s="1086">
        <v>1092000</v>
      </c>
      <c r="E509" s="1088">
        <v>1092000</v>
      </c>
      <c r="F509" s="1089">
        <v>3971</v>
      </c>
      <c r="G509" s="1086">
        <v>5.7390999999999996</v>
      </c>
      <c r="H509" s="1088">
        <v>0.18462200000000001</v>
      </c>
      <c r="I509" s="1088">
        <v>8.61E-4</v>
      </c>
      <c r="J509" s="1089">
        <v>11.5648</v>
      </c>
    </row>
    <row r="510" spans="2:10" x14ac:dyDescent="0.25">
      <c r="B510" s="1086" t="s">
        <v>666</v>
      </c>
      <c r="C510" s="1087">
        <v>2100</v>
      </c>
      <c r="D510" s="1086">
        <v>1092000</v>
      </c>
      <c r="E510" s="1088">
        <v>1092000</v>
      </c>
      <c r="F510" s="1089">
        <v>3971</v>
      </c>
      <c r="G510" s="1086">
        <v>5.7390999999999996</v>
      </c>
      <c r="H510" s="1088">
        <v>0.18462200000000001</v>
      </c>
      <c r="I510" s="1088">
        <v>8.61E-4</v>
      </c>
      <c r="J510" s="1089">
        <v>11.5648</v>
      </c>
    </row>
    <row r="511" spans="2:10" x14ac:dyDescent="0.25">
      <c r="B511" s="1086" t="s">
        <v>667</v>
      </c>
      <c r="C511" s="1087">
        <v>2100</v>
      </c>
      <c r="D511" s="1086">
        <v>-1185000</v>
      </c>
      <c r="E511" s="1088">
        <v>0</v>
      </c>
      <c r="F511" s="1089">
        <v>0</v>
      </c>
      <c r="G511" s="1086">
        <v>-85.800000000000011</v>
      </c>
      <c r="H511" s="1088">
        <v>0.54700000000000004</v>
      </c>
      <c r="I511" s="1088">
        <v>-1.8286999999999999E-3</v>
      </c>
      <c r="J511" s="1089">
        <v>-70.08</v>
      </c>
    </row>
    <row r="512" spans="2:10" x14ac:dyDescent="0.25">
      <c r="B512" s="1086" t="s">
        <v>668</v>
      </c>
      <c r="C512" s="1087">
        <v>2100</v>
      </c>
      <c r="D512" s="1086">
        <v>1721000</v>
      </c>
      <c r="E512" s="1088">
        <v>1293000</v>
      </c>
      <c r="F512" s="1089">
        <v>15050</v>
      </c>
      <c r="G512" s="1086">
        <v>125.08</v>
      </c>
      <c r="H512" s="1088">
        <v>0.20477100000000001</v>
      </c>
      <c r="I512" s="1088">
        <v>1.7827000000000001E-3</v>
      </c>
      <c r="J512" s="1089">
        <v>129.82</v>
      </c>
    </row>
    <row r="513" spans="2:10" x14ac:dyDescent="0.25">
      <c r="B513" s="1086" t="s">
        <v>683</v>
      </c>
      <c r="C513" s="1087">
        <v>2100</v>
      </c>
      <c r="D513" s="1086">
        <v>1721000</v>
      </c>
      <c r="E513" s="1088">
        <v>1293000</v>
      </c>
      <c r="F513" s="1089">
        <v>15050</v>
      </c>
      <c r="G513" s="1086">
        <v>125.08</v>
      </c>
      <c r="H513" s="1088">
        <v>0.20477100000000001</v>
      </c>
      <c r="I513" s="1088">
        <v>1.7827000000000001E-3</v>
      </c>
      <c r="J513" s="1089">
        <v>129.82</v>
      </c>
    </row>
    <row r="514" spans="2:10" x14ac:dyDescent="0.25">
      <c r="B514" s="1086" t="s">
        <v>669</v>
      </c>
      <c r="C514" s="1087">
        <v>2100</v>
      </c>
      <c r="D514" s="1086">
        <v>1721000</v>
      </c>
      <c r="E514" s="1088">
        <v>1293000</v>
      </c>
      <c r="F514" s="1089">
        <v>15050</v>
      </c>
      <c r="G514" s="1086">
        <v>125.08</v>
      </c>
      <c r="H514" s="1088">
        <v>0.20477100000000001</v>
      </c>
      <c r="I514" s="1088">
        <v>1.7827000000000001E-3</v>
      </c>
      <c r="J514" s="1089">
        <v>129.82</v>
      </c>
    </row>
    <row r="515" spans="2:10" x14ac:dyDescent="0.25">
      <c r="B515" s="1086" t="s">
        <v>1060</v>
      </c>
      <c r="C515" s="1087">
        <v>2100</v>
      </c>
      <c r="D515" s="1086">
        <v>1022000</v>
      </c>
      <c r="E515" s="1088">
        <v>1021000</v>
      </c>
      <c r="F515" s="1089">
        <v>15510</v>
      </c>
      <c r="G515" s="1086">
        <v>1.6964999999999999</v>
      </c>
      <c r="H515" s="1088">
        <v>0.14096238999999999</v>
      </c>
      <c r="I515" s="1088">
        <v>3.2765999999999998E-5</v>
      </c>
      <c r="J515" s="1089">
        <v>5.9536999999999995</v>
      </c>
    </row>
    <row r="516" spans="2:10" x14ac:dyDescent="0.25">
      <c r="B516" s="1086" t="s">
        <v>701</v>
      </c>
      <c r="C516" s="1087">
        <v>2100</v>
      </c>
      <c r="D516" s="1086">
        <v>1022000</v>
      </c>
      <c r="E516" s="1088">
        <v>1021000</v>
      </c>
      <c r="F516" s="1089">
        <v>15510</v>
      </c>
      <c r="G516" s="1086">
        <v>1.6964999999999999</v>
      </c>
      <c r="H516" s="1088">
        <v>0.14096238999999999</v>
      </c>
      <c r="I516" s="1088">
        <v>3.2765999999999998E-5</v>
      </c>
      <c r="J516" s="1089">
        <v>5.9536999999999995</v>
      </c>
    </row>
    <row r="517" spans="2:10" x14ac:dyDescent="0.25">
      <c r="B517" s="1086" t="s">
        <v>702</v>
      </c>
      <c r="C517" s="1087">
        <v>2100</v>
      </c>
      <c r="D517" s="1086">
        <v>1022000</v>
      </c>
      <c r="E517" s="1088">
        <v>1021000</v>
      </c>
      <c r="F517" s="1089">
        <v>15510</v>
      </c>
      <c r="G517" s="1086">
        <v>1.6964999999999999</v>
      </c>
      <c r="H517" s="1088">
        <v>0.14096238999999999</v>
      </c>
      <c r="I517" s="1088">
        <v>3.2765999999999998E-5</v>
      </c>
      <c r="J517" s="1089">
        <v>5.9536999999999995</v>
      </c>
    </row>
    <row r="518" spans="2:10" x14ac:dyDescent="0.25">
      <c r="B518" s="1086" t="s">
        <v>891</v>
      </c>
      <c r="C518" s="1087">
        <v>2100</v>
      </c>
      <c r="D518" s="1086">
        <v>1209000</v>
      </c>
      <c r="E518" s="1088">
        <v>1202000</v>
      </c>
      <c r="F518" s="1089">
        <v>1052000</v>
      </c>
      <c r="G518" s="1086">
        <v>17.969000000000001</v>
      </c>
      <c r="H518" s="1088">
        <v>0.164128</v>
      </c>
      <c r="I518" s="1088">
        <v>2.9025999999999998E-4</v>
      </c>
      <c r="J518" s="1089">
        <v>22.988</v>
      </c>
    </row>
    <row r="519" spans="2:10" x14ac:dyDescent="0.25">
      <c r="B519" s="1086" t="s">
        <v>889</v>
      </c>
      <c r="C519" s="1087">
        <v>2100</v>
      </c>
      <c r="D519" s="1086">
        <v>1585000</v>
      </c>
      <c r="E519" s="1088">
        <v>696300</v>
      </c>
      <c r="F519" s="1089">
        <v>286000</v>
      </c>
      <c r="G519" s="1086">
        <v>38.049999999999997</v>
      </c>
      <c r="H519" s="1088">
        <v>0.1118</v>
      </c>
      <c r="I519" s="1088">
        <v>2.5350000000000001E-2</v>
      </c>
      <c r="J519" s="1089">
        <v>45.19</v>
      </c>
    </row>
    <row r="520" spans="2:10" x14ac:dyDescent="0.25">
      <c r="B520" s="1086" t="s">
        <v>892</v>
      </c>
      <c r="C520" s="1087">
        <v>2100</v>
      </c>
      <c r="D520" s="1086">
        <v>1249000</v>
      </c>
      <c r="E520" s="1088">
        <v>1242000</v>
      </c>
      <c r="F520" s="1089">
        <v>1078000</v>
      </c>
      <c r="G520" s="1086">
        <v>23.84</v>
      </c>
      <c r="H520" s="1088">
        <v>0.16985799999999998</v>
      </c>
      <c r="I520" s="1088">
        <v>3.7813000000000001E-4</v>
      </c>
      <c r="J520" s="1089">
        <v>29.157000000000004</v>
      </c>
    </row>
    <row r="521" spans="2:10" x14ac:dyDescent="0.25">
      <c r="B521" s="1086" t="s">
        <v>1054</v>
      </c>
      <c r="C521" s="1087">
        <v>2100</v>
      </c>
      <c r="D521" s="1086">
        <v>1190000</v>
      </c>
      <c r="E521" s="1088">
        <v>51590</v>
      </c>
      <c r="F521" s="1089">
        <v>29220</v>
      </c>
      <c r="G521" s="1086">
        <v>3.7582</v>
      </c>
      <c r="H521" s="1088">
        <v>8.4366999999999984E-3</v>
      </c>
      <c r="I521" s="1088">
        <v>-3.8261190000000002E-3</v>
      </c>
      <c r="J521" s="1089">
        <v>3.0054000000000003</v>
      </c>
    </row>
    <row r="522" spans="2:10" x14ac:dyDescent="0.25">
      <c r="B522" s="1086" t="s">
        <v>800</v>
      </c>
      <c r="C522" s="1087">
        <v>2100</v>
      </c>
      <c r="D522" s="1086">
        <v>1190000</v>
      </c>
      <c r="E522" s="1088">
        <v>51590</v>
      </c>
      <c r="F522" s="1089">
        <v>29220</v>
      </c>
      <c r="G522" s="1086">
        <v>3.7582</v>
      </c>
      <c r="H522" s="1088">
        <v>8.4366999999999984E-3</v>
      </c>
      <c r="I522" s="1088">
        <v>-3.8261190000000002E-3</v>
      </c>
      <c r="J522" s="1089">
        <v>3.0054000000000003</v>
      </c>
    </row>
    <row r="523" spans="2:10" x14ac:dyDescent="0.25">
      <c r="B523" s="1086" t="s">
        <v>806</v>
      </c>
      <c r="C523" s="1087">
        <v>2100</v>
      </c>
      <c r="D523" s="1086">
        <v>1190000</v>
      </c>
      <c r="E523" s="1088">
        <v>51590</v>
      </c>
      <c r="F523" s="1089">
        <v>29220</v>
      </c>
      <c r="G523" s="1086">
        <v>3.7582</v>
      </c>
      <c r="H523" s="1088">
        <v>8.4366999999999984E-3</v>
      </c>
      <c r="I523" s="1088">
        <v>-3.8261190000000002E-3</v>
      </c>
      <c r="J523" s="1089">
        <v>3.0054000000000003</v>
      </c>
    </row>
    <row r="524" spans="2:10" ht="13.8" thickBot="1" x14ac:dyDescent="0.3">
      <c r="B524" s="1090" t="s">
        <v>1061</v>
      </c>
      <c r="C524" s="1091">
        <v>2100</v>
      </c>
      <c r="D524" s="1090">
        <v>1384000</v>
      </c>
      <c r="E524" s="1092">
        <v>1383000</v>
      </c>
      <c r="F524" s="1093">
        <v>5034</v>
      </c>
      <c r="G524" s="1090">
        <v>78.571100000000001</v>
      </c>
      <c r="H524" s="1092">
        <v>0.27494000000000002</v>
      </c>
      <c r="I524" s="1092">
        <v>2.3304000000000003E-3</v>
      </c>
      <c r="J524" s="1093">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3"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251460</xdr:colOff>
                    <xdr:row>1</xdr:row>
                    <xdr:rowOff>22860</xdr:rowOff>
                  </from>
                  <to>
                    <xdr:col>13</xdr:col>
                    <xdr:colOff>38100</xdr:colOff>
                    <xdr:row>4</xdr:row>
                    <xdr:rowOff>99060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99060</xdr:colOff>
                    <xdr:row>68</xdr:row>
                    <xdr:rowOff>60960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33203125" defaultRowHeight="13.2" x14ac:dyDescent="0.25"/>
  <cols>
    <col min="1" max="1" width="19" style="36" customWidth="1"/>
    <col min="2" max="2" width="16" style="36" customWidth="1"/>
    <col min="3" max="3" width="17.33203125" style="36" customWidth="1"/>
    <col min="4" max="4" width="17.6640625" style="36" customWidth="1"/>
    <col min="5" max="5" width="14.33203125" style="36" customWidth="1"/>
    <col min="6" max="6" width="20.6640625" style="36" customWidth="1"/>
    <col min="7" max="7" width="22.44140625" style="36" customWidth="1"/>
    <col min="8" max="16384" width="9.33203125" style="36"/>
  </cols>
  <sheetData>
    <row r="1" spans="1:12" ht="30.75" customHeight="1" x14ac:dyDescent="0.3">
      <c r="A1" s="35" t="s">
        <v>29</v>
      </c>
    </row>
    <row r="2" spans="1:12" ht="15" customHeight="1" x14ac:dyDescent="0.25">
      <c r="A2"/>
      <c r="B2"/>
      <c r="C2"/>
      <c r="D2"/>
      <c r="E2"/>
      <c r="G2" s="37"/>
      <c r="K2" s="38"/>
      <c r="L2" s="39"/>
    </row>
    <row r="3" spans="1:12" ht="15" customHeight="1" x14ac:dyDescent="0.25">
      <c r="A3"/>
      <c r="B3"/>
      <c r="C3"/>
      <c r="D3"/>
      <c r="E3"/>
      <c r="F3" s="42"/>
      <c r="G3" s="42"/>
      <c r="H3" s="37"/>
      <c r="K3" s="38"/>
      <c r="L3" s="39"/>
    </row>
    <row r="4" spans="1:12" ht="15" customHeight="1" x14ac:dyDescent="0.25">
      <c r="A4"/>
      <c r="B4"/>
      <c r="C4"/>
      <c r="D4"/>
      <c r="E4"/>
      <c r="F4" s="42"/>
      <c r="G4" s="42"/>
      <c r="H4" s="37"/>
      <c r="K4" s="38"/>
      <c r="L4" s="39"/>
    </row>
    <row r="5" spans="1:12" ht="15" customHeight="1" x14ac:dyDescent="0.25">
      <c r="A5"/>
      <c r="B5"/>
      <c r="C5"/>
      <c r="D5"/>
      <c r="E5"/>
      <c r="G5" s="37"/>
      <c r="K5" s="43"/>
      <c r="L5" s="39"/>
    </row>
    <row r="6" spans="1:12" ht="15" customHeight="1" x14ac:dyDescent="0.25">
      <c r="A6"/>
      <c r="B6"/>
      <c r="C6"/>
      <c r="D6"/>
      <c r="E6"/>
      <c r="G6" s="37"/>
      <c r="K6" s="43"/>
      <c r="L6" s="39"/>
    </row>
    <row r="7" spans="1:12" ht="15" customHeight="1" x14ac:dyDescent="0.25">
      <c r="A7"/>
      <c r="B7"/>
      <c r="C7"/>
      <c r="D7"/>
      <c r="E7"/>
      <c r="G7" s="37"/>
      <c r="K7" s="43"/>
      <c r="L7" s="39"/>
    </row>
    <row r="8" spans="1:12" x14ac:dyDescent="0.25">
      <c r="A8"/>
      <c r="B8"/>
      <c r="C8"/>
      <c r="D8"/>
      <c r="E8"/>
    </row>
    <row r="9" spans="1:12" x14ac:dyDescent="0.25">
      <c r="A9"/>
      <c r="B9"/>
      <c r="C9"/>
      <c r="D9"/>
      <c r="E9"/>
    </row>
    <row r="10" spans="1:12" ht="13.8" thickBot="1" x14ac:dyDescent="0.3"/>
    <row r="11" spans="1:12" s="51" customFormat="1" ht="24.75" customHeight="1" thickTop="1" thickBot="1" x14ac:dyDescent="0.35">
      <c r="A11" s="47" t="s">
        <v>36</v>
      </c>
      <c r="B11" s="48"/>
      <c r="C11" s="49"/>
      <c r="D11" s="49"/>
      <c r="E11" s="49"/>
      <c r="F11" s="49"/>
      <c r="G11" s="50"/>
    </row>
    <row r="12" spans="1:12" s="51" customFormat="1" ht="24.75" customHeight="1" thickTop="1" thickBot="1" x14ac:dyDescent="0.35">
      <c r="A12" s="1140"/>
      <c r="B12" s="1647"/>
      <c r="C12" s="1648"/>
      <c r="D12" s="1648"/>
      <c r="E12" s="1648"/>
      <c r="F12" s="1648"/>
      <c r="G12" s="1648"/>
    </row>
    <row r="13" spans="1:12" s="51" customFormat="1" ht="21" customHeight="1" thickTop="1" x14ac:dyDescent="0.25">
      <c r="A13" s="52" t="s">
        <v>37</v>
      </c>
      <c r="B13" s="53" t="s">
        <v>38</v>
      </c>
      <c r="C13" s="54" t="s">
        <v>39</v>
      </c>
      <c r="D13" s="54" t="s">
        <v>40</v>
      </c>
      <c r="E13" s="54" t="s">
        <v>41</v>
      </c>
      <c r="F13" s="54" t="s">
        <v>42</v>
      </c>
      <c r="G13" s="55" t="s">
        <v>43</v>
      </c>
    </row>
    <row r="14" spans="1:12" s="51" customFormat="1" ht="15" customHeight="1" x14ac:dyDescent="0.25">
      <c r="A14" s="875">
        <f>'Cash Flow Analysis'!B65</f>
        <v>1</v>
      </c>
      <c r="B14" s="1141">
        <f>IF(B13="","",IF('Cash Flow Analysis'!$B$31=0,"N/A",IF(A14=1,1,IF(A13=debt_period,"",B13+1))))</f>
        <v>1</v>
      </c>
      <c r="C14" s="878">
        <f ca="1">IF(OR(A14="",B14="",B14="N/A"),"",IF(B14=1,-'Cash Flow Analysis'!G65,IF(B14="N/A",0,G13)))</f>
        <v>444104878.44731677</v>
      </c>
      <c r="D14" s="878">
        <f ca="1">IF(debt_period=0,
E14+F14,
IF(OR(A14="",B14="",B14="N/A"),"",IF(B14=1,((debt_interest*(1+debt_interest)^debt_period)/((1+debt_interest)^debt_period-1))*(-'Cash Flow Analysis'!G65),IF(G13=0,"",D13))))</f>
        <v>16431880.502550719</v>
      </c>
      <c r="E14" s="878">
        <f t="shared" ref="E14:E57" ca="1" si="0">IF(OR(A14="",B14="",B14="N/A"),"",C14*debt_interest)</f>
        <v>16431880.502550719</v>
      </c>
      <c r="F14" s="878">
        <f>IF(debt_period=0,
IF(B14=(anal_period+construct),0,0),
IF(OR(A14="",B14="",B14="N/A"),"",D14-E14))</f>
        <v>0</v>
      </c>
      <c r="G14" s="1142">
        <f t="shared" ref="G14:G57" ca="1" si="1">IF(OR(A14="",B14="",B14="N/A"),"",C14-F14)</f>
        <v>444104878.44731677</v>
      </c>
    </row>
    <row r="15" spans="1:12" s="51" customFormat="1" ht="15" customHeight="1" x14ac:dyDescent="0.25">
      <c r="A15" s="875">
        <f>'Cash Flow Analysis'!B66</f>
        <v>2</v>
      </c>
      <c r="B15" s="1141">
        <f>IF(B14="","",IF('Cash Flow Analysis'!$B$31=0,"N/A",IF(A15=1,1,IF(A14=debt_period,"",B14+1))))</f>
        <v>2</v>
      </c>
      <c r="C15" s="878">
        <f ca="1">IF(OR(A15="",B15="",B15="N/A"),"",IF(B15=1,-'Cash Flow Analysis'!G66,IF(B15="N/A",0,G14)))</f>
        <v>444104878.44731677</v>
      </c>
      <c r="D15" s="878">
        <f ca="1">IF(debt_period=0,
E15+F15,
IF(OR(A15="",B15="",B15="N/A"),"",IF(B15=1,((debt_interest*(1+debt_interest)^debt_period)/((1+debt_interest)^debt_period-1))*(-'Cash Flow Analysis'!G66),IF(G14=0,"",D14))))</f>
        <v>16431880.502550719</v>
      </c>
      <c r="E15" s="878">
        <f t="shared" ca="1" si="0"/>
        <v>16431880.502550719</v>
      </c>
      <c r="F15" s="878">
        <f>IF(debt_period=0,
IF(B15=(anal_period+construct),C14,0),
IF(OR(A15="",B15="",B15="N/A"),"",D15-E15))</f>
        <v>0</v>
      </c>
      <c r="G15" s="1142">
        <f t="shared" ca="1" si="1"/>
        <v>444104878.44731677</v>
      </c>
    </row>
    <row r="16" spans="1:12" s="51" customFormat="1" ht="15" customHeight="1" x14ac:dyDescent="0.25">
      <c r="A16" s="875">
        <f>'Cash Flow Analysis'!B67</f>
        <v>3</v>
      </c>
      <c r="B16" s="1141">
        <f>IF(B15="","",IF('Cash Flow Analysis'!$B$31=0,"N/A",IF(A16=1,1,IF(A15=debt_period,"",B15+1))))</f>
        <v>3</v>
      </c>
      <c r="C16" s="878">
        <f ca="1">IF(OR(A16="",B16="",B16="N/A"),"",IF(B16=1,-'Cash Flow Analysis'!G67,IF(B16="N/A",0,G15)))</f>
        <v>444104878.44731677</v>
      </c>
      <c r="D16" s="878">
        <f ca="1">IF(debt_period=0,
E16+F16,
IF(OR(A16="",B16="",B16="N/A"),"",IF(B16=1,((debt_interest*(1+debt_interest)^debt_period)/((1+debt_interest)^debt_period-1))*(-'Cash Flow Analysis'!G67),IF(G15=0,"",D15))))</f>
        <v>16431880.502550719</v>
      </c>
      <c r="E16" s="878">
        <f t="shared" ca="1" si="0"/>
        <v>16431880.502550719</v>
      </c>
      <c r="F16" s="878">
        <f t="shared" ref="F16:F57" si="2">IF(debt_period=0,
IF(B16=(anal_period+construct),C16,0),
IF(OR(A16="",B16="",B16="N/A"),"",D16-E16))</f>
        <v>0</v>
      </c>
      <c r="G16" s="1142">
        <f t="shared" ca="1" si="1"/>
        <v>444104878.44731677</v>
      </c>
    </row>
    <row r="17" spans="1:7" s="51" customFormat="1" ht="15" customHeight="1" x14ac:dyDescent="0.25">
      <c r="A17" s="875">
        <f>'Cash Flow Analysis'!B68</f>
        <v>4</v>
      </c>
      <c r="B17" s="1141">
        <f>IF(B16="","",IF('Cash Flow Analysis'!$B$31=0,"N/A",IF(A17=1,1,IF(A16=debt_period,"",B16+1))))</f>
        <v>4</v>
      </c>
      <c r="C17" s="878">
        <f ca="1">IF(OR(A17="",B17="",B17="N/A"),"",IF(B17=1,-'Cash Flow Analysis'!G68,IF(B17="N/A",0,G16)))</f>
        <v>444104878.44731677</v>
      </c>
      <c r="D17" s="878">
        <f ca="1">IF(debt_period=0,
E17+F17,
IF(OR(A17="",B17="",B17="N/A"),"",IF(B17=1,((debt_interest*(1+debt_interest)^debt_period)/((1+debt_interest)^debt_period-1))*(-'Cash Flow Analysis'!G68),IF(G16=0,"",D16))))</f>
        <v>16431880.502550719</v>
      </c>
      <c r="E17" s="878">
        <f t="shared" ca="1" si="0"/>
        <v>16431880.502550719</v>
      </c>
      <c r="F17" s="878">
        <f t="shared" si="2"/>
        <v>0</v>
      </c>
      <c r="G17" s="1142">
        <f t="shared" ca="1" si="1"/>
        <v>444104878.44731677</v>
      </c>
    </row>
    <row r="18" spans="1:7" s="51" customFormat="1" ht="15" customHeight="1" x14ac:dyDescent="0.25">
      <c r="A18" s="875">
        <f>'Cash Flow Analysis'!B69</f>
        <v>5</v>
      </c>
      <c r="B18" s="1141">
        <f>IF(B17="","",IF('Cash Flow Analysis'!$B$31=0,"N/A",IF(A18=1,1,IF(A17=debt_period,"",B17+1))))</f>
        <v>5</v>
      </c>
      <c r="C18" s="878">
        <f ca="1">IF(OR(A18="",B18="",B18="N/A"),"",IF(B18=1,-'Cash Flow Analysis'!G69,IF(B18="N/A",0,G17)))</f>
        <v>444104878.44731677</v>
      </c>
      <c r="D18" s="878">
        <f ca="1">IF(debt_period=0,
E18+F18,
IF(OR(A18="",B18="",B18="N/A"),"",IF(B18=1,((debt_interest*(1+debt_interest)^debt_period)/((1+debt_interest)^debt_period-1))*(-'Cash Flow Analysis'!G69),IF(G17=0,"",D17))))</f>
        <v>16431880.502550719</v>
      </c>
      <c r="E18" s="878">
        <f t="shared" ca="1" si="0"/>
        <v>16431880.502550719</v>
      </c>
      <c r="F18" s="878">
        <f t="shared" si="2"/>
        <v>0</v>
      </c>
      <c r="G18" s="1142">
        <f t="shared" ca="1" si="1"/>
        <v>444104878.44731677</v>
      </c>
    </row>
    <row r="19" spans="1:7" s="51" customFormat="1" ht="15" customHeight="1" x14ac:dyDescent="0.25">
      <c r="A19" s="875">
        <f>'Cash Flow Analysis'!B70</f>
        <v>6</v>
      </c>
      <c r="B19" s="1141">
        <f>IF(B18="","",IF('Cash Flow Analysis'!$B$31=0,"N/A",IF(A19=1,1,IF(A18=debt_period,"",B18+1))))</f>
        <v>6</v>
      </c>
      <c r="C19" s="878">
        <f ca="1">IF(OR(A19="",B19="",B19="N/A"),"",IF(B19=1,-'Cash Flow Analysis'!G70,IF(B19="N/A",0,G18)))</f>
        <v>444104878.44731677</v>
      </c>
      <c r="D19" s="878">
        <f ca="1">IF(debt_period=0,
E19+F19,
IF(OR(A19="",B19="",B19="N/A"),"",IF(B19=1,((debt_interest*(1+debt_interest)^debt_period)/((1+debt_interest)^debt_period-1))*(-'Cash Flow Analysis'!G70),IF(G18=0,"",D18))))</f>
        <v>16431880.502550719</v>
      </c>
      <c r="E19" s="878">
        <f t="shared" ca="1" si="0"/>
        <v>16431880.502550719</v>
      </c>
      <c r="F19" s="878">
        <f t="shared" si="2"/>
        <v>0</v>
      </c>
      <c r="G19" s="1142">
        <f t="shared" ca="1" si="1"/>
        <v>444104878.44731677</v>
      </c>
    </row>
    <row r="20" spans="1:7" s="51" customFormat="1" ht="15" customHeight="1" x14ac:dyDescent="0.25">
      <c r="A20" s="875">
        <f>'Cash Flow Analysis'!B71</f>
        <v>7</v>
      </c>
      <c r="B20" s="1141">
        <f>IF(B19="","",IF('Cash Flow Analysis'!$B$31=0,"N/A",IF(A20=1,1,IF(A19=debt_period,"",B19+1))))</f>
        <v>7</v>
      </c>
      <c r="C20" s="878">
        <f ca="1">IF(OR(A20="",B20="",B20="N/A"),"",IF(B20=1,-'Cash Flow Analysis'!G71,IF(B20="N/A",0,G19)))</f>
        <v>444104878.44731677</v>
      </c>
      <c r="D20" s="878">
        <f ca="1">IF(debt_period=0,
E20+F20,
IF(OR(A20="",B20="",B20="N/A"),"",IF(B20=1,((debt_interest*(1+debt_interest)^debt_period)/((1+debt_interest)^debt_period-1))*(-'Cash Flow Analysis'!G71),IF(G19=0,"",D19))))</f>
        <v>16431880.502550719</v>
      </c>
      <c r="E20" s="878">
        <f t="shared" ca="1" si="0"/>
        <v>16431880.502550719</v>
      </c>
      <c r="F20" s="878">
        <f t="shared" si="2"/>
        <v>0</v>
      </c>
      <c r="G20" s="1142">
        <f t="shared" ca="1" si="1"/>
        <v>444104878.44731677</v>
      </c>
    </row>
    <row r="21" spans="1:7" s="51" customFormat="1" ht="15" customHeight="1" x14ac:dyDescent="0.25">
      <c r="A21" s="875">
        <f>'Cash Flow Analysis'!B72</f>
        <v>8</v>
      </c>
      <c r="B21" s="1141">
        <f>IF(B20="","",IF('Cash Flow Analysis'!$B$31=0,"N/A",IF(A21=1,1,IF(A20=debt_period,"",B20+1))))</f>
        <v>8</v>
      </c>
      <c r="C21" s="878">
        <f ca="1">IF(OR(A21="",B21="",B21="N/A"),"",IF(B21=1,-'Cash Flow Analysis'!G72,IF(B21="N/A",0,G20)))</f>
        <v>444104878.44731677</v>
      </c>
      <c r="D21" s="878">
        <f ca="1">IF(debt_period=0,
E21+F21,
IF(OR(A21="",B21="",B21="N/A"),"",IF(B21=1,((debt_interest*(1+debt_interest)^debt_period)/((1+debt_interest)^debt_period-1))*(-'Cash Flow Analysis'!G72),IF(G20=0,"",D20))))</f>
        <v>16431880.502550719</v>
      </c>
      <c r="E21" s="878">
        <f t="shared" ca="1" si="0"/>
        <v>16431880.502550719</v>
      </c>
      <c r="F21" s="878">
        <f t="shared" si="2"/>
        <v>0</v>
      </c>
      <c r="G21" s="1142">
        <f t="shared" ca="1" si="1"/>
        <v>444104878.44731677</v>
      </c>
    </row>
    <row r="22" spans="1:7" s="51" customFormat="1" ht="15" customHeight="1" x14ac:dyDescent="0.25">
      <c r="A22" s="875">
        <f>'Cash Flow Analysis'!B73</f>
        <v>9</v>
      </c>
      <c r="B22" s="1141">
        <f>IF(B21="","",IF('Cash Flow Analysis'!$B$31=0,"N/A",IF(A22=1,1,IF(A21=debt_period,"",B21+1))))</f>
        <v>9</v>
      </c>
      <c r="C22" s="878">
        <f ca="1">IF(OR(A22="",B22="",B22="N/A"),"",IF(B22=1,-'Cash Flow Analysis'!G73,IF(B22="N/A",0,G21)))</f>
        <v>444104878.44731677</v>
      </c>
      <c r="D22" s="878">
        <f ca="1">IF(debt_period=0,
E22+F22,
IF(OR(A22="",B22="",B22="N/A"),"",IF(B22=1,((debt_interest*(1+debt_interest)^debt_period)/((1+debt_interest)^debt_period-1))*(-'Cash Flow Analysis'!G73),IF(G21=0,"",D21))))</f>
        <v>16431880.502550719</v>
      </c>
      <c r="E22" s="878">
        <f t="shared" ca="1" si="0"/>
        <v>16431880.502550719</v>
      </c>
      <c r="F22" s="878">
        <f t="shared" si="2"/>
        <v>0</v>
      </c>
      <c r="G22" s="1142">
        <f t="shared" ca="1" si="1"/>
        <v>444104878.44731677</v>
      </c>
    </row>
    <row r="23" spans="1:7" s="51" customFormat="1" ht="15" customHeight="1" x14ac:dyDescent="0.25">
      <c r="A23" s="875">
        <f>'Cash Flow Analysis'!B74</f>
        <v>10</v>
      </c>
      <c r="B23" s="1141">
        <f>IF(B22="","",IF('Cash Flow Analysis'!$B$31=0,"N/A",IF(A23=1,1,IF(A22=debt_period,"",B22+1))))</f>
        <v>10</v>
      </c>
      <c r="C23" s="878">
        <f ca="1">IF(OR(A23="",B23="",B23="N/A"),"",IF(B23=1,-'Cash Flow Analysis'!G74,IF(B23="N/A",0,G22)))</f>
        <v>444104878.44731677</v>
      </c>
      <c r="D23" s="878">
        <f ca="1">IF(debt_period=0,
E23+F23,
IF(OR(A23="",B23="",B23="N/A"),"",IF(B23=1,((debt_interest*(1+debt_interest)^debt_period)/((1+debt_interest)^debt_period-1))*(-'Cash Flow Analysis'!G74),IF(G22=0,"",D22))))</f>
        <v>16431880.502550719</v>
      </c>
      <c r="E23" s="878">
        <f t="shared" ca="1" si="0"/>
        <v>16431880.502550719</v>
      </c>
      <c r="F23" s="878">
        <f t="shared" si="2"/>
        <v>0</v>
      </c>
      <c r="G23" s="1142">
        <f t="shared" ca="1" si="1"/>
        <v>444104878.44731677</v>
      </c>
    </row>
    <row r="24" spans="1:7" s="51" customFormat="1" ht="15" customHeight="1" x14ac:dyDescent="0.25">
      <c r="A24" s="875">
        <f>'Cash Flow Analysis'!B75</f>
        <v>11</v>
      </c>
      <c r="B24" s="1141">
        <f>IF(B23="","",IF('Cash Flow Analysis'!$B$31=0,"N/A",IF(A24=1,1,IF(A23=debt_period,"",B23+1))))</f>
        <v>11</v>
      </c>
      <c r="C24" s="878">
        <f ca="1">IF(OR(A24="",B24="",B24="N/A"),"",IF(B24=1,-'Cash Flow Analysis'!G75,IF(B24="N/A",0,G23)))</f>
        <v>444104878.44731677</v>
      </c>
      <c r="D24" s="878">
        <f ca="1">IF(debt_period=0,
E24+F24,
IF(OR(A24="",B24="",B24="N/A"),"",IF(B24=1,((debt_interest*(1+debt_interest)^debt_period)/((1+debt_interest)^debt_period-1))*(-'Cash Flow Analysis'!G75),IF(G23=0,"",D23))))</f>
        <v>16431880.502550719</v>
      </c>
      <c r="E24" s="878">
        <f t="shared" ca="1" si="0"/>
        <v>16431880.502550719</v>
      </c>
      <c r="F24" s="878">
        <f t="shared" si="2"/>
        <v>0</v>
      </c>
      <c r="G24" s="1142">
        <f t="shared" ca="1" si="1"/>
        <v>444104878.44731677</v>
      </c>
    </row>
    <row r="25" spans="1:7" s="51" customFormat="1" ht="15" customHeight="1" x14ac:dyDescent="0.25">
      <c r="A25" s="875">
        <f>'Cash Flow Analysis'!B76</f>
        <v>12</v>
      </c>
      <c r="B25" s="1141">
        <f>IF(B24="","",IF('Cash Flow Analysis'!$B$31=0,"N/A",IF(A25=1,1,IF(A24=debt_period,"",B24+1))))</f>
        <v>12</v>
      </c>
      <c r="C25" s="878">
        <f ca="1">IF(OR(A25="",B25="",B25="N/A"),"",IF(B25=1,-'Cash Flow Analysis'!G76,IF(B25="N/A",0,G24)))</f>
        <v>444104878.44731677</v>
      </c>
      <c r="D25" s="878">
        <f ca="1">IF(debt_period=0,
E25+F25,
IF(OR(A25="",B25="",B25="N/A"),"",IF(B25=1,((debt_interest*(1+debt_interest)^debt_period)/((1+debt_interest)^debt_period-1))*(-'Cash Flow Analysis'!G76),IF(G24=0,"",D24))))</f>
        <v>16431880.502550719</v>
      </c>
      <c r="E25" s="878">
        <f t="shared" ca="1" si="0"/>
        <v>16431880.502550719</v>
      </c>
      <c r="F25" s="878">
        <f t="shared" si="2"/>
        <v>0</v>
      </c>
      <c r="G25" s="1142">
        <f t="shared" ca="1" si="1"/>
        <v>444104878.44731677</v>
      </c>
    </row>
    <row r="26" spans="1:7" s="51" customFormat="1" ht="15" customHeight="1" x14ac:dyDescent="0.25">
      <c r="A26" s="875">
        <f>'Cash Flow Analysis'!B77</f>
        <v>13</v>
      </c>
      <c r="B26" s="1141">
        <f>IF(B25="","",IF('Cash Flow Analysis'!$B$31=0,"N/A",IF(A26=1,1,IF(A25=debt_period,"",B25+1))))</f>
        <v>13</v>
      </c>
      <c r="C26" s="878">
        <f ca="1">IF(OR(A26="",B26="",B26="N/A"),"",IF(B26=1,-'Cash Flow Analysis'!G77,IF(B26="N/A",0,G25)))</f>
        <v>444104878.44731677</v>
      </c>
      <c r="D26" s="878">
        <f ca="1">IF(debt_period=0,
E26+F26,
IF(OR(A26="",B26="",B26="N/A"),"",IF(B26=1,((debt_interest*(1+debt_interest)^debt_period)/((1+debt_interest)^debt_period-1))*(-'Cash Flow Analysis'!G77),IF(G25=0,"",D25))))</f>
        <v>16431880.502550719</v>
      </c>
      <c r="E26" s="878">
        <f t="shared" ca="1" si="0"/>
        <v>16431880.502550719</v>
      </c>
      <c r="F26" s="878">
        <f t="shared" si="2"/>
        <v>0</v>
      </c>
      <c r="G26" s="1142">
        <f t="shared" ca="1" si="1"/>
        <v>444104878.44731677</v>
      </c>
    </row>
    <row r="27" spans="1:7" s="51" customFormat="1" ht="15" customHeight="1" x14ac:dyDescent="0.25">
      <c r="A27" s="875">
        <f>'Cash Flow Analysis'!B78</f>
        <v>14</v>
      </c>
      <c r="B27" s="1141">
        <f>IF(B26="","",IF('Cash Flow Analysis'!$B$31=0,"N/A",IF(A27=1,1,IF(A26=debt_period,"",B26+1))))</f>
        <v>14</v>
      </c>
      <c r="C27" s="878">
        <f ca="1">IF(OR(A27="",B27="",B27="N/A"),"",IF(B27=1,-'Cash Flow Analysis'!G78,IF(B27="N/A",0,G26)))</f>
        <v>444104878.44731677</v>
      </c>
      <c r="D27" s="878">
        <f ca="1">IF(debt_period=0,
E27+F27,
IF(OR(A27="",B27="",B27="N/A"),"",IF(B27=1,((debt_interest*(1+debt_interest)^debt_period)/((1+debt_interest)^debt_period-1))*(-'Cash Flow Analysis'!G78),IF(G26=0,"",D26))))</f>
        <v>16431880.502550719</v>
      </c>
      <c r="E27" s="878">
        <f t="shared" ca="1" si="0"/>
        <v>16431880.502550719</v>
      </c>
      <c r="F27" s="878">
        <f t="shared" si="2"/>
        <v>0</v>
      </c>
      <c r="G27" s="1142">
        <f t="shared" ca="1" si="1"/>
        <v>444104878.44731677</v>
      </c>
    </row>
    <row r="28" spans="1:7" s="51" customFormat="1" ht="15" customHeight="1" x14ac:dyDescent="0.25">
      <c r="A28" s="875">
        <f>'Cash Flow Analysis'!B79</f>
        <v>15</v>
      </c>
      <c r="B28" s="1141">
        <f>IF(B27="","",IF('Cash Flow Analysis'!$B$31=0,"N/A",IF(A28=1,1,IF(A27=debt_period,"",B27+1))))</f>
        <v>15</v>
      </c>
      <c r="C28" s="878">
        <f ca="1">IF(OR(A28="",B28="",B28="N/A"),"",IF(B28=1,-'Cash Flow Analysis'!G79,IF(B28="N/A",0,G27)))</f>
        <v>444104878.44731677</v>
      </c>
      <c r="D28" s="878">
        <f ca="1">IF(debt_period=0,
E28+F28,
IF(OR(A28="",B28="",B28="N/A"),"",IF(B28=1,((debt_interest*(1+debt_interest)^debt_period)/((1+debt_interest)^debt_period-1))*(-'Cash Flow Analysis'!G79),IF(G27=0,"",D27))))</f>
        <v>16431880.502550719</v>
      </c>
      <c r="E28" s="878">
        <f t="shared" ca="1" si="0"/>
        <v>16431880.502550719</v>
      </c>
      <c r="F28" s="878">
        <f t="shared" si="2"/>
        <v>0</v>
      </c>
      <c r="G28" s="1142">
        <f t="shared" ca="1" si="1"/>
        <v>444104878.44731677</v>
      </c>
    </row>
    <row r="29" spans="1:7" s="51" customFormat="1" ht="15" customHeight="1" x14ac:dyDescent="0.25">
      <c r="A29" s="875">
        <f>'Cash Flow Analysis'!B80</f>
        <v>16</v>
      </c>
      <c r="B29" s="1141">
        <f>IF(B28="","",IF('Cash Flow Analysis'!$B$31=0,"N/A",IF(A29=1,1,IF(A28=debt_period,"",B28+1))))</f>
        <v>16</v>
      </c>
      <c r="C29" s="878">
        <f ca="1">IF(OR(A29="",B29="",B29="N/A"),"",IF(B29=1,-'Cash Flow Analysis'!G80,IF(B29="N/A",0,G28)))</f>
        <v>444104878.44731677</v>
      </c>
      <c r="D29" s="878">
        <f ca="1">IF(debt_period=0,
E29+F29,
IF(OR(A29="",B29="",B29="N/A"),"",IF(B29=1,((debt_interest*(1+debt_interest)^debt_period)/((1+debt_interest)^debt_period-1))*(-'Cash Flow Analysis'!G80),IF(G28=0,"",D28))))</f>
        <v>16431880.502550719</v>
      </c>
      <c r="E29" s="878">
        <f t="shared" ca="1" si="0"/>
        <v>16431880.502550719</v>
      </c>
      <c r="F29" s="878">
        <f t="shared" si="2"/>
        <v>0</v>
      </c>
      <c r="G29" s="1142">
        <f t="shared" ca="1" si="1"/>
        <v>444104878.44731677</v>
      </c>
    </row>
    <row r="30" spans="1:7" s="51" customFormat="1" ht="15" customHeight="1" x14ac:dyDescent="0.25">
      <c r="A30" s="875">
        <f>'Cash Flow Analysis'!B81</f>
        <v>17</v>
      </c>
      <c r="B30" s="1141">
        <f>IF(B29="","",IF('Cash Flow Analysis'!$B$31=0,"N/A",IF(A30=1,1,IF(A29=debt_period,"",B29+1))))</f>
        <v>17</v>
      </c>
      <c r="C30" s="878">
        <f ca="1">IF(OR(A30="",B30="",B30="N/A"),"",IF(B30=1,-'Cash Flow Analysis'!G81,IF(B30="N/A",0,G29)))</f>
        <v>444104878.44731677</v>
      </c>
      <c r="D30" s="878">
        <f ca="1">IF(debt_period=0,
E30+F30,
IF(OR(A30="",B30="",B30="N/A"),"",IF(B30=1,((debt_interest*(1+debt_interest)^debt_period)/((1+debt_interest)^debt_period-1))*(-'Cash Flow Analysis'!G81),IF(G29=0,"",D29))))</f>
        <v>16431880.502550719</v>
      </c>
      <c r="E30" s="878">
        <f t="shared" ca="1" si="0"/>
        <v>16431880.502550719</v>
      </c>
      <c r="F30" s="878">
        <f t="shared" si="2"/>
        <v>0</v>
      </c>
      <c r="G30" s="1142">
        <f t="shared" ca="1" si="1"/>
        <v>444104878.44731677</v>
      </c>
    </row>
    <row r="31" spans="1:7" s="51" customFormat="1" ht="15" customHeight="1" x14ac:dyDescent="0.25">
      <c r="A31" s="875">
        <f>'Cash Flow Analysis'!B82</f>
        <v>18</v>
      </c>
      <c r="B31" s="1141">
        <f>IF(B30="","",IF('Cash Flow Analysis'!$B$31=0,"N/A",IF(A31=1,1,IF(A30=debt_period,"",B30+1))))</f>
        <v>18</v>
      </c>
      <c r="C31" s="878">
        <f ca="1">IF(OR(A31="",B31="",B31="N/A"),"",IF(B31=1,-'Cash Flow Analysis'!G82,IF(B31="N/A",0,G30)))</f>
        <v>444104878.44731677</v>
      </c>
      <c r="D31" s="878">
        <f ca="1">IF(debt_period=0,
E31+F31,
IF(OR(A31="",B31="",B31="N/A"),"",IF(B31=1,((debt_interest*(1+debt_interest)^debt_period)/((1+debt_interest)^debt_period-1))*(-'Cash Flow Analysis'!G82),IF(G30=0,"",D30))))</f>
        <v>16431880.502550719</v>
      </c>
      <c r="E31" s="878">
        <f t="shared" ca="1" si="0"/>
        <v>16431880.502550719</v>
      </c>
      <c r="F31" s="878">
        <f t="shared" si="2"/>
        <v>0</v>
      </c>
      <c r="G31" s="1142">
        <f t="shared" ca="1" si="1"/>
        <v>444104878.44731677</v>
      </c>
    </row>
    <row r="32" spans="1:7" s="51" customFormat="1" ht="15" customHeight="1" x14ac:dyDescent="0.25">
      <c r="A32" s="875">
        <f>'Cash Flow Analysis'!B83</f>
        <v>19</v>
      </c>
      <c r="B32" s="1141">
        <f>IF(B31="","",IF('Cash Flow Analysis'!$B$31=0,"N/A",IF(A32=1,1,IF(A31=debt_period,"",B31+1))))</f>
        <v>19</v>
      </c>
      <c r="C32" s="878">
        <f ca="1">IF(OR(A32="",B32="",B32="N/A"),"",IF(B32=1,-'Cash Flow Analysis'!G83,IF(B32="N/A",0,G31)))</f>
        <v>444104878.44731677</v>
      </c>
      <c r="D32" s="878">
        <f ca="1">IF(debt_period=0,
E32+F32,
IF(OR(A32="",B32="",B32="N/A"),"",IF(B32=1,((debt_interest*(1+debt_interest)^debt_period)/((1+debt_interest)^debt_period-1))*(-'Cash Flow Analysis'!G83),IF(G31=0,"",D31))))</f>
        <v>16431880.502550719</v>
      </c>
      <c r="E32" s="878">
        <f t="shared" ca="1" si="0"/>
        <v>16431880.502550719</v>
      </c>
      <c r="F32" s="878">
        <f t="shared" si="2"/>
        <v>0</v>
      </c>
      <c r="G32" s="1142">
        <f t="shared" ca="1" si="1"/>
        <v>444104878.44731677</v>
      </c>
    </row>
    <row r="33" spans="1:7" s="51" customFormat="1" ht="15" customHeight="1" x14ac:dyDescent="0.25">
      <c r="A33" s="875">
        <f>'Cash Flow Analysis'!B84</f>
        <v>20</v>
      </c>
      <c r="B33" s="1141">
        <f>IF(B32="","",IF('Cash Flow Analysis'!$B$31=0,"N/A",IF(A33=1,1,IF(A32=debt_period,"",B32+1))))</f>
        <v>20</v>
      </c>
      <c r="C33" s="878">
        <f ca="1">IF(OR(A33="",B33="",B33="N/A"),"",IF(B33=1,-'Cash Flow Analysis'!G84,IF(B33="N/A",0,G32)))</f>
        <v>444104878.44731677</v>
      </c>
      <c r="D33" s="878">
        <f ca="1">IF(debt_period=0,
E33+F33,
IF(OR(A33="",B33="",B33="N/A"),"",IF(B33=1,((debt_interest*(1+debt_interest)^debt_period)/((1+debt_interest)^debt_period-1))*(-'Cash Flow Analysis'!G84),IF(G32=0,"",D32))))</f>
        <v>16431880.502550719</v>
      </c>
      <c r="E33" s="878">
        <f t="shared" ca="1" si="0"/>
        <v>16431880.502550719</v>
      </c>
      <c r="F33" s="878">
        <f t="shared" si="2"/>
        <v>0</v>
      </c>
      <c r="G33" s="1142">
        <f t="shared" ca="1" si="1"/>
        <v>444104878.44731677</v>
      </c>
    </row>
    <row r="34" spans="1:7" s="51" customFormat="1" ht="15" customHeight="1" x14ac:dyDescent="0.25">
      <c r="A34" s="875">
        <f>'Cash Flow Analysis'!B85</f>
        <v>21</v>
      </c>
      <c r="B34" s="1141">
        <f>IF(B33="","",IF('Cash Flow Analysis'!$B$31=0,"N/A",IF(A34=1,1,IF(A33=debt_period,"",B33+1))))</f>
        <v>21</v>
      </c>
      <c r="C34" s="878">
        <f ca="1">IF(OR(A34="",B34="",B34="N/A"),"",IF(B34=1,-'Cash Flow Analysis'!G85,IF(B34="N/A",0,G33)))</f>
        <v>444104878.44731677</v>
      </c>
      <c r="D34" s="878">
        <f ca="1">IF(debt_period=0,
E34+F34,
IF(OR(A34="",B34="",B34="N/A"),"",IF(B34=1,((debt_interest*(1+debt_interest)^debt_period)/((1+debt_interest)^debt_period-1))*(-'Cash Flow Analysis'!G85),IF(G33=0,"",D33))))</f>
        <v>16431880.502550719</v>
      </c>
      <c r="E34" s="878">
        <f t="shared" ca="1" si="0"/>
        <v>16431880.502550719</v>
      </c>
      <c r="F34" s="878">
        <f t="shared" si="2"/>
        <v>0</v>
      </c>
      <c r="G34" s="1142">
        <f t="shared" ca="1" si="1"/>
        <v>444104878.44731677</v>
      </c>
    </row>
    <row r="35" spans="1:7" s="51" customFormat="1" ht="15" customHeight="1" x14ac:dyDescent="0.25">
      <c r="A35" s="875">
        <f>'Cash Flow Analysis'!B86</f>
        <v>22</v>
      </c>
      <c r="B35" s="1141">
        <f>IF(B34="","",IF('Cash Flow Analysis'!$B$31=0,"N/A",IF(A35=1,1,IF(A34=debt_period,"",B34+1))))</f>
        <v>22</v>
      </c>
      <c r="C35" s="878">
        <f ca="1">IF(OR(A35="",B35="",B35="N/A"),"",IF(B35=1,-'Cash Flow Analysis'!G86,IF(B35="N/A",0,G34)))</f>
        <v>444104878.44731677</v>
      </c>
      <c r="D35" s="878">
        <f ca="1">IF(debt_period=0,
E35+F35,
IF(OR(A35="",B35="",B35="N/A"),"",IF(B35=1,((debt_interest*(1+debt_interest)^debt_period)/((1+debt_interest)^debt_period-1))*(-'Cash Flow Analysis'!G86),IF(G34=0,"",D34))))</f>
        <v>16431880.502550719</v>
      </c>
      <c r="E35" s="878">
        <f t="shared" ca="1" si="0"/>
        <v>16431880.502550719</v>
      </c>
      <c r="F35" s="878">
        <f t="shared" si="2"/>
        <v>0</v>
      </c>
      <c r="G35" s="1142">
        <f t="shared" ca="1" si="1"/>
        <v>444104878.44731677</v>
      </c>
    </row>
    <row r="36" spans="1:7" s="51" customFormat="1" ht="15" customHeight="1" x14ac:dyDescent="0.25">
      <c r="A36" s="875">
        <f>'Cash Flow Analysis'!B87</f>
        <v>23</v>
      </c>
      <c r="B36" s="1141">
        <f>IF(B35="","",IF('Cash Flow Analysis'!$B$31=0,"N/A",IF(A36=1,1,IF(A35=debt_period,"",B35+1))))</f>
        <v>23</v>
      </c>
      <c r="C36" s="878">
        <f ca="1">IF(OR(A36="",B36="",B36="N/A"),"",IF(B36=1,-'Cash Flow Analysis'!G87,IF(B36="N/A",0,G35)))</f>
        <v>444104878.44731677</v>
      </c>
      <c r="D36" s="878">
        <f ca="1">IF(debt_period=0,
E36+F36,
IF(OR(A36="",B36="",B36="N/A"),"",IF(B36=1,((debt_interest*(1+debt_interest)^debt_period)/((1+debt_interest)^debt_period-1))*(-'Cash Flow Analysis'!G87),IF(G35=0,"",D35))))</f>
        <v>16431880.502550719</v>
      </c>
      <c r="E36" s="878">
        <f t="shared" ca="1" si="0"/>
        <v>16431880.502550719</v>
      </c>
      <c r="F36" s="878">
        <f t="shared" si="2"/>
        <v>0</v>
      </c>
      <c r="G36" s="1142">
        <f t="shared" ca="1" si="1"/>
        <v>444104878.44731677</v>
      </c>
    </row>
    <row r="37" spans="1:7" s="51" customFormat="1" ht="15" customHeight="1" x14ac:dyDescent="0.25">
      <c r="A37" s="875">
        <f>'Cash Flow Analysis'!B88</f>
        <v>24</v>
      </c>
      <c r="B37" s="1141">
        <f>IF(B36="","",IF('Cash Flow Analysis'!$B$31=0,"N/A",IF(A37=1,1,IF(A36=debt_period,"",B36+1))))</f>
        <v>24</v>
      </c>
      <c r="C37" s="878">
        <f ca="1">IF(OR(A37="",B37="",B37="N/A"),"",IF(B37=1,-'Cash Flow Analysis'!G88,IF(B37="N/A",0,G36)))</f>
        <v>444104878.44731677</v>
      </c>
      <c r="D37" s="878">
        <f ca="1">IF(debt_period=0,
E37+F37,
IF(OR(A37="",B37="",B37="N/A"),"",IF(B37=1,((debt_interest*(1+debt_interest)^debt_period)/((1+debt_interest)^debt_period-1))*(-'Cash Flow Analysis'!G88),IF(G36=0,"",D36))))</f>
        <v>16431880.502550719</v>
      </c>
      <c r="E37" s="878">
        <f t="shared" ca="1" si="0"/>
        <v>16431880.502550719</v>
      </c>
      <c r="F37" s="878">
        <f t="shared" si="2"/>
        <v>0</v>
      </c>
      <c r="G37" s="1142">
        <f t="shared" ca="1" si="1"/>
        <v>444104878.44731677</v>
      </c>
    </row>
    <row r="38" spans="1:7" s="51" customFormat="1" ht="15" customHeight="1" x14ac:dyDescent="0.25">
      <c r="A38" s="875">
        <f>'Cash Flow Analysis'!B89</f>
        <v>25</v>
      </c>
      <c r="B38" s="1141">
        <f>IF(B37="","",IF('Cash Flow Analysis'!$B$31=0,"N/A",IF(A38=1,1,IF(A37=debt_period,"",B37+1))))</f>
        <v>25</v>
      </c>
      <c r="C38" s="878">
        <f ca="1">IF(OR(A38="",B38="",B38="N/A"),"",IF(B38=1,-'Cash Flow Analysis'!G89,IF(B38="N/A",0,G37)))</f>
        <v>444104878.44731677</v>
      </c>
      <c r="D38" s="878">
        <f ca="1">IF(debt_period=0,
E38+F38,
IF(OR(A38="",B38="",B38="N/A"),"",IF(B38=1,((debt_interest*(1+debt_interest)^debt_period)/((1+debt_interest)^debt_period-1))*(-'Cash Flow Analysis'!G89),IF(G37=0,"",D37))))</f>
        <v>16431880.502550719</v>
      </c>
      <c r="E38" s="878">
        <f t="shared" ca="1" si="0"/>
        <v>16431880.502550719</v>
      </c>
      <c r="F38" s="878">
        <f t="shared" si="2"/>
        <v>0</v>
      </c>
      <c r="G38" s="1142">
        <f t="shared" ca="1" si="1"/>
        <v>444104878.44731677</v>
      </c>
    </row>
    <row r="39" spans="1:7" s="51" customFormat="1" ht="15" customHeight="1" x14ac:dyDescent="0.25">
      <c r="A39" s="875">
        <f>'Cash Flow Analysis'!B90</f>
        <v>26</v>
      </c>
      <c r="B39" s="1141">
        <f>IF(B38="","",IF('Cash Flow Analysis'!$B$31=0,"N/A",IF(A39=1,1,IF(A38=debt_period,"",B38+1))))</f>
        <v>26</v>
      </c>
      <c r="C39" s="878">
        <f ca="1">IF(OR(A39="",B39="",B39="N/A"),"",IF(B39=1,-'Cash Flow Analysis'!G90,IF(B39="N/A",0,G38)))</f>
        <v>444104878.44731677</v>
      </c>
      <c r="D39" s="878">
        <f ca="1">IF(debt_period=0,
E39+F39,
IF(OR(A39="",B39="",B39="N/A"),"",IF(B39=1,((debt_interest*(1+debt_interest)^debt_period)/((1+debt_interest)^debt_period-1))*(-'Cash Flow Analysis'!G90),IF(G38=0,"",D38))))</f>
        <v>16431880.502550719</v>
      </c>
      <c r="E39" s="878">
        <f t="shared" ca="1" si="0"/>
        <v>16431880.502550719</v>
      </c>
      <c r="F39" s="878">
        <f t="shared" si="2"/>
        <v>0</v>
      </c>
      <c r="G39" s="1142">
        <f t="shared" ca="1" si="1"/>
        <v>444104878.44731677</v>
      </c>
    </row>
    <row r="40" spans="1:7" s="51" customFormat="1" ht="15" customHeight="1" x14ac:dyDescent="0.25">
      <c r="A40" s="875">
        <f>'Cash Flow Analysis'!B91</f>
        <v>27</v>
      </c>
      <c r="B40" s="1141">
        <f>IF(B39="","",IF('Cash Flow Analysis'!$B$31=0,"N/A",IF(A40=1,1,IF(A39=debt_period,"",B39+1))))</f>
        <v>27</v>
      </c>
      <c r="C40" s="878">
        <f ca="1">IF(OR(A40="",B40="",B40="N/A"),"",IF(B40=1,-'Cash Flow Analysis'!G91,IF(B40="N/A",0,G39)))</f>
        <v>444104878.44731677</v>
      </c>
      <c r="D40" s="878">
        <f ca="1">IF(debt_period=0,
E40+F40,
IF(OR(A40="",B40="",B40="N/A"),"",IF(B40=1,((debt_interest*(1+debt_interest)^debt_period)/((1+debt_interest)^debt_period-1))*(-'Cash Flow Analysis'!G91),IF(G39=0,"",D39))))</f>
        <v>16431880.502550719</v>
      </c>
      <c r="E40" s="878">
        <f t="shared" ca="1" si="0"/>
        <v>16431880.502550719</v>
      </c>
      <c r="F40" s="878">
        <f t="shared" si="2"/>
        <v>0</v>
      </c>
      <c r="G40" s="1142">
        <f t="shared" ca="1" si="1"/>
        <v>444104878.44731677</v>
      </c>
    </row>
    <row r="41" spans="1:7" s="51" customFormat="1" ht="15" customHeight="1" x14ac:dyDescent="0.25">
      <c r="A41" s="875">
        <f>'Cash Flow Analysis'!B92</f>
        <v>28</v>
      </c>
      <c r="B41" s="1141">
        <f>IF(B40="","",IF('Cash Flow Analysis'!$B$31=0,"N/A",IF(A41=1,1,IF(A40=debt_period,"",B40+1))))</f>
        <v>28</v>
      </c>
      <c r="C41" s="878">
        <f ca="1">IF(OR(A41="",B41="",B41="N/A"),"",IF(B41=1,-'Cash Flow Analysis'!G92,IF(B41="N/A",0,G40)))</f>
        <v>444104878.44731677</v>
      </c>
      <c r="D41" s="878">
        <f ca="1">IF(debt_period=0,
E41+F41,
IF(OR(A41="",B41="",B41="N/A"),"",IF(B41=1,((debt_interest*(1+debt_interest)^debt_period)/((1+debt_interest)^debt_period-1))*(-'Cash Flow Analysis'!G92),IF(G40=0,"",D40))))</f>
        <v>16431880.502550719</v>
      </c>
      <c r="E41" s="878">
        <f t="shared" ca="1" si="0"/>
        <v>16431880.502550719</v>
      </c>
      <c r="F41" s="878">
        <f t="shared" si="2"/>
        <v>0</v>
      </c>
      <c r="G41" s="1142">
        <f t="shared" ca="1" si="1"/>
        <v>444104878.44731677</v>
      </c>
    </row>
    <row r="42" spans="1:7" s="51" customFormat="1" ht="15" customHeight="1" x14ac:dyDescent="0.25">
      <c r="A42" s="875">
        <f>'Cash Flow Analysis'!B93</f>
        <v>29</v>
      </c>
      <c r="B42" s="1141">
        <f>IF(B41="","",IF('Cash Flow Analysis'!$B$31=0,"N/A",IF(A42=1,1,IF(A41=debt_period,"",B41+1))))</f>
        <v>29</v>
      </c>
      <c r="C42" s="878">
        <f ca="1">IF(OR(A42="",B42="",B42="N/A"),"",IF(B42=1,-'Cash Flow Analysis'!G93,IF(B42="N/A",0,G41)))</f>
        <v>444104878.44731677</v>
      </c>
      <c r="D42" s="878">
        <f ca="1">IF(debt_period=0,
E42+F42,
IF(OR(A42="",B42="",B42="N/A"),"",IF(B42=1,((debt_interest*(1+debt_interest)^debt_period)/((1+debt_interest)^debt_period-1))*(-'Cash Flow Analysis'!G93),IF(G41=0,"",D41))))</f>
        <v>16431880.502550719</v>
      </c>
      <c r="E42" s="878">
        <f t="shared" ca="1" si="0"/>
        <v>16431880.502550719</v>
      </c>
      <c r="F42" s="878">
        <f t="shared" si="2"/>
        <v>0</v>
      </c>
      <c r="G42" s="1142">
        <f t="shared" ca="1" si="1"/>
        <v>444104878.44731677</v>
      </c>
    </row>
    <row r="43" spans="1:7" s="51" customFormat="1" ht="15" customHeight="1" x14ac:dyDescent="0.25">
      <c r="A43" s="875">
        <f>'Cash Flow Analysis'!B94</f>
        <v>30</v>
      </c>
      <c r="B43" s="1141">
        <f>IF(B42="","",IF('Cash Flow Analysis'!$B$31=0,"N/A",IF(A43=1,1,IF(A42=debt_period,"",B42+1))))</f>
        <v>30</v>
      </c>
      <c r="C43" s="878">
        <f ca="1">IF(OR(A43="",B43="",B43="N/A"),"",IF(B43=1,-'Cash Flow Analysis'!G94,IF(B43="N/A",0,G42)))</f>
        <v>444104878.44731677</v>
      </c>
      <c r="D43" s="878">
        <f ca="1">IF(debt_period=0,
E43+F43,
IF(OR(A43="",B43="",B43="N/A"),"",IF(B43=1,((debt_interest*(1+debt_interest)^debt_period)/((1+debt_interest)^debt_period-1))*(-'Cash Flow Analysis'!G94),IF(G42=0,"",D42))))</f>
        <v>16431880.502550719</v>
      </c>
      <c r="E43" s="878">
        <f t="shared" ca="1" si="0"/>
        <v>16431880.502550719</v>
      </c>
      <c r="F43" s="878">
        <f t="shared" si="2"/>
        <v>0</v>
      </c>
      <c r="G43" s="1142">
        <f t="shared" ca="1" si="1"/>
        <v>444104878.44731677</v>
      </c>
    </row>
    <row r="44" spans="1:7" s="51" customFormat="1" ht="15" customHeight="1" x14ac:dyDescent="0.25">
      <c r="A44" s="875">
        <f>'Cash Flow Analysis'!B95</f>
        <v>31</v>
      </c>
      <c r="B44" s="1141">
        <f>IF(B43="","",IF('Cash Flow Analysis'!$B$31=0,"N/A",IF(A44=1,1,IF(A43=debt_period,"",B43+1))))</f>
        <v>31</v>
      </c>
      <c r="C44" s="878">
        <f ca="1">IF(OR(A44="",B44="",B44="N/A"),"",IF(B44=1,-'Cash Flow Analysis'!G95,IF(B44="N/A",0,G43)))</f>
        <v>444104878.44731677</v>
      </c>
      <c r="D44" s="878">
        <f ca="1">IF(debt_period=0,
E44+F44,
IF(OR(A44="",B44="",B44="N/A"),"",IF(B44=1,((debt_interest*(1+debt_interest)^debt_period)/((1+debt_interest)^debt_period-1))*(-'Cash Flow Analysis'!G95),IF(G43=0,"",D43))))</f>
        <v>16431880.502550719</v>
      </c>
      <c r="E44" s="878">
        <f t="shared" ca="1" si="0"/>
        <v>16431880.502550719</v>
      </c>
      <c r="F44" s="878">
        <f t="shared" si="2"/>
        <v>0</v>
      </c>
      <c r="G44" s="1142">
        <f t="shared" ca="1" si="1"/>
        <v>444104878.44731677</v>
      </c>
    </row>
    <row r="45" spans="1:7" s="51" customFormat="1" ht="15" customHeight="1" x14ac:dyDescent="0.25">
      <c r="A45" s="875">
        <f>'Cash Flow Analysis'!B96</f>
        <v>32</v>
      </c>
      <c r="B45" s="1141">
        <f>IF(B44="","",IF('Cash Flow Analysis'!$B$31=0,"N/A",IF(A45=1,1,IF(A44=debt_period,"",B44+1))))</f>
        <v>32</v>
      </c>
      <c r="C45" s="878">
        <f ca="1">IF(OR(A45="",B45="",B45="N/A"),"",IF(B45=1,-'Cash Flow Analysis'!G96,IF(B45="N/A",0,G44)))</f>
        <v>444104878.44731677</v>
      </c>
      <c r="D45" s="878">
        <f ca="1">IF(debt_period=0,
E45+F45,
IF(OR(A45="",B45="",B45="N/A"),"",IF(B45=1,((debt_interest*(1+debt_interest)^debt_period)/((1+debt_interest)^debt_period-1))*(-'Cash Flow Analysis'!G96),IF(G44=0,"",D44))))</f>
        <v>16431880.502550719</v>
      </c>
      <c r="E45" s="878">
        <f t="shared" ca="1" si="0"/>
        <v>16431880.502550719</v>
      </c>
      <c r="F45" s="878">
        <f t="shared" si="2"/>
        <v>0</v>
      </c>
      <c r="G45" s="1142">
        <f t="shared" ca="1" si="1"/>
        <v>444104878.44731677</v>
      </c>
    </row>
    <row r="46" spans="1:7" s="51" customFormat="1" ht="15" customHeight="1" x14ac:dyDescent="0.25">
      <c r="A46" s="875">
        <f>'Cash Flow Analysis'!B97</f>
        <v>33</v>
      </c>
      <c r="B46" s="1141">
        <f>IF(B45="","",IF('Cash Flow Analysis'!$B$31=0,"N/A",IF(A46=1,1,IF(A45=debt_period,"",B45+1))))</f>
        <v>33</v>
      </c>
      <c r="C46" s="878">
        <f ca="1">IF(OR(A46="",B46="",B46="N/A"),"",IF(B46=1,-'Cash Flow Analysis'!G97,IF(B46="N/A",0,G45)))</f>
        <v>444104878.44731677</v>
      </c>
      <c r="D46" s="878">
        <f ca="1">IF(debt_period=0,
E46+F46,
IF(OR(A46="",B46="",B46="N/A"),"",IF(B46=1,((debt_interest*(1+debt_interest)^debt_period)/((1+debt_interest)^debt_period-1))*(-'Cash Flow Analysis'!G97),IF(G45=0,"",D45))))</f>
        <v>16431880.502550719</v>
      </c>
      <c r="E46" s="878">
        <f t="shared" ca="1" si="0"/>
        <v>16431880.502550719</v>
      </c>
      <c r="F46" s="878">
        <f t="shared" si="2"/>
        <v>0</v>
      </c>
      <c r="G46" s="1142">
        <f t="shared" ca="1" si="1"/>
        <v>444104878.44731677</v>
      </c>
    </row>
    <row r="47" spans="1:7" s="51" customFormat="1" ht="15" customHeight="1" x14ac:dyDescent="0.25">
      <c r="A47" s="875">
        <f>'Cash Flow Analysis'!B98</f>
        <v>34</v>
      </c>
      <c r="B47" s="1141">
        <f>IF(B46="","",IF('Cash Flow Analysis'!$B$31=0,"N/A",IF(A47=1,1,IF(A46=debt_period,"",B46+1))))</f>
        <v>34</v>
      </c>
      <c r="C47" s="878">
        <f ca="1">IF(OR(A47="",B47="",B47="N/A"),"",IF(B47=1,-'Cash Flow Analysis'!G98,IF(B47="N/A",0,G46)))</f>
        <v>444104878.44731677</v>
      </c>
      <c r="D47" s="878">
        <f ca="1">IF(debt_period=0,
E47+F47,
IF(OR(A47="",B47="",B47="N/A"),"",IF(B47=1,((debt_interest*(1+debt_interest)^debt_period)/((1+debt_interest)^debt_period-1))*(-'Cash Flow Analysis'!G98),IF(G46=0,"",D46))))</f>
        <v>16431880.502550719</v>
      </c>
      <c r="E47" s="878">
        <f t="shared" ca="1" si="0"/>
        <v>16431880.502550719</v>
      </c>
      <c r="F47" s="878">
        <f t="shared" si="2"/>
        <v>0</v>
      </c>
      <c r="G47" s="1142">
        <f t="shared" ca="1" si="1"/>
        <v>444104878.44731677</v>
      </c>
    </row>
    <row r="48" spans="1:7" s="51" customFormat="1" ht="15" customHeight="1" x14ac:dyDescent="0.25">
      <c r="A48" s="875">
        <f>'Cash Flow Analysis'!B99</f>
        <v>35</v>
      </c>
      <c r="B48" s="1141">
        <f>IF(B47="","",IF('Cash Flow Analysis'!$B$31=0,"N/A",IF(A48=1,1,IF(A47=debt_period,"",B47+1))))</f>
        <v>35</v>
      </c>
      <c r="C48" s="878">
        <f ca="1">IF(OR(A48="",B48="",B48="N/A"),"",IF(B48=1,-'Cash Flow Analysis'!G99,IF(B48="N/A",0,G47)))</f>
        <v>444104878.44731677</v>
      </c>
      <c r="D48" s="878">
        <f ca="1">IF(debt_period=0,
E48+F48,
IF(OR(A48="",B48="",B48="N/A"),"",IF(B48=1,((debt_interest*(1+debt_interest)^debt_period)/((1+debt_interest)^debt_period-1))*(-'Cash Flow Analysis'!G99),IF(G47=0,"",D47))))</f>
        <v>16431880.502550719</v>
      </c>
      <c r="E48" s="878">
        <f t="shared" ca="1" si="0"/>
        <v>16431880.502550719</v>
      </c>
      <c r="F48" s="878">
        <f t="shared" si="2"/>
        <v>0</v>
      </c>
      <c r="G48" s="1142">
        <f t="shared" ca="1" si="1"/>
        <v>444104878.44731677</v>
      </c>
    </row>
    <row r="49" spans="1:7" s="51" customFormat="1" ht="15" customHeight="1" x14ac:dyDescent="0.25">
      <c r="A49" s="875">
        <f>'Cash Flow Analysis'!B100</f>
        <v>36</v>
      </c>
      <c r="B49" s="1141">
        <f>IF(B48="","",IF('Cash Flow Analysis'!$B$31=0,"N/A",IF(A49=1,1,IF(A48=debt_period,"",B48+1))))</f>
        <v>36</v>
      </c>
      <c r="C49" s="878">
        <f ca="1">IF(OR(A49="",B49="",B49="N/A"),"",IF(B49=1,-'Cash Flow Analysis'!G100,IF(B49="N/A",0,G48)))</f>
        <v>444104878.44731677</v>
      </c>
      <c r="D49" s="878">
        <f ca="1">IF(debt_period=0,
E49+F49,
IF(OR(A49="",B49="",B49="N/A"),"",IF(B49=1,((debt_interest*(1+debt_interest)^debt_period)/((1+debt_interest)^debt_period-1))*(-'Cash Flow Analysis'!G100),IF(G48=0,"",D48))))</f>
        <v>16431880.502550719</v>
      </c>
      <c r="E49" s="878">
        <f t="shared" ca="1" si="0"/>
        <v>16431880.502550719</v>
      </c>
      <c r="F49" s="878">
        <f t="shared" si="2"/>
        <v>0</v>
      </c>
      <c r="G49" s="1142">
        <f t="shared" ca="1" si="1"/>
        <v>444104878.44731677</v>
      </c>
    </row>
    <row r="50" spans="1:7" s="51" customFormat="1" ht="15" customHeight="1" x14ac:dyDescent="0.25">
      <c r="A50" s="875">
        <f>'Cash Flow Analysis'!B101</f>
        <v>37</v>
      </c>
      <c r="B50" s="1141">
        <f>IF(B49="","",IF('Cash Flow Analysis'!$B$31=0,"N/A",IF(A50=1,1,IF(A49=debt_period,"",B49+1))))</f>
        <v>37</v>
      </c>
      <c r="C50" s="878">
        <f ca="1">IF(OR(A50="",B50="",B50="N/A"),"",IF(B50=1,-'Cash Flow Analysis'!G101,IF(B50="N/A",0,G49)))</f>
        <v>444104878.44731677</v>
      </c>
      <c r="D50" s="878">
        <f ca="1">IF(debt_period=0,
E50+F50,
IF(OR(A50="",B50="",B50="N/A"),"",IF(B50=1,((debt_interest*(1+debt_interest)^debt_period)/((1+debt_interest)^debt_period-1))*(-'Cash Flow Analysis'!G101),IF(G49=0,"",D49))))</f>
        <v>16431880.502550719</v>
      </c>
      <c r="E50" s="878">
        <f t="shared" ca="1" si="0"/>
        <v>16431880.502550719</v>
      </c>
      <c r="F50" s="878">
        <f t="shared" si="2"/>
        <v>0</v>
      </c>
      <c r="G50" s="1142">
        <f t="shared" ca="1" si="1"/>
        <v>444104878.44731677</v>
      </c>
    </row>
    <row r="51" spans="1:7" s="51" customFormat="1" ht="15" customHeight="1" x14ac:dyDescent="0.25">
      <c r="A51" s="875">
        <f>'Cash Flow Analysis'!B102</f>
        <v>38</v>
      </c>
      <c r="B51" s="1141">
        <f>IF(B50="","",IF('Cash Flow Analysis'!$B$31=0,"N/A",IF(A51=1,1,IF(A50=debt_period,"",B50+1))))</f>
        <v>38</v>
      </c>
      <c r="C51" s="878">
        <f ca="1">IF(OR(A51="",B51="",B51="N/A"),"",IF(B51=1,-'Cash Flow Analysis'!G102,IF(B51="N/A",0,G50)))</f>
        <v>444104878.44731677</v>
      </c>
      <c r="D51" s="878">
        <f ca="1">IF(debt_period=0,
E51+F51,
IF(OR(A51="",B51="",B51="N/A"),"",IF(B51=1,((debt_interest*(1+debt_interest)^debt_period)/((1+debt_interest)^debt_period-1))*(-'Cash Flow Analysis'!G102),IF(G50=0,"",D50))))</f>
        <v>16431880.502550719</v>
      </c>
      <c r="E51" s="878">
        <f t="shared" ca="1" si="0"/>
        <v>16431880.502550719</v>
      </c>
      <c r="F51" s="878">
        <f t="shared" si="2"/>
        <v>0</v>
      </c>
      <c r="G51" s="1142">
        <f t="shared" ca="1" si="1"/>
        <v>444104878.44731677</v>
      </c>
    </row>
    <row r="52" spans="1:7" s="51" customFormat="1" ht="15" customHeight="1" x14ac:dyDescent="0.25">
      <c r="A52" s="875">
        <f>'Cash Flow Analysis'!B103</f>
        <v>39</v>
      </c>
      <c r="B52" s="1141">
        <f>IF(B51="","",IF('Cash Flow Analysis'!$B$31=0,"N/A",IF(A52=1,1,IF(A51=debt_period,"",B51+1))))</f>
        <v>39</v>
      </c>
      <c r="C52" s="878">
        <f ca="1">IF(OR(A52="",B52="",B52="N/A"),"",IF(B52=1,-'Cash Flow Analysis'!G103,IF(B52="N/A",0,G51)))</f>
        <v>444104878.44731677</v>
      </c>
      <c r="D52" s="878">
        <f ca="1">IF(debt_period=0,
E52+F52,
IF(OR(A52="",B52="",B52="N/A"),"",IF(B52=1,((debt_interest*(1+debt_interest)^debt_period)/((1+debt_interest)^debt_period-1))*(-'Cash Flow Analysis'!G103),IF(G51=0,"",D51))))</f>
        <v>16431880.502550719</v>
      </c>
      <c r="E52" s="878">
        <f t="shared" ca="1" si="0"/>
        <v>16431880.502550719</v>
      </c>
      <c r="F52" s="878">
        <f t="shared" si="2"/>
        <v>0</v>
      </c>
      <c r="G52" s="1142">
        <f t="shared" ca="1" si="1"/>
        <v>444104878.44731677</v>
      </c>
    </row>
    <row r="53" spans="1:7" s="51" customFormat="1" ht="15" customHeight="1" x14ac:dyDescent="0.25">
      <c r="A53" s="875">
        <f>'Cash Flow Analysis'!B104</f>
        <v>40</v>
      </c>
      <c r="B53" s="1141">
        <f>IF(B52="","",IF('Cash Flow Analysis'!$B$31=0,"N/A",IF(A53=1,1,IF(A52=debt_period,"",B52+1))))</f>
        <v>40</v>
      </c>
      <c r="C53" s="878">
        <f ca="1">IF(OR(A53="",B53="",B53="N/A"),"",IF(B53=1,-'Cash Flow Analysis'!G104,IF(B53="N/A",0,G52)))</f>
        <v>444104878.44731677</v>
      </c>
      <c r="D53" s="878">
        <f ca="1">IF(debt_period=0,
E53+F53,
IF(OR(A53="",B53="",B53="N/A"),"",IF(B53=1,((debt_interest*(1+debt_interest)^debt_period)/((1+debt_interest)^debt_period-1))*(-'Cash Flow Analysis'!G104),IF(G52=0,"",D52))))</f>
        <v>16431880.502550719</v>
      </c>
      <c r="E53" s="878">
        <f t="shared" ca="1" si="0"/>
        <v>16431880.502550719</v>
      </c>
      <c r="F53" s="878">
        <f t="shared" si="2"/>
        <v>0</v>
      </c>
      <c r="G53" s="1142">
        <f t="shared" ca="1" si="1"/>
        <v>444104878.44731677</v>
      </c>
    </row>
    <row r="54" spans="1:7" s="51" customFormat="1" ht="15" customHeight="1" x14ac:dyDescent="0.25">
      <c r="A54" s="875">
        <f>'Cash Flow Analysis'!B105</f>
        <v>41</v>
      </c>
      <c r="B54" s="1141">
        <f>IF(B53="","",IF('Cash Flow Analysis'!$B$31=0,"N/A",IF(A54=1,1,IF(A53=debt_period,"",B53+1))))</f>
        <v>41</v>
      </c>
      <c r="C54" s="878">
        <f ca="1">IF(OR(A54="",B54="",B54="N/A"),"",IF(B54=1,-'Cash Flow Analysis'!G105,IF(B54="N/A",0,G53)))</f>
        <v>444104878.44731677</v>
      </c>
      <c r="D54" s="878">
        <f ca="1">IF(debt_period=0,
E54+F54,
IF(OR(A54="",B54="",B54="N/A"),"",IF(B54=1,((debt_interest*(1+debt_interest)^debt_period)/((1+debt_interest)^debt_period-1))*(-'Cash Flow Analysis'!G105),IF(G53=0,"",D53))))</f>
        <v>16431880.502550719</v>
      </c>
      <c r="E54" s="878">
        <f t="shared" ca="1" si="0"/>
        <v>16431880.502550719</v>
      </c>
      <c r="F54" s="878">
        <f t="shared" si="2"/>
        <v>0</v>
      </c>
      <c r="G54" s="1142">
        <f t="shared" ca="1" si="1"/>
        <v>444104878.44731677</v>
      </c>
    </row>
    <row r="55" spans="1:7" s="51" customFormat="1" ht="15" customHeight="1" x14ac:dyDescent="0.25">
      <c r="A55" s="875">
        <f>'Cash Flow Analysis'!B106</f>
        <v>42</v>
      </c>
      <c r="B55" s="1141">
        <f>IF(B54="","",IF('Cash Flow Analysis'!$B$31=0,"N/A",IF(A55=1,1,IF(A54=debt_period,"",B54+1))))</f>
        <v>42</v>
      </c>
      <c r="C55" s="878">
        <f ca="1">IF(OR(A55="",B55="",B55="N/A"),"",IF(B55=1,-'Cash Flow Analysis'!G106,IF(B55="N/A",0,G54)))</f>
        <v>444104878.44731677</v>
      </c>
      <c r="D55" s="878">
        <f ca="1">IF(debt_period=0,
E55+F55,
IF(OR(A55="",B55="",B55="N/A"),"",IF(B55=1,((debt_interest*(1+debt_interest)^debt_period)/((1+debt_interest)^debt_period-1))*(-'Cash Flow Analysis'!G106),IF(G54=0,"",D54))))</f>
        <v>16431880.502550719</v>
      </c>
      <c r="E55" s="878">
        <f t="shared" ca="1" si="0"/>
        <v>16431880.502550719</v>
      </c>
      <c r="F55" s="878">
        <f t="shared" si="2"/>
        <v>0</v>
      </c>
      <c r="G55" s="1142">
        <f t="shared" ca="1" si="1"/>
        <v>444104878.44731677</v>
      </c>
    </row>
    <row r="56" spans="1:7" s="51" customFormat="1" ht="15" customHeight="1" x14ac:dyDescent="0.25">
      <c r="A56" s="875">
        <f>'Cash Flow Analysis'!B107</f>
        <v>43</v>
      </c>
      <c r="B56" s="1141">
        <f>IF(B55="","",IF('Cash Flow Analysis'!$B$31=0,"N/A",IF(A56=1,1,IF(A55=debt_period,"",B55+1))))</f>
        <v>43</v>
      </c>
      <c r="C56" s="878">
        <f ca="1">IF(OR(A56="",B56="",B56="N/A"),"",IF(B56=1,-'Cash Flow Analysis'!G107,IF(B56="N/A",0,G55)))</f>
        <v>444104878.44731677</v>
      </c>
      <c r="D56" s="878">
        <f ca="1">IF(debt_period=0,
E56+F56,
IF(OR(A56="",B56="",B56="N/A"),"",IF(B56=1,((debt_interest*(1+debt_interest)^debt_period)/((1+debt_interest)^debt_period-1))*(-'Cash Flow Analysis'!G107),IF(G55=0,"",D55))))</f>
        <v>460536758.94986749</v>
      </c>
      <c r="E56" s="878">
        <f t="shared" ca="1" si="0"/>
        <v>16431880.502550719</v>
      </c>
      <c r="F56" s="878">
        <f t="shared" ca="1" si="2"/>
        <v>444104878.44731677</v>
      </c>
      <c r="G56" s="1142">
        <f t="shared" ca="1" si="1"/>
        <v>0</v>
      </c>
    </row>
    <row r="57" spans="1:7" s="51" customFormat="1" ht="15" customHeight="1" thickBot="1" x14ac:dyDescent="0.3">
      <c r="A57" s="1143" t="str">
        <f>'Cash Flow Analysis'!B108</f>
        <v/>
      </c>
      <c r="B57" s="1144">
        <f>IF(B56="","",IF('Cash Flow Analysis'!$B$31=0,"N/A",IF(A57=1,1,IF(A56=debt_period,"",B56+1))))</f>
        <v>44</v>
      </c>
      <c r="C57" s="1145" t="str">
        <f>IF(OR(A57="",B57="",B57="N/A"),"",IF(B57=1,-'Cash Flow Analysis'!G108,IF(B57="N/A",0,G56)))</f>
        <v/>
      </c>
      <c r="D57" s="1145" t="str">
        <f>IF(F57=0,E57,
IF(OR(A57="",B57="",B57="N/A"),"",IF(B57=1,((debt_interest*(1+debt_interest)^debt_period)/((1+debt_interest)^debt_period-1))*(-'Cash Flow Analysis'!G108),IF(G56=0,"",D56))))</f>
        <v/>
      </c>
      <c r="E57" s="1145" t="str">
        <f t="shared" si="0"/>
        <v/>
      </c>
      <c r="F57" s="1145">
        <f t="shared" si="2"/>
        <v>0</v>
      </c>
      <c r="G57" s="1146" t="str">
        <f t="shared" si="1"/>
        <v/>
      </c>
    </row>
    <row r="58" spans="1:7" ht="13.8"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33203125" defaultRowHeight="13.2" x14ac:dyDescent="0.25"/>
  <cols>
    <col min="1" max="1" width="31.33203125" style="36" customWidth="1"/>
    <col min="2" max="2" width="23.5546875" style="36" customWidth="1"/>
    <col min="3" max="3" width="19" style="36" customWidth="1"/>
    <col min="4" max="4" width="11.33203125" style="36" customWidth="1"/>
    <col min="5" max="5" width="12.6640625" style="36" customWidth="1"/>
    <col min="6" max="6" width="10.6640625" style="36" customWidth="1"/>
    <col min="7" max="7" width="13.33203125" style="36" customWidth="1"/>
    <col min="8" max="8" width="13.6640625" style="36" customWidth="1"/>
    <col min="9" max="9" width="11" style="36" customWidth="1"/>
    <col min="10" max="25" width="17.33203125" style="36" customWidth="1"/>
    <col min="26" max="16384" width="9.33203125" style="36"/>
  </cols>
  <sheetData>
    <row r="1" spans="1:8" ht="30.75" customHeight="1" x14ac:dyDescent="0.3">
      <c r="A1" s="35" t="s">
        <v>44</v>
      </c>
    </row>
    <row r="2" spans="1:8" ht="15" customHeight="1" x14ac:dyDescent="0.25">
      <c r="G2" s="37"/>
    </row>
    <row r="3" spans="1:8" ht="15" customHeight="1" x14ac:dyDescent="0.3">
      <c r="A3" s="40" t="s">
        <v>30</v>
      </c>
      <c r="B3" s="41"/>
      <c r="C3" s="41"/>
      <c r="D3" s="41"/>
      <c r="E3" s="42"/>
      <c r="F3" s="42"/>
      <c r="G3" s="42"/>
      <c r="H3" s="37"/>
    </row>
    <row r="4" spans="1:8" ht="15" customHeight="1" x14ac:dyDescent="0.3">
      <c r="A4" s="40" t="s">
        <v>31</v>
      </c>
      <c r="B4" s="41"/>
      <c r="C4" s="41"/>
      <c r="D4" s="41"/>
      <c r="E4" s="42"/>
      <c r="F4" s="42"/>
      <c r="G4" s="42"/>
      <c r="H4" s="37"/>
    </row>
    <row r="5" spans="1:8" ht="15" customHeight="1" x14ac:dyDescent="0.25">
      <c r="G5" s="37"/>
    </row>
    <row r="6" spans="1:8" ht="15" customHeight="1" x14ac:dyDescent="0.25">
      <c r="A6" s="34"/>
      <c r="B6" s="39" t="s">
        <v>32</v>
      </c>
    </row>
    <row r="7" spans="1:8" ht="15" customHeight="1" x14ac:dyDescent="0.25">
      <c r="A7" s="44"/>
      <c r="B7" s="39" t="s">
        <v>33</v>
      </c>
    </row>
    <row r="8" spans="1:8" ht="15" customHeight="1" x14ac:dyDescent="0.25">
      <c r="A8" s="45"/>
      <c r="B8" s="39" t="s">
        <v>34</v>
      </c>
    </row>
    <row r="9" spans="1:8" ht="15" customHeight="1" x14ac:dyDescent="0.25">
      <c r="A9" s="46"/>
      <c r="B9" s="39" t="s">
        <v>35</v>
      </c>
    </row>
    <row r="10" spans="1:8" ht="15" customHeight="1" x14ac:dyDescent="0.25"/>
    <row r="11" spans="1:8" ht="15" customHeight="1" thickBot="1" x14ac:dyDescent="0.3"/>
    <row r="12" spans="1:8" ht="29.25" customHeight="1" thickTop="1" thickBot="1" x14ac:dyDescent="0.35">
      <c r="B12" s="61" t="s">
        <v>45</v>
      </c>
      <c r="C12" s="62"/>
      <c r="D12" s="62"/>
      <c r="E12" s="62"/>
      <c r="F12" s="62"/>
      <c r="G12" s="62"/>
      <c r="H12" s="63"/>
    </row>
    <row r="13" spans="1:8" ht="15" customHeight="1" thickTop="1" thickBot="1" x14ac:dyDescent="0.3">
      <c r="B13" s="64"/>
      <c r="C13" s="1649" t="s">
        <v>46</v>
      </c>
      <c r="D13" s="1649"/>
      <c r="E13" s="1649"/>
      <c r="F13" s="1649"/>
      <c r="G13" s="1649"/>
      <c r="H13" s="1650"/>
    </row>
    <row r="14" spans="1:8" ht="15" customHeight="1" thickTop="1" thickBot="1" x14ac:dyDescent="0.3">
      <c r="B14" s="67" t="s">
        <v>46</v>
      </c>
      <c r="C14" s="68">
        <v>3</v>
      </c>
      <c r="D14" s="65">
        <v>5</v>
      </c>
      <c r="E14" s="65">
        <v>7</v>
      </c>
      <c r="F14" s="65">
        <v>10</v>
      </c>
      <c r="G14" s="65">
        <v>15</v>
      </c>
      <c r="H14" s="66">
        <v>20</v>
      </c>
    </row>
    <row r="15" spans="1:8" ht="15" customHeight="1" thickTop="1" x14ac:dyDescent="0.25">
      <c r="B15" s="69">
        <v>1</v>
      </c>
      <c r="C15" s="70">
        <v>0.33329999999999999</v>
      </c>
      <c r="D15" s="71">
        <v>0.2</v>
      </c>
      <c r="E15" s="71">
        <v>0.1429</v>
      </c>
      <c r="F15" s="71">
        <v>0.1</v>
      </c>
      <c r="G15" s="71">
        <v>0.05</v>
      </c>
      <c r="H15" s="72">
        <v>3.7499999999999999E-2</v>
      </c>
    </row>
    <row r="16" spans="1:8" ht="15" customHeight="1" x14ac:dyDescent="0.25">
      <c r="B16" s="73">
        <v>2</v>
      </c>
      <c r="C16" s="74">
        <v>0.44450000000000001</v>
      </c>
      <c r="D16" s="75">
        <v>0.32</v>
      </c>
      <c r="E16" s="75">
        <v>0.24490000000000001</v>
      </c>
      <c r="F16" s="75">
        <v>0.18</v>
      </c>
      <c r="G16" s="75">
        <v>9.5000000000000001E-2</v>
      </c>
      <c r="H16" s="76">
        <v>7.2190000000000004E-2</v>
      </c>
    </row>
    <row r="17" spans="2:8" ht="15" customHeight="1" x14ac:dyDescent="0.25">
      <c r="B17" s="73">
        <v>3</v>
      </c>
      <c r="C17" s="74">
        <v>0.14810000000000001</v>
      </c>
      <c r="D17" s="75">
        <v>0.192</v>
      </c>
      <c r="E17" s="75">
        <v>0.1749</v>
      </c>
      <c r="F17" s="75">
        <v>0.14399999999999999</v>
      </c>
      <c r="G17" s="75">
        <v>8.5500000000000007E-2</v>
      </c>
      <c r="H17" s="76">
        <v>6.6769999999999996E-2</v>
      </c>
    </row>
    <row r="18" spans="2:8" ht="15" customHeight="1" x14ac:dyDescent="0.25">
      <c r="B18" s="73">
        <v>4</v>
      </c>
      <c r="C18" s="74">
        <v>7.4099999999999999E-2</v>
      </c>
      <c r="D18" s="75">
        <v>0.1152</v>
      </c>
      <c r="E18" s="75">
        <v>0.1249</v>
      </c>
      <c r="F18" s="75">
        <v>0.1152</v>
      </c>
      <c r="G18" s="75">
        <v>7.6999999999999999E-2</v>
      </c>
      <c r="H18" s="76">
        <v>6.1769999999999999E-2</v>
      </c>
    </row>
    <row r="19" spans="2:8" ht="15" customHeight="1" x14ac:dyDescent="0.25">
      <c r="B19" s="73">
        <v>5</v>
      </c>
      <c r="C19" s="74"/>
      <c r="D19" s="75">
        <v>0.1152</v>
      </c>
      <c r="E19" s="75">
        <v>8.9300000000000004E-2</v>
      </c>
      <c r="F19" s="75">
        <v>9.2200000000000004E-2</v>
      </c>
      <c r="G19" s="75">
        <v>6.93E-2</v>
      </c>
      <c r="H19" s="76">
        <v>5.713E-2</v>
      </c>
    </row>
    <row r="20" spans="2:8" ht="15" customHeight="1" x14ac:dyDescent="0.25">
      <c r="B20" s="73">
        <v>6</v>
      </c>
      <c r="C20" s="74"/>
      <c r="D20" s="75">
        <v>5.7599999999999998E-2</v>
      </c>
      <c r="E20" s="75">
        <v>8.9200000000000002E-2</v>
      </c>
      <c r="F20" s="75">
        <v>7.3700000000000002E-2</v>
      </c>
      <c r="G20" s="75">
        <v>6.2300000000000001E-2</v>
      </c>
      <c r="H20" s="76">
        <v>5.2850000000000001E-2</v>
      </c>
    </row>
    <row r="21" spans="2:8" ht="15" customHeight="1" x14ac:dyDescent="0.25">
      <c r="B21" s="73">
        <v>7</v>
      </c>
      <c r="C21" s="74"/>
      <c r="D21" s="75"/>
      <c r="E21" s="75">
        <v>8.9300000000000004E-2</v>
      </c>
      <c r="F21" s="75">
        <v>6.5500000000000003E-2</v>
      </c>
      <c r="G21" s="75">
        <v>5.8999999999999997E-2</v>
      </c>
      <c r="H21" s="76">
        <v>4.888E-2</v>
      </c>
    </row>
    <row r="22" spans="2:8" ht="15" customHeight="1" x14ac:dyDescent="0.25">
      <c r="B22" s="73">
        <v>8</v>
      </c>
      <c r="C22" s="74"/>
      <c r="D22" s="75"/>
      <c r="E22" s="75">
        <v>4.4600000000000001E-2</v>
      </c>
      <c r="F22" s="75">
        <v>6.5500000000000003E-2</v>
      </c>
      <c r="G22" s="75">
        <v>5.8999999999999997E-2</v>
      </c>
      <c r="H22" s="76">
        <v>4.5220000000000003E-2</v>
      </c>
    </row>
    <row r="23" spans="2:8" ht="15" customHeight="1" x14ac:dyDescent="0.25">
      <c r="B23" s="73">
        <v>9</v>
      </c>
      <c r="C23" s="74"/>
      <c r="D23" s="75"/>
      <c r="E23" s="75"/>
      <c r="F23" s="75">
        <v>6.5600000000000006E-2</v>
      </c>
      <c r="G23" s="75">
        <v>5.91E-2</v>
      </c>
      <c r="H23" s="76">
        <v>4.462E-2</v>
      </c>
    </row>
    <row r="24" spans="2:8" ht="15" customHeight="1" x14ac:dyDescent="0.25">
      <c r="B24" s="73">
        <v>10</v>
      </c>
      <c r="C24" s="74"/>
      <c r="D24" s="75"/>
      <c r="E24" s="75"/>
      <c r="F24" s="75">
        <v>6.5500000000000003E-2</v>
      </c>
      <c r="G24" s="75">
        <v>5.8999999999999997E-2</v>
      </c>
      <c r="H24" s="76">
        <v>4.4609999999999997E-2</v>
      </c>
    </row>
    <row r="25" spans="2:8" ht="15" customHeight="1" x14ac:dyDescent="0.25">
      <c r="B25" s="73">
        <v>11</v>
      </c>
      <c r="C25" s="74"/>
      <c r="D25" s="75"/>
      <c r="E25" s="75"/>
      <c r="F25" s="75">
        <v>3.2800000000000003E-2</v>
      </c>
      <c r="G25" s="75">
        <v>5.91E-2</v>
      </c>
      <c r="H25" s="76">
        <v>4.462E-2</v>
      </c>
    </row>
    <row r="26" spans="2:8" ht="15" customHeight="1" x14ac:dyDescent="0.25">
      <c r="B26" s="73">
        <v>12</v>
      </c>
      <c r="C26" s="74"/>
      <c r="D26" s="75"/>
      <c r="E26" s="75"/>
      <c r="F26" s="75"/>
      <c r="G26" s="75">
        <v>5.8999999999999997E-2</v>
      </c>
      <c r="H26" s="76">
        <v>4.4609999999999997E-2</v>
      </c>
    </row>
    <row r="27" spans="2:8" ht="15" customHeight="1" x14ac:dyDescent="0.25">
      <c r="B27" s="73">
        <v>13</v>
      </c>
      <c r="C27" s="74"/>
      <c r="D27" s="75"/>
      <c r="E27" s="75"/>
      <c r="F27" s="75"/>
      <c r="G27" s="75">
        <v>5.91E-2</v>
      </c>
      <c r="H27" s="76">
        <v>4.462E-2</v>
      </c>
    </row>
    <row r="28" spans="2:8" ht="15" customHeight="1" x14ac:dyDescent="0.25">
      <c r="B28" s="73">
        <v>14</v>
      </c>
      <c r="C28" s="74"/>
      <c r="D28" s="75"/>
      <c r="E28" s="75"/>
      <c r="F28" s="75"/>
      <c r="G28" s="75">
        <v>5.8999999999999997E-2</v>
      </c>
      <c r="H28" s="76">
        <v>4.4609999999999997E-2</v>
      </c>
    </row>
    <row r="29" spans="2:8" ht="15" customHeight="1" x14ac:dyDescent="0.25">
      <c r="B29" s="73">
        <v>15</v>
      </c>
      <c r="C29" s="74"/>
      <c r="D29" s="75"/>
      <c r="E29" s="75"/>
      <c r="F29" s="75"/>
      <c r="G29" s="75">
        <v>5.91E-2</v>
      </c>
      <c r="H29" s="76">
        <v>4.462E-2</v>
      </c>
    </row>
    <row r="30" spans="2:8" ht="15" customHeight="1" x14ac:dyDescent="0.25">
      <c r="B30" s="73">
        <v>16</v>
      </c>
      <c r="C30" s="74"/>
      <c r="D30" s="75"/>
      <c r="E30" s="75"/>
      <c r="F30" s="75"/>
      <c r="G30" s="75">
        <v>2.9499999999999998E-2</v>
      </c>
      <c r="H30" s="76">
        <v>4.4609999999999997E-2</v>
      </c>
    </row>
    <row r="31" spans="2:8" ht="15" customHeight="1" x14ac:dyDescent="0.25">
      <c r="B31" s="73">
        <v>17</v>
      </c>
      <c r="C31" s="74"/>
      <c r="D31" s="75"/>
      <c r="E31" s="75"/>
      <c r="F31" s="75"/>
      <c r="G31" s="75"/>
      <c r="H31" s="76">
        <v>4.462E-2</v>
      </c>
    </row>
    <row r="32" spans="2:8" ht="15" customHeight="1" x14ac:dyDescent="0.25">
      <c r="B32" s="73">
        <v>18</v>
      </c>
      <c r="C32" s="74"/>
      <c r="D32" s="75"/>
      <c r="E32" s="75"/>
      <c r="F32" s="75"/>
      <c r="G32" s="75"/>
      <c r="H32" s="76">
        <v>4.4609999999999997E-2</v>
      </c>
    </row>
    <row r="33" spans="1:24" ht="15" customHeight="1" x14ac:dyDescent="0.25">
      <c r="B33" s="73">
        <v>19</v>
      </c>
      <c r="C33" s="74"/>
      <c r="D33" s="75"/>
      <c r="E33" s="75"/>
      <c r="F33" s="75"/>
      <c r="G33" s="75"/>
      <c r="H33" s="76">
        <v>4.462E-2</v>
      </c>
    </row>
    <row r="34" spans="1:24" ht="15" customHeight="1" x14ac:dyDescent="0.25">
      <c r="B34" s="73">
        <v>20</v>
      </c>
      <c r="C34" s="74"/>
      <c r="D34" s="75"/>
      <c r="E34" s="75"/>
      <c r="F34" s="75"/>
      <c r="G34" s="75"/>
      <c r="H34" s="76">
        <v>4.4609999999999997E-2</v>
      </c>
    </row>
    <row r="35" spans="1:24" ht="15" customHeight="1" thickBot="1" x14ac:dyDescent="0.3">
      <c r="B35" s="77">
        <v>21</v>
      </c>
      <c r="C35" s="78"/>
      <c r="D35" s="79"/>
      <c r="E35" s="79"/>
      <c r="F35" s="79"/>
      <c r="G35" s="79"/>
      <c r="H35" s="80">
        <v>2.231E-2</v>
      </c>
    </row>
    <row r="36" spans="1:24" ht="15" customHeight="1" thickTop="1" x14ac:dyDescent="0.25">
      <c r="B36" s="81" t="s">
        <v>47</v>
      </c>
      <c r="C36" s="82">
        <f t="shared" ref="C36:H36" ca="1" si="0">NPV(real_irr,C15:C35)</f>
        <v>0.861730483722558</v>
      </c>
      <c r="D36" s="83">
        <f t="shared" ca="1" si="0"/>
        <v>0.81132579180653486</v>
      </c>
      <c r="E36" s="83">
        <f t="shared" ca="1" si="0"/>
        <v>0.76611247423420981</v>
      </c>
      <c r="F36" s="83">
        <f t="shared" ca="1" si="0"/>
        <v>0.70592323058796147</v>
      </c>
      <c r="G36" s="83">
        <f t="shared" ca="1" si="0"/>
        <v>0.57966874115937961</v>
      </c>
      <c r="H36" s="84">
        <f t="shared" ca="1" si="0"/>
        <v>0.50624177952518146</v>
      </c>
    </row>
    <row r="37" spans="1:24" ht="15" customHeight="1" thickBot="1" x14ac:dyDescent="0.3">
      <c r="B37" s="77" t="s">
        <v>48</v>
      </c>
      <c r="C37" s="85">
        <f t="shared" ref="C37:H37" ca="1" si="1">NPV(nominal_irr,C15:C35)</f>
        <v>0.83149291060393982</v>
      </c>
      <c r="D37" s="86">
        <f t="shared" ca="1" si="1"/>
        <v>0.77231075823151107</v>
      </c>
      <c r="E37" s="86">
        <f t="shared" ca="1" si="1"/>
        <v>0.72034649543580254</v>
      </c>
      <c r="F37" s="86">
        <f t="shared" ca="1" si="1"/>
        <v>0.65286934217044934</v>
      </c>
      <c r="G37" s="86">
        <f t="shared" ca="1" si="1"/>
        <v>0.51586770297474116</v>
      </c>
      <c r="H37" s="87">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35">
      <c r="A41" s="88" t="s">
        <v>49</v>
      </c>
      <c r="B41" s="89"/>
    </row>
    <row r="42" spans="1:24" ht="15" customHeight="1" thickTop="1" x14ac:dyDescent="0.25">
      <c r="A42" s="90" t="s">
        <v>384</v>
      </c>
      <c r="B42" s="91" t="str">
        <f>depr_type</f>
        <v>MACRS</v>
      </c>
    </row>
    <row r="43" spans="1:24" ht="15" customHeight="1" x14ac:dyDescent="0.25">
      <c r="A43" s="92" t="s">
        <v>50</v>
      </c>
      <c r="B43" s="93">
        <f>depr_length</f>
        <v>20</v>
      </c>
    </row>
    <row r="44" spans="1:24" ht="15" customHeight="1" thickBot="1" x14ac:dyDescent="0.3">
      <c r="A44" s="94" t="s">
        <v>51</v>
      </c>
      <c r="B44" s="95">
        <f ca="1">-('Cash Flow Analysis'!G65+SUM('Cash Flow Analysis'!H65:H113))</f>
        <v>740174797.41219473</v>
      </c>
    </row>
    <row r="45" spans="1:24" ht="15" customHeight="1" thickTop="1" x14ac:dyDescent="0.25"/>
    <row r="46" spans="1:24" ht="15" customHeight="1" thickBot="1" x14ac:dyDescent="0.3"/>
    <row r="47" spans="1:24" ht="27" customHeight="1" thickTop="1" thickBot="1" x14ac:dyDescent="0.35">
      <c r="A47" s="96" t="s">
        <v>52</v>
      </c>
      <c r="B47" s="62"/>
      <c r="C47" s="62"/>
      <c r="D47" s="62"/>
      <c r="E47" s="62"/>
      <c r="F47" s="62"/>
      <c r="G47" s="62"/>
      <c r="H47" s="62"/>
      <c r="I47" s="62"/>
      <c r="J47" s="62"/>
      <c r="K47" s="62"/>
      <c r="L47" s="62"/>
      <c r="M47" s="62"/>
      <c r="N47" s="62"/>
      <c r="O47" s="62"/>
      <c r="P47" s="62"/>
      <c r="Q47" s="62"/>
      <c r="R47" s="62"/>
      <c r="S47" s="62"/>
      <c r="T47" s="62"/>
      <c r="U47" s="62"/>
      <c r="V47" s="62"/>
      <c r="W47" s="62"/>
      <c r="X47" s="63"/>
    </row>
    <row r="48" spans="1:24" ht="30.75" customHeight="1" thickTop="1" thickBot="1" x14ac:dyDescent="0.3">
      <c r="A48" s="97" t="s">
        <v>53</v>
      </c>
      <c r="B48" s="98" t="s">
        <v>54</v>
      </c>
      <c r="C48" s="99">
        <v>1</v>
      </c>
      <c r="D48" s="100">
        <v>2</v>
      </c>
      <c r="E48" s="100">
        <v>3</v>
      </c>
      <c r="F48" s="100">
        <v>4</v>
      </c>
      <c r="G48" s="100">
        <v>5</v>
      </c>
      <c r="H48" s="100">
        <v>6</v>
      </c>
      <c r="I48" s="100">
        <v>7</v>
      </c>
      <c r="J48" s="100">
        <v>8</v>
      </c>
      <c r="K48" s="100">
        <v>9</v>
      </c>
      <c r="L48" s="100">
        <v>10</v>
      </c>
      <c r="M48" s="100">
        <v>11</v>
      </c>
      <c r="N48" s="100">
        <v>12</v>
      </c>
      <c r="O48" s="100">
        <v>13</v>
      </c>
      <c r="P48" s="100">
        <v>14</v>
      </c>
      <c r="Q48" s="100">
        <v>15</v>
      </c>
      <c r="R48" s="100">
        <v>16</v>
      </c>
      <c r="S48" s="100">
        <v>17</v>
      </c>
      <c r="T48" s="100">
        <v>18</v>
      </c>
      <c r="U48" s="100">
        <v>19</v>
      </c>
      <c r="V48" s="100">
        <v>20</v>
      </c>
      <c r="W48" s="89">
        <v>21</v>
      </c>
      <c r="X48" s="67" t="s">
        <v>55</v>
      </c>
    </row>
    <row r="49" spans="1:24" ht="15" customHeight="1" thickTop="1" x14ac:dyDescent="0.25">
      <c r="A49" s="81">
        <f>IF('Cash Flow Analysis'!C65="","",'Cash Flow Analysis'!C65)</f>
        <v>-3</v>
      </c>
      <c r="B49" s="872">
        <f>IF(A49="","",IF(A49&lt;1,0,IF(A49=1,$B$44-'Cash Flow Analysis'!I65,-'Cash Flow Analysis'!I65)))</f>
        <v>0</v>
      </c>
      <c r="C49" s="101">
        <f>IF(B49="","",IF(AND($B$42="Straight Line",$C$48&lt;=depr_length),B49/depr_length,IF(AND($B$42="MACRS",$C$48&lt;=depr_length+1),B49*INDEX(MACRS_Table,MATCH($C$48,recovery_year,0),MATCH($B$43,recovery_period,0)),"")))</f>
        <v>0</v>
      </c>
      <c r="D49" s="102">
        <f t="shared" ref="D49:W49" si="2">IF($B$49="","",IF(AND($B$42="Straight Line",D48&lt;=depr_length),$B$49/depr_length,IF(AND($B$42="MACRS",D48&lt;=depr_length+1),$B$49*INDEX(MACRS_Table,MATCH(D48,recovery_year,0),MATCH($B$43,recovery_period,0)),"")))</f>
        <v>0</v>
      </c>
      <c r="E49" s="102">
        <f t="shared" si="2"/>
        <v>0</v>
      </c>
      <c r="F49" s="102">
        <f t="shared" si="2"/>
        <v>0</v>
      </c>
      <c r="G49" s="102">
        <f t="shared" si="2"/>
        <v>0</v>
      </c>
      <c r="H49" s="102">
        <f t="shared" si="2"/>
        <v>0</v>
      </c>
      <c r="I49" s="102">
        <f t="shared" si="2"/>
        <v>0</v>
      </c>
      <c r="J49" s="102">
        <f t="shared" si="2"/>
        <v>0</v>
      </c>
      <c r="K49" s="102">
        <f t="shared" si="2"/>
        <v>0</v>
      </c>
      <c r="L49" s="102">
        <f t="shared" si="2"/>
        <v>0</v>
      </c>
      <c r="M49" s="102">
        <f t="shared" si="2"/>
        <v>0</v>
      </c>
      <c r="N49" s="102">
        <f t="shared" si="2"/>
        <v>0</v>
      </c>
      <c r="O49" s="102">
        <f t="shared" si="2"/>
        <v>0</v>
      </c>
      <c r="P49" s="102">
        <f t="shared" si="2"/>
        <v>0</v>
      </c>
      <c r="Q49" s="102">
        <f t="shared" si="2"/>
        <v>0</v>
      </c>
      <c r="R49" s="102">
        <f t="shared" si="2"/>
        <v>0</v>
      </c>
      <c r="S49" s="102">
        <f t="shared" si="2"/>
        <v>0</v>
      </c>
      <c r="T49" s="102">
        <f t="shared" si="2"/>
        <v>0</v>
      </c>
      <c r="U49" s="102">
        <f t="shared" si="2"/>
        <v>0</v>
      </c>
      <c r="V49" s="102">
        <f t="shared" si="2"/>
        <v>0</v>
      </c>
      <c r="W49" s="103">
        <f t="shared" si="2"/>
        <v>0</v>
      </c>
      <c r="X49" s="104">
        <f t="shared" ref="X49:X92" si="3">SUM(C49:W49)</f>
        <v>0</v>
      </c>
    </row>
    <row r="50" spans="1:24" ht="15" customHeight="1" x14ac:dyDescent="0.25">
      <c r="A50" s="73">
        <f>IF('Cash Flow Analysis'!C66="","",'Cash Flow Analysis'!C66)</f>
        <v>-2</v>
      </c>
      <c r="B50" s="873">
        <f>IF(A50="","",IF(A50&lt;1,0,IF(A50=1,$B$44-'Cash Flow Analysis'!I66,-'Cash Flow Analysis'!I66)))</f>
        <v>0</v>
      </c>
      <c r="C50" s="106">
        <f t="shared" ref="C50:W50" si="4">IF($B$50="","",IF(AND($B$42="Straight Line",C48&lt;=depr_length),$B$50/depr_length,IF(AND($B$42="MACRS",C48&lt;=depr_length+1),$B$50*INDEX(MACRS_Table,MATCH(C48,recovery_year,0),MATCH($B$43,recovery_period,0)),"")))</f>
        <v>0</v>
      </c>
      <c r="D50" s="107">
        <f t="shared" si="4"/>
        <v>0</v>
      </c>
      <c r="E50" s="107">
        <f t="shared" si="4"/>
        <v>0</v>
      </c>
      <c r="F50" s="107">
        <f t="shared" si="4"/>
        <v>0</v>
      </c>
      <c r="G50" s="107">
        <f t="shared" si="4"/>
        <v>0</v>
      </c>
      <c r="H50" s="107">
        <f t="shared" si="4"/>
        <v>0</v>
      </c>
      <c r="I50" s="107">
        <f t="shared" si="4"/>
        <v>0</v>
      </c>
      <c r="J50" s="107">
        <f t="shared" si="4"/>
        <v>0</v>
      </c>
      <c r="K50" s="107">
        <f t="shared" si="4"/>
        <v>0</v>
      </c>
      <c r="L50" s="107">
        <f t="shared" si="4"/>
        <v>0</v>
      </c>
      <c r="M50" s="107">
        <f t="shared" si="4"/>
        <v>0</v>
      </c>
      <c r="N50" s="107">
        <f t="shared" si="4"/>
        <v>0</v>
      </c>
      <c r="O50" s="107">
        <f t="shared" si="4"/>
        <v>0</v>
      </c>
      <c r="P50" s="107">
        <f t="shared" si="4"/>
        <v>0</v>
      </c>
      <c r="Q50" s="107">
        <f t="shared" si="4"/>
        <v>0</v>
      </c>
      <c r="R50" s="107">
        <f t="shared" si="4"/>
        <v>0</v>
      </c>
      <c r="S50" s="107">
        <f t="shared" si="4"/>
        <v>0</v>
      </c>
      <c r="T50" s="107">
        <f t="shared" si="4"/>
        <v>0</v>
      </c>
      <c r="U50" s="107">
        <f t="shared" si="4"/>
        <v>0</v>
      </c>
      <c r="V50" s="107">
        <f t="shared" si="4"/>
        <v>0</v>
      </c>
      <c r="W50" s="108">
        <f t="shared" si="4"/>
        <v>0</v>
      </c>
      <c r="X50" s="105">
        <f t="shared" si="3"/>
        <v>0</v>
      </c>
    </row>
    <row r="51" spans="1:24" ht="15" customHeight="1" x14ac:dyDescent="0.25">
      <c r="A51" s="73">
        <f>IF('Cash Flow Analysis'!C67="","",'Cash Flow Analysis'!C67)</f>
        <v>-1</v>
      </c>
      <c r="B51" s="873">
        <f>IF(A51="","",IF(A51&lt;1,0,IF(A51=1,$B$44-'Cash Flow Analysis'!I67,-'Cash Flow Analysis'!I67)))</f>
        <v>0</v>
      </c>
      <c r="C51" s="106">
        <f t="shared" ref="C51:W51" si="5">IF($B$51="","",IF(AND($B$42="Straight Line",C48&lt;=depr_length),$B$51/depr_length,IF(AND($B$42="MACRS",C48&lt;=depr_length+1),$B$51*INDEX(MACRS_Table,MATCH(C48,recovery_year,0),MATCH($B$43,recovery_period,0)),"")))</f>
        <v>0</v>
      </c>
      <c r="D51" s="107">
        <f t="shared" si="5"/>
        <v>0</v>
      </c>
      <c r="E51" s="107">
        <f t="shared" si="5"/>
        <v>0</v>
      </c>
      <c r="F51" s="107">
        <f t="shared" si="5"/>
        <v>0</v>
      </c>
      <c r="G51" s="107">
        <f t="shared" si="5"/>
        <v>0</v>
      </c>
      <c r="H51" s="107">
        <f t="shared" si="5"/>
        <v>0</v>
      </c>
      <c r="I51" s="107">
        <f t="shared" si="5"/>
        <v>0</v>
      </c>
      <c r="J51" s="107">
        <f t="shared" si="5"/>
        <v>0</v>
      </c>
      <c r="K51" s="107">
        <f t="shared" si="5"/>
        <v>0</v>
      </c>
      <c r="L51" s="107">
        <f t="shared" si="5"/>
        <v>0</v>
      </c>
      <c r="M51" s="107">
        <f t="shared" si="5"/>
        <v>0</v>
      </c>
      <c r="N51" s="107">
        <f t="shared" si="5"/>
        <v>0</v>
      </c>
      <c r="O51" s="107">
        <f t="shared" si="5"/>
        <v>0</v>
      </c>
      <c r="P51" s="107">
        <f t="shared" si="5"/>
        <v>0</v>
      </c>
      <c r="Q51" s="107">
        <f t="shared" si="5"/>
        <v>0</v>
      </c>
      <c r="R51" s="107">
        <f t="shared" si="5"/>
        <v>0</v>
      </c>
      <c r="S51" s="107">
        <f t="shared" si="5"/>
        <v>0</v>
      </c>
      <c r="T51" s="107">
        <f t="shared" si="5"/>
        <v>0</v>
      </c>
      <c r="U51" s="107">
        <f t="shared" si="5"/>
        <v>0</v>
      </c>
      <c r="V51" s="107">
        <f t="shared" si="5"/>
        <v>0</v>
      </c>
      <c r="W51" s="108">
        <f t="shared" si="5"/>
        <v>0</v>
      </c>
      <c r="X51" s="105">
        <f t="shared" si="3"/>
        <v>0</v>
      </c>
    </row>
    <row r="52" spans="1:24" ht="15" customHeight="1" x14ac:dyDescent="0.25">
      <c r="A52" s="73">
        <f>IF('Cash Flow Analysis'!C68="","",'Cash Flow Analysis'!C68)</f>
        <v>1</v>
      </c>
      <c r="B52" s="873">
        <f ca="1">IF(A52="","",IF(A52&lt;1,0,IF(A52=1,$B$44-'Cash Flow Analysis'!I68,-'Cash Flow Analysis'!I68)))</f>
        <v>744090654.64734089</v>
      </c>
      <c r="C52" s="106">
        <f t="shared" ref="C52:W52" ca="1" si="6">IF($B$52="","",IF(AND($B$42="Straight Line",C48&lt;=depr_length),$B$52/depr_length,IF(AND($B$42="MACRS",C48&lt;=depr_length+1),$B$52*INDEX(MACRS_Table,MATCH(C48,recovery_year,0),MATCH($B$43,recovery_period,0)),"")))</f>
        <v>27903399.549275283</v>
      </c>
      <c r="D52" s="107">
        <f t="shared" ca="1" si="6"/>
        <v>53715904.358991541</v>
      </c>
      <c r="E52" s="107">
        <f t="shared" ca="1" si="6"/>
        <v>49682933.010802947</v>
      </c>
      <c r="F52" s="107">
        <f t="shared" ca="1" si="6"/>
        <v>45962479.737566248</v>
      </c>
      <c r="G52" s="107">
        <f t="shared" ca="1" si="6"/>
        <v>42509899.100002587</v>
      </c>
      <c r="H52" s="107">
        <f t="shared" ca="1" si="6"/>
        <v>39325191.098111965</v>
      </c>
      <c r="I52" s="107">
        <f t="shared" ca="1" si="6"/>
        <v>36371151.199162021</v>
      </c>
      <c r="J52" s="107">
        <f t="shared" ca="1" si="6"/>
        <v>33647779.403152756</v>
      </c>
      <c r="K52" s="107">
        <f t="shared" ca="1" si="6"/>
        <v>33201325.01036435</v>
      </c>
      <c r="L52" s="107">
        <f t="shared" ca="1" si="6"/>
        <v>33193884.103817876</v>
      </c>
      <c r="M52" s="107">
        <f t="shared" ca="1" si="6"/>
        <v>33201325.01036435</v>
      </c>
      <c r="N52" s="107">
        <f t="shared" ca="1" si="6"/>
        <v>33193884.103817876</v>
      </c>
      <c r="O52" s="107">
        <f t="shared" ca="1" si="6"/>
        <v>33201325.01036435</v>
      </c>
      <c r="P52" s="107">
        <f t="shared" ca="1" si="6"/>
        <v>33193884.103817876</v>
      </c>
      <c r="Q52" s="107">
        <f t="shared" ca="1" si="6"/>
        <v>33201325.01036435</v>
      </c>
      <c r="R52" s="107">
        <f t="shared" ca="1" si="6"/>
        <v>33193884.103817876</v>
      </c>
      <c r="S52" s="107">
        <f t="shared" ca="1" si="6"/>
        <v>33201325.01036435</v>
      </c>
      <c r="T52" s="107">
        <f t="shared" ca="1" si="6"/>
        <v>33193884.103817876</v>
      </c>
      <c r="U52" s="107">
        <f t="shared" ca="1" si="6"/>
        <v>33201325.01036435</v>
      </c>
      <c r="V52" s="107">
        <f t="shared" ca="1" si="6"/>
        <v>33193884.103817876</v>
      </c>
      <c r="W52" s="108">
        <f t="shared" ca="1" si="6"/>
        <v>16600662.505182175</v>
      </c>
      <c r="X52" s="105">
        <f t="shared" ca="1" si="3"/>
        <v>744090654.64734054</v>
      </c>
    </row>
    <row r="53" spans="1:24" ht="15" customHeight="1" x14ac:dyDescent="0.25">
      <c r="A53" s="73">
        <f>IF('Cash Flow Analysis'!C69="","",'Cash Flow Analysis'!C69)</f>
        <v>2</v>
      </c>
      <c r="B53" s="873">
        <f ca="1">IF(A53="","",IF(A53&lt;1,0,IF(A53=1,$B$44-'Cash Flow Analysis'!I69,-'Cash Flow Analysis'!I69)))</f>
        <v>3990258.5226138881</v>
      </c>
      <c r="C53" s="106">
        <f t="shared" ref="C53:W53" ca="1" si="7">IF($B$53="","",IF(AND($B$42="Straight Line",C48&lt;=depr_length),$B$53/depr_length,IF(AND($B$42="MACRS",C48&lt;=depr_length+1),$B$53*INDEX(MACRS_Table,MATCH(C48,recovery_year,0),MATCH($B$43,recovery_period,0)),"")))</f>
        <v>149634.69459802081</v>
      </c>
      <c r="D53" s="107">
        <f t="shared" ca="1" si="7"/>
        <v>288056.7627474966</v>
      </c>
      <c r="E53" s="107">
        <f t="shared" ca="1" si="7"/>
        <v>266429.5615549293</v>
      </c>
      <c r="F53" s="107">
        <f t="shared" ca="1" si="7"/>
        <v>246478.26894185986</v>
      </c>
      <c r="G53" s="107">
        <f t="shared" ca="1" si="7"/>
        <v>227963.46939693144</v>
      </c>
      <c r="H53" s="107">
        <f t="shared" ca="1" si="7"/>
        <v>210885.16292014398</v>
      </c>
      <c r="I53" s="107">
        <f t="shared" ca="1" si="7"/>
        <v>195043.83658536687</v>
      </c>
      <c r="J53" s="107">
        <f t="shared" ca="1" si="7"/>
        <v>180439.49039260004</v>
      </c>
      <c r="K53" s="107">
        <f t="shared" ca="1" si="7"/>
        <v>178045.33527903169</v>
      </c>
      <c r="L53" s="107">
        <f t="shared" ca="1" si="7"/>
        <v>178005.43269380555</v>
      </c>
      <c r="M53" s="107">
        <f t="shared" ca="1" si="7"/>
        <v>178045.33527903169</v>
      </c>
      <c r="N53" s="107">
        <f t="shared" ca="1" si="7"/>
        <v>178005.43269380555</v>
      </c>
      <c r="O53" s="107">
        <f t="shared" ca="1" si="7"/>
        <v>178045.33527903169</v>
      </c>
      <c r="P53" s="107">
        <f t="shared" ca="1" si="7"/>
        <v>178005.43269380555</v>
      </c>
      <c r="Q53" s="107">
        <f t="shared" ca="1" si="7"/>
        <v>178045.33527903169</v>
      </c>
      <c r="R53" s="107">
        <f t="shared" ca="1" si="7"/>
        <v>178005.43269380555</v>
      </c>
      <c r="S53" s="107">
        <f t="shared" ca="1" si="7"/>
        <v>178045.33527903169</v>
      </c>
      <c r="T53" s="107">
        <f t="shared" ca="1" si="7"/>
        <v>178005.43269380555</v>
      </c>
      <c r="U53" s="107">
        <f t="shared" ca="1" si="7"/>
        <v>178045.33527903169</v>
      </c>
      <c r="V53" s="107">
        <f t="shared" ca="1" si="7"/>
        <v>178005.43269380555</v>
      </c>
      <c r="W53" s="108">
        <f t="shared" ca="1" si="7"/>
        <v>89022.667639515843</v>
      </c>
      <c r="X53" s="105">
        <f t="shared" ca="1" si="3"/>
        <v>3990258.5226138877</v>
      </c>
    </row>
    <row r="54" spans="1:24" ht="15" customHeight="1" x14ac:dyDescent="0.25">
      <c r="A54" s="73">
        <f>IF('Cash Flow Analysis'!C70="","",'Cash Flow Analysis'!C70)</f>
        <v>3</v>
      </c>
      <c r="B54" s="873">
        <f ca="1">IF(A54="","",IF(A54&lt;1,0,IF(A54=1,$B$44-'Cash Flow Analysis'!I70,-'Cash Flow Analysis'!I70)))</f>
        <v>4066073.4345435519</v>
      </c>
      <c r="C54" s="106">
        <f t="shared" ref="C54:W54" ca="1" si="8">IF($B$54="","",IF(AND($B$42="Straight Line",C48&lt;=depr_length),$B$54/depr_length,IF(AND($B$42="MACRS",C48&lt;=depr_length+1),$B$54*INDEX(MACRS_Table,MATCH(C48,recovery_year,0),MATCH($B$43,recovery_period,0)),"")))</f>
        <v>152477.75379538318</v>
      </c>
      <c r="D54" s="107">
        <f t="shared" ca="1" si="8"/>
        <v>293529.84123969905</v>
      </c>
      <c r="E54" s="107">
        <f t="shared" ca="1" si="8"/>
        <v>271491.72322447295</v>
      </c>
      <c r="F54" s="107">
        <f t="shared" ca="1" si="8"/>
        <v>251161.3560517552</v>
      </c>
      <c r="G54" s="107">
        <f t="shared" ca="1" si="8"/>
        <v>232294.77531547312</v>
      </c>
      <c r="H54" s="107">
        <f t="shared" ca="1" si="8"/>
        <v>214891.98101562672</v>
      </c>
      <c r="I54" s="107">
        <f t="shared" ca="1" si="8"/>
        <v>198749.66948048881</v>
      </c>
      <c r="J54" s="107">
        <f t="shared" ca="1" si="8"/>
        <v>183867.84071005942</v>
      </c>
      <c r="K54" s="107">
        <f t="shared" ca="1" si="8"/>
        <v>181428.19664933329</v>
      </c>
      <c r="L54" s="107">
        <f t="shared" ca="1" si="8"/>
        <v>181387.53591498785</v>
      </c>
      <c r="M54" s="107">
        <f t="shared" ca="1" si="8"/>
        <v>181428.19664933329</v>
      </c>
      <c r="N54" s="107">
        <f t="shared" ca="1" si="8"/>
        <v>181387.53591498785</v>
      </c>
      <c r="O54" s="107">
        <f t="shared" ca="1" si="8"/>
        <v>181428.19664933329</v>
      </c>
      <c r="P54" s="107">
        <f t="shared" ca="1" si="8"/>
        <v>181387.53591498785</v>
      </c>
      <c r="Q54" s="107">
        <f t="shared" ca="1" si="8"/>
        <v>181428.19664933329</v>
      </c>
      <c r="R54" s="107">
        <f t="shared" ca="1" si="8"/>
        <v>181387.53591498785</v>
      </c>
      <c r="S54" s="107">
        <f t="shared" ca="1" si="8"/>
        <v>181428.19664933329</v>
      </c>
      <c r="T54" s="107">
        <f t="shared" ca="1" si="8"/>
        <v>181387.53591498785</v>
      </c>
      <c r="U54" s="107">
        <f t="shared" ca="1" si="8"/>
        <v>181428.19664933329</v>
      </c>
      <c r="V54" s="107">
        <f t="shared" ca="1" si="8"/>
        <v>181387.53591498785</v>
      </c>
      <c r="W54" s="108">
        <f t="shared" ca="1" si="8"/>
        <v>90714.098324666644</v>
      </c>
      <c r="X54" s="105">
        <f t="shared" ca="1" si="3"/>
        <v>4066073.4345435528</v>
      </c>
    </row>
    <row r="55" spans="1:24" ht="15" customHeight="1" x14ac:dyDescent="0.25">
      <c r="A55" s="73">
        <f>IF('Cash Flow Analysis'!C71="","",'Cash Flow Analysis'!C71)</f>
        <v>4</v>
      </c>
      <c r="B55" s="873">
        <f ca="1">IF(A55="","",IF(A55&lt;1,0,IF(A55=1,$B$44-'Cash Flow Analysis'!I71,-'Cash Flow Analysis'!I71)))</f>
        <v>4143328.8297998793</v>
      </c>
      <c r="C55" s="106">
        <f t="shared" ref="C55:W55" ca="1" si="9">IF($B$55="","",IF(AND($B$42="Straight Line",C48&lt;=depr_length),$B$55/depr_length,IF(AND($B$42="MACRS",C48&lt;=depr_length+1),$B$55*INDEX(MACRS_Table,MATCH(C48,recovery_year,0),MATCH($B$43,recovery_period,0)),"")))</f>
        <v>155374.83111749546</v>
      </c>
      <c r="D55" s="107">
        <f t="shared" ca="1" si="9"/>
        <v>299106.90822325333</v>
      </c>
      <c r="E55" s="107">
        <f t="shared" ca="1" si="9"/>
        <v>276650.06596573791</v>
      </c>
      <c r="F55" s="107">
        <f t="shared" ca="1" si="9"/>
        <v>255933.42181673856</v>
      </c>
      <c r="G55" s="107">
        <f t="shared" ca="1" si="9"/>
        <v>236708.37604646711</v>
      </c>
      <c r="H55" s="107">
        <f t="shared" ca="1" si="9"/>
        <v>218974.92865492363</v>
      </c>
      <c r="I55" s="107">
        <f t="shared" ca="1" si="9"/>
        <v>202525.91320061809</v>
      </c>
      <c r="J55" s="107">
        <f t="shared" ca="1" si="9"/>
        <v>187361.32968355055</v>
      </c>
      <c r="K55" s="107">
        <f t="shared" ca="1" si="9"/>
        <v>184875.33238567063</v>
      </c>
      <c r="L55" s="107">
        <f t="shared" ca="1" si="9"/>
        <v>184833.8990973726</v>
      </c>
      <c r="M55" s="107">
        <f t="shared" ca="1" si="9"/>
        <v>184875.33238567063</v>
      </c>
      <c r="N55" s="107">
        <f t="shared" ca="1" si="9"/>
        <v>184833.8990973726</v>
      </c>
      <c r="O55" s="107">
        <f t="shared" ca="1" si="9"/>
        <v>184875.33238567063</v>
      </c>
      <c r="P55" s="107">
        <f t="shared" ca="1" si="9"/>
        <v>184833.8990973726</v>
      </c>
      <c r="Q55" s="107">
        <f t="shared" ca="1" si="9"/>
        <v>184875.33238567063</v>
      </c>
      <c r="R55" s="107">
        <f t="shared" ca="1" si="9"/>
        <v>184833.8990973726</v>
      </c>
      <c r="S55" s="107">
        <f t="shared" ca="1" si="9"/>
        <v>184875.33238567063</v>
      </c>
      <c r="T55" s="107">
        <f t="shared" ca="1" si="9"/>
        <v>184833.8990973726</v>
      </c>
      <c r="U55" s="107">
        <f t="shared" ca="1" si="9"/>
        <v>184875.33238567063</v>
      </c>
      <c r="V55" s="107">
        <f t="shared" ca="1" si="9"/>
        <v>184833.8990973726</v>
      </c>
      <c r="W55" s="108">
        <f t="shared" ca="1" si="9"/>
        <v>92437.666192835313</v>
      </c>
      <c r="X55" s="105">
        <f t="shared" ca="1" si="3"/>
        <v>4143328.8297998793</v>
      </c>
    </row>
    <row r="56" spans="1:24" ht="15" customHeight="1" x14ac:dyDescent="0.25">
      <c r="A56" s="73">
        <f>IF('Cash Flow Analysis'!C72="","",'Cash Flow Analysis'!C72)</f>
        <v>5</v>
      </c>
      <c r="B56" s="873">
        <f ca="1">IF(A56="","",IF(A56&lt;1,0,IF(A56=1,$B$44-'Cash Flow Analysis'!I72,-'Cash Flow Analysis'!I72)))</f>
        <v>4222052.077566077</v>
      </c>
      <c r="C56" s="106">
        <f t="shared" ref="C56:W56" ca="1" si="10">IF($B$56="","",IF(AND($B$42="Straight Line",C48&lt;=depr_length),$B$56/depr_length,IF(AND($B$42="MACRS",C48&lt;=depr_length+1),$B$56*INDEX(MACRS_Table,MATCH(C48,recovery_year,0),MATCH($B$43,recovery_period,0)),"")))</f>
        <v>158326.95290872789</v>
      </c>
      <c r="D56" s="107">
        <f t="shared" ca="1" si="10"/>
        <v>304789.93947949511</v>
      </c>
      <c r="E56" s="107">
        <f t="shared" ca="1" si="10"/>
        <v>281906.41721908696</v>
      </c>
      <c r="F56" s="107">
        <f t="shared" ca="1" si="10"/>
        <v>260796.15683125658</v>
      </c>
      <c r="G56" s="107">
        <f t="shared" ca="1" si="10"/>
        <v>241205.83519134999</v>
      </c>
      <c r="H56" s="107">
        <f t="shared" ca="1" si="10"/>
        <v>223135.45229936717</v>
      </c>
      <c r="I56" s="107">
        <f t="shared" ca="1" si="10"/>
        <v>206373.90555142984</v>
      </c>
      <c r="J56" s="107">
        <f t="shared" ca="1" si="10"/>
        <v>190921.19494753802</v>
      </c>
      <c r="K56" s="107">
        <f t="shared" ca="1" si="10"/>
        <v>188387.96370099834</v>
      </c>
      <c r="L56" s="107">
        <f t="shared" ca="1" si="10"/>
        <v>188345.74318022269</v>
      </c>
      <c r="M56" s="107">
        <f t="shared" ca="1" si="10"/>
        <v>188387.96370099834</v>
      </c>
      <c r="N56" s="107">
        <f t="shared" ca="1" si="10"/>
        <v>188345.74318022269</v>
      </c>
      <c r="O56" s="107">
        <f t="shared" ca="1" si="10"/>
        <v>188387.96370099834</v>
      </c>
      <c r="P56" s="107">
        <f t="shared" ca="1" si="10"/>
        <v>188345.74318022269</v>
      </c>
      <c r="Q56" s="107">
        <f t="shared" ca="1" si="10"/>
        <v>188387.96370099834</v>
      </c>
      <c r="R56" s="107">
        <f t="shared" ca="1" si="10"/>
        <v>188345.74318022269</v>
      </c>
      <c r="S56" s="107">
        <f t="shared" ca="1" si="10"/>
        <v>188387.96370099834</v>
      </c>
      <c r="T56" s="107">
        <f t="shared" ca="1" si="10"/>
        <v>188345.74318022269</v>
      </c>
      <c r="U56" s="107">
        <f t="shared" ca="1" si="10"/>
        <v>188387.96370099834</v>
      </c>
      <c r="V56" s="107">
        <f t="shared" ca="1" si="10"/>
        <v>188345.74318022269</v>
      </c>
      <c r="W56" s="108">
        <f t="shared" ca="1" si="10"/>
        <v>94193.981850499171</v>
      </c>
      <c r="X56" s="105">
        <f t="shared" ca="1" si="3"/>
        <v>4222052.0775660789</v>
      </c>
    </row>
    <row r="57" spans="1:24" ht="15" customHeight="1" x14ac:dyDescent="0.25">
      <c r="A57" s="73">
        <f>IF('Cash Flow Analysis'!C73="","",'Cash Flow Analysis'!C73)</f>
        <v>6</v>
      </c>
      <c r="B57" s="873">
        <f ca="1">IF(A57="","",IF(A57&lt;1,0,IF(A57=1,$B$44-'Cash Flow Analysis'!I73,-'Cash Flow Analysis'!I73)))</f>
        <v>4302271.0670398315</v>
      </c>
      <c r="C57" s="106">
        <f t="shared" ref="C57:W57" ca="1" si="11">IF($B$57="","",IF(AND($B$42="Straight Line",C48&lt;=depr_length),$B$57/depr_length,IF(AND($B$42="MACRS",C48&lt;=depr_length+1),$B$57*INDEX(MACRS_Table,MATCH(C48,recovery_year,0),MATCH($B$43,recovery_period,0)),"")))</f>
        <v>161335.16501399368</v>
      </c>
      <c r="D57" s="107">
        <f t="shared" ca="1" si="11"/>
        <v>310580.94832960545</v>
      </c>
      <c r="E57" s="107">
        <f t="shared" ca="1" si="11"/>
        <v>287262.63914624951</v>
      </c>
      <c r="F57" s="107">
        <f t="shared" ca="1" si="11"/>
        <v>265751.28381105041</v>
      </c>
      <c r="G57" s="107">
        <f t="shared" ca="1" si="11"/>
        <v>245788.74605998557</v>
      </c>
      <c r="H57" s="107">
        <f t="shared" ca="1" si="11"/>
        <v>227375.02589305511</v>
      </c>
      <c r="I57" s="107">
        <f t="shared" ca="1" si="11"/>
        <v>210295.00975690698</v>
      </c>
      <c r="J57" s="107">
        <f t="shared" ca="1" si="11"/>
        <v>194548.69765154121</v>
      </c>
      <c r="K57" s="107">
        <f t="shared" ca="1" si="11"/>
        <v>191967.33501131728</v>
      </c>
      <c r="L57" s="107">
        <f t="shared" ca="1" si="11"/>
        <v>191924.31230064688</v>
      </c>
      <c r="M57" s="107">
        <f t="shared" ca="1" si="11"/>
        <v>191967.33501131728</v>
      </c>
      <c r="N57" s="107">
        <f t="shared" ca="1" si="11"/>
        <v>191924.31230064688</v>
      </c>
      <c r="O57" s="107">
        <f t="shared" ca="1" si="11"/>
        <v>191967.33501131728</v>
      </c>
      <c r="P57" s="107">
        <f t="shared" ca="1" si="11"/>
        <v>191924.31230064688</v>
      </c>
      <c r="Q57" s="107">
        <f t="shared" ca="1" si="11"/>
        <v>191967.33501131728</v>
      </c>
      <c r="R57" s="107">
        <f t="shared" ca="1" si="11"/>
        <v>191924.31230064688</v>
      </c>
      <c r="S57" s="107">
        <f t="shared" ca="1" si="11"/>
        <v>191967.33501131728</v>
      </c>
      <c r="T57" s="107">
        <f t="shared" ca="1" si="11"/>
        <v>191924.31230064688</v>
      </c>
      <c r="U57" s="107">
        <f t="shared" ca="1" si="11"/>
        <v>191967.33501131728</v>
      </c>
      <c r="V57" s="107">
        <f t="shared" ca="1" si="11"/>
        <v>191924.31230064688</v>
      </c>
      <c r="W57" s="108">
        <f t="shared" ca="1" si="11"/>
        <v>95983.667505658639</v>
      </c>
      <c r="X57" s="105">
        <f t="shared" ca="1" si="3"/>
        <v>4302271.0670398306</v>
      </c>
    </row>
    <row r="58" spans="1:24" ht="15" customHeight="1" x14ac:dyDescent="0.25">
      <c r="A58" s="73">
        <f>IF('Cash Flow Analysis'!C74="","",'Cash Flow Analysis'!C74)</f>
        <v>7</v>
      </c>
      <c r="B58" s="873">
        <f ca="1">IF(A58="","",IF(A58&lt;1,0,IF(A58=1,$B$44-'Cash Flow Analysis'!I74,-'Cash Flow Analysis'!I74)))</f>
        <v>4384014.2173135886</v>
      </c>
      <c r="C58" s="106">
        <f t="shared" ref="C58:W58" ca="1" si="12">IF($B$58="","",IF(AND($B$42="Straight Line",C48&lt;=depr_length),$B$58/depr_length,IF(AND($B$42="MACRS",C48&lt;=depr_length+1),$B$58*INDEX(MACRS_Table,MATCH(C48,recovery_year,0),MATCH($B$43,recovery_period,0)),"")))</f>
        <v>164400.53314925957</v>
      </c>
      <c r="D58" s="107">
        <f t="shared" ca="1" si="12"/>
        <v>316481.98634786799</v>
      </c>
      <c r="E58" s="107">
        <f t="shared" ca="1" si="12"/>
        <v>292720.6292900283</v>
      </c>
      <c r="F58" s="107">
        <f t="shared" ca="1" si="12"/>
        <v>270800.55820346036</v>
      </c>
      <c r="G58" s="107">
        <f t="shared" ca="1" si="12"/>
        <v>250458.73223512532</v>
      </c>
      <c r="H58" s="107">
        <f t="shared" ca="1" si="12"/>
        <v>231695.15138502317</v>
      </c>
      <c r="I58" s="107">
        <f t="shared" ca="1" si="12"/>
        <v>214290.6149422882</v>
      </c>
      <c r="J58" s="107">
        <f t="shared" ca="1" si="12"/>
        <v>198245.1229069205</v>
      </c>
      <c r="K58" s="107">
        <f t="shared" ca="1" si="12"/>
        <v>195614.71437653233</v>
      </c>
      <c r="L58" s="107">
        <f t="shared" ca="1" si="12"/>
        <v>195570.87423435919</v>
      </c>
      <c r="M58" s="107">
        <f t="shared" ca="1" si="12"/>
        <v>195614.71437653233</v>
      </c>
      <c r="N58" s="107">
        <f t="shared" ca="1" si="12"/>
        <v>195570.87423435919</v>
      </c>
      <c r="O58" s="107">
        <f t="shared" ca="1" si="12"/>
        <v>195614.71437653233</v>
      </c>
      <c r="P58" s="107">
        <f t="shared" ca="1" si="12"/>
        <v>195570.87423435919</v>
      </c>
      <c r="Q58" s="107">
        <f t="shared" ca="1" si="12"/>
        <v>195614.71437653233</v>
      </c>
      <c r="R58" s="107">
        <f t="shared" ca="1" si="12"/>
        <v>195570.87423435919</v>
      </c>
      <c r="S58" s="107">
        <f t="shared" ca="1" si="12"/>
        <v>195614.71437653233</v>
      </c>
      <c r="T58" s="107">
        <f t="shared" ca="1" si="12"/>
        <v>195570.87423435919</v>
      </c>
      <c r="U58" s="107">
        <f t="shared" ca="1" si="12"/>
        <v>195614.71437653233</v>
      </c>
      <c r="V58" s="107">
        <f t="shared" ca="1" si="12"/>
        <v>195570.87423435919</v>
      </c>
      <c r="W58" s="108">
        <f t="shared" ca="1" si="12"/>
        <v>97807.357188266164</v>
      </c>
      <c r="X58" s="105">
        <f t="shared" ca="1" si="3"/>
        <v>4384014.2173135895</v>
      </c>
    </row>
    <row r="59" spans="1:24" ht="15" customHeight="1" x14ac:dyDescent="0.25">
      <c r="A59" s="73">
        <f>IF('Cash Flow Analysis'!C75="","",'Cash Flow Analysis'!C75)</f>
        <v>8</v>
      </c>
      <c r="B59" s="873">
        <f ca="1">IF(A59="","",IF(A59&lt;1,0,IF(A59=1,$B$44-'Cash Flow Analysis'!I75,-'Cash Flow Analysis'!I75)))</f>
        <v>4467310.4874425465</v>
      </c>
      <c r="C59" s="106">
        <f t="shared" ref="C59:W59" ca="1" si="13">IF($B$59="","",IF(AND($B$42="Straight Line",C48&lt;=depr_length),$B$59/depr_length,IF(AND($B$42="MACRS",C48&lt;=depr_length+1),$B$59*INDEX(MACRS_Table,MATCH(C48,recovery_year,0),MATCH($B$43,recovery_period,0)),"")))</f>
        <v>167524.1432790955</v>
      </c>
      <c r="D59" s="107">
        <f t="shared" ca="1" si="13"/>
        <v>322495.14408847748</v>
      </c>
      <c r="E59" s="107">
        <f t="shared" ca="1" si="13"/>
        <v>298282.32124653884</v>
      </c>
      <c r="F59" s="107">
        <f t="shared" ca="1" si="13"/>
        <v>275945.76880932611</v>
      </c>
      <c r="G59" s="107">
        <f t="shared" ca="1" si="13"/>
        <v>255217.44814759269</v>
      </c>
      <c r="H59" s="107">
        <f t="shared" ca="1" si="13"/>
        <v>236097.3592613386</v>
      </c>
      <c r="I59" s="107">
        <f t="shared" ca="1" si="13"/>
        <v>218362.13662619167</v>
      </c>
      <c r="J59" s="107">
        <f t="shared" ca="1" si="13"/>
        <v>202011.78024215196</v>
      </c>
      <c r="K59" s="107">
        <f t="shared" ca="1" si="13"/>
        <v>199331.39394968643</v>
      </c>
      <c r="L59" s="107">
        <f t="shared" ca="1" si="13"/>
        <v>199286.72084481199</v>
      </c>
      <c r="M59" s="107">
        <f t="shared" ca="1" si="13"/>
        <v>199331.39394968643</v>
      </c>
      <c r="N59" s="107">
        <f t="shared" ca="1" si="13"/>
        <v>199286.72084481199</v>
      </c>
      <c r="O59" s="107">
        <f t="shared" ca="1" si="13"/>
        <v>199331.39394968643</v>
      </c>
      <c r="P59" s="107">
        <f t="shared" ca="1" si="13"/>
        <v>199286.72084481199</v>
      </c>
      <c r="Q59" s="107">
        <f t="shared" ca="1" si="13"/>
        <v>199331.39394968643</v>
      </c>
      <c r="R59" s="107">
        <f t="shared" ca="1" si="13"/>
        <v>199286.72084481199</v>
      </c>
      <c r="S59" s="107">
        <f t="shared" ca="1" si="13"/>
        <v>199331.39394968643</v>
      </c>
      <c r="T59" s="107">
        <f t="shared" ca="1" si="13"/>
        <v>199286.72084481199</v>
      </c>
      <c r="U59" s="107">
        <f t="shared" ca="1" si="13"/>
        <v>199331.39394968643</v>
      </c>
      <c r="V59" s="107">
        <f t="shared" ca="1" si="13"/>
        <v>199286.72084481199</v>
      </c>
      <c r="W59" s="108">
        <f t="shared" ca="1" si="13"/>
        <v>99665.696974843217</v>
      </c>
      <c r="X59" s="105">
        <f t="shared" ca="1" si="3"/>
        <v>4467310.4874425456</v>
      </c>
    </row>
    <row r="60" spans="1:24" ht="15" customHeight="1" x14ac:dyDescent="0.25">
      <c r="A60" s="73">
        <f>IF('Cash Flow Analysis'!C76="","",'Cash Flow Analysis'!C76)</f>
        <v>9</v>
      </c>
      <c r="B60" s="873">
        <f ca="1">IF(A60="","",IF(A60&lt;1,0,IF(A60=1,$B$44-'Cash Flow Analysis'!I76,-'Cash Flow Analysis'!I76)))</f>
        <v>4552189.386703955</v>
      </c>
      <c r="C60" s="106">
        <f t="shared" ref="C60:W60" ca="1" si="14">IF($B$60="","",IF(AND($B$42="Straight Line",C48&lt;=depr_length),$B$60/depr_length,IF(AND($B$42="MACRS",C48&lt;=depr_length+1),$B$60*INDEX(MACRS_Table,MATCH(C48,recovery_year,0),MATCH($B$43,recovery_period,0)),"")))</f>
        <v>170707.10200139831</v>
      </c>
      <c r="D60" s="107">
        <f t="shared" ca="1" si="14"/>
        <v>328622.55182615854</v>
      </c>
      <c r="E60" s="107">
        <f t="shared" ca="1" si="14"/>
        <v>303949.68535022304</v>
      </c>
      <c r="F60" s="107">
        <f t="shared" ca="1" si="14"/>
        <v>281188.7384167033</v>
      </c>
      <c r="G60" s="107">
        <f t="shared" ca="1" si="14"/>
        <v>260066.57966239695</v>
      </c>
      <c r="H60" s="107">
        <f t="shared" ca="1" si="14"/>
        <v>240583.20908730401</v>
      </c>
      <c r="I60" s="107">
        <f t="shared" ca="1" si="14"/>
        <v>222511.01722208931</v>
      </c>
      <c r="J60" s="107">
        <f t="shared" ca="1" si="14"/>
        <v>205850.00406675285</v>
      </c>
      <c r="K60" s="107">
        <f t="shared" ca="1" si="14"/>
        <v>203118.69043473047</v>
      </c>
      <c r="L60" s="107">
        <f t="shared" ca="1" si="14"/>
        <v>203073.16854086341</v>
      </c>
      <c r="M60" s="107">
        <f t="shared" ca="1" si="14"/>
        <v>203118.69043473047</v>
      </c>
      <c r="N60" s="107">
        <f t="shared" ca="1" si="14"/>
        <v>203073.16854086341</v>
      </c>
      <c r="O60" s="107">
        <f t="shared" ca="1" si="14"/>
        <v>203118.69043473047</v>
      </c>
      <c r="P60" s="107">
        <f t="shared" ca="1" si="14"/>
        <v>203073.16854086341</v>
      </c>
      <c r="Q60" s="107">
        <f t="shared" ca="1" si="14"/>
        <v>203118.69043473047</v>
      </c>
      <c r="R60" s="107">
        <f t="shared" ca="1" si="14"/>
        <v>203073.16854086341</v>
      </c>
      <c r="S60" s="107">
        <f t="shared" ca="1" si="14"/>
        <v>203118.69043473047</v>
      </c>
      <c r="T60" s="107">
        <f t="shared" ca="1" si="14"/>
        <v>203073.16854086341</v>
      </c>
      <c r="U60" s="107">
        <f t="shared" ca="1" si="14"/>
        <v>203118.69043473047</v>
      </c>
      <c r="V60" s="107">
        <f t="shared" ca="1" si="14"/>
        <v>203073.16854086341</v>
      </c>
      <c r="W60" s="108">
        <f t="shared" ca="1" si="14"/>
        <v>101559.34521736523</v>
      </c>
      <c r="X60" s="105">
        <f t="shared" ca="1" si="3"/>
        <v>4552189.386703955</v>
      </c>
    </row>
    <row r="61" spans="1:24" ht="15" customHeight="1" x14ac:dyDescent="0.25">
      <c r="A61" s="73">
        <f>IF('Cash Flow Analysis'!C77="","",'Cash Flow Analysis'!C77)</f>
        <v>10</v>
      </c>
      <c r="B61" s="873">
        <f ca="1">IF(A61="","",IF(A61&lt;1,0,IF(A61=1,$B$44-'Cash Flow Analysis'!I77,-'Cash Flow Analysis'!I77)))</f>
        <v>4638680.9850513292</v>
      </c>
      <c r="C61" s="106">
        <f t="shared" ref="C61:W61" ca="1" si="15">IF($B$61="","",IF(AND($B$42="Straight Line",C48&lt;=depr_length),$B$61/depr_length,IF(AND($B$42="MACRS",C48&lt;=depr_length+1),$B$61*INDEX(MACRS_Table,MATCH(C48,recovery_year,0),MATCH($B$43,recovery_period,0)),"")))</f>
        <v>173950.53693942484</v>
      </c>
      <c r="D61" s="107">
        <f t="shared" ca="1" si="15"/>
        <v>334866.38031085546</v>
      </c>
      <c r="E61" s="107">
        <f t="shared" ca="1" si="15"/>
        <v>309724.72937187721</v>
      </c>
      <c r="F61" s="107">
        <f t="shared" ca="1" si="15"/>
        <v>286531.32444662059</v>
      </c>
      <c r="G61" s="107">
        <f t="shared" ca="1" si="15"/>
        <v>265007.84467598243</v>
      </c>
      <c r="H61" s="107">
        <f t="shared" ca="1" si="15"/>
        <v>245154.29005996275</v>
      </c>
      <c r="I61" s="107">
        <f t="shared" ca="1" si="15"/>
        <v>226738.72654930898</v>
      </c>
      <c r="J61" s="107">
        <f t="shared" ca="1" si="15"/>
        <v>209761.15414402113</v>
      </c>
      <c r="K61" s="107">
        <f t="shared" ca="1" si="15"/>
        <v>206977.94555299031</v>
      </c>
      <c r="L61" s="107">
        <f t="shared" ca="1" si="15"/>
        <v>206931.55874313979</v>
      </c>
      <c r="M61" s="107">
        <f t="shared" ca="1" si="15"/>
        <v>206977.94555299031</v>
      </c>
      <c r="N61" s="107">
        <f t="shared" ca="1" si="15"/>
        <v>206931.55874313979</v>
      </c>
      <c r="O61" s="107">
        <f t="shared" ca="1" si="15"/>
        <v>206977.94555299031</v>
      </c>
      <c r="P61" s="107">
        <f t="shared" ca="1" si="15"/>
        <v>206931.55874313979</v>
      </c>
      <c r="Q61" s="107">
        <f t="shared" ca="1" si="15"/>
        <v>206977.94555299031</v>
      </c>
      <c r="R61" s="107">
        <f t="shared" ca="1" si="15"/>
        <v>206931.55874313979</v>
      </c>
      <c r="S61" s="107">
        <f t="shared" ca="1" si="15"/>
        <v>206977.94555299031</v>
      </c>
      <c r="T61" s="107">
        <f t="shared" ca="1" si="15"/>
        <v>206931.55874313979</v>
      </c>
      <c r="U61" s="107">
        <f t="shared" ca="1" si="15"/>
        <v>206977.94555299031</v>
      </c>
      <c r="V61" s="107">
        <f t="shared" ca="1" si="15"/>
        <v>206931.55874313979</v>
      </c>
      <c r="W61" s="108">
        <f t="shared" ca="1" si="15"/>
        <v>103488.97277649515</v>
      </c>
      <c r="X61" s="105">
        <f t="shared" ca="1" si="3"/>
        <v>4638680.9850513283</v>
      </c>
    </row>
    <row r="62" spans="1:24" ht="15" customHeight="1" x14ac:dyDescent="0.25">
      <c r="A62" s="73">
        <f>IF('Cash Flow Analysis'!C78="","",'Cash Flow Analysis'!C78)</f>
        <v>11</v>
      </c>
      <c r="B62" s="873">
        <f ca="1">IF(A62="","",IF(A62&lt;1,0,IF(A62=1,$B$44-'Cash Flow Analysis'!I78,-'Cash Flow Analysis'!I78)))</f>
        <v>4726815.923767305</v>
      </c>
      <c r="C62" s="106">
        <f t="shared" ref="C62:W62" ca="1" si="16">IF($B$62="","",IF(AND($B$42="Straight Line",C48&lt;=depr_length),$B$62/depr_length,IF(AND($B$42="MACRS",C48&lt;=depr_length+1),$B$62*INDEX(MACRS_Table,MATCH(C48,recovery_year,0),MATCH($B$43,recovery_period,0)),"")))</f>
        <v>177255.59714127393</v>
      </c>
      <c r="D62" s="107">
        <f t="shared" ca="1" si="16"/>
        <v>341228.84153676179</v>
      </c>
      <c r="E62" s="107">
        <f t="shared" ca="1" si="16"/>
        <v>315609.49922994291</v>
      </c>
      <c r="F62" s="107">
        <f t="shared" ca="1" si="16"/>
        <v>291975.41961110639</v>
      </c>
      <c r="G62" s="107">
        <f t="shared" ca="1" si="16"/>
        <v>270042.99372482614</v>
      </c>
      <c r="H62" s="107">
        <f t="shared" ca="1" si="16"/>
        <v>249812.22157110207</v>
      </c>
      <c r="I62" s="107">
        <f t="shared" ca="1" si="16"/>
        <v>231046.76235374587</v>
      </c>
      <c r="J62" s="107">
        <f t="shared" ca="1" si="16"/>
        <v>213746.61607275755</v>
      </c>
      <c r="K62" s="107">
        <f t="shared" ca="1" si="16"/>
        <v>210910.52651849715</v>
      </c>
      <c r="L62" s="107">
        <f t="shared" ca="1" si="16"/>
        <v>210863.25835925946</v>
      </c>
      <c r="M62" s="107">
        <f t="shared" ca="1" si="16"/>
        <v>210910.52651849715</v>
      </c>
      <c r="N62" s="107">
        <f t="shared" ca="1" si="16"/>
        <v>210863.25835925946</v>
      </c>
      <c r="O62" s="107">
        <f t="shared" ca="1" si="16"/>
        <v>210910.52651849715</v>
      </c>
      <c r="P62" s="107">
        <f t="shared" ca="1" si="16"/>
        <v>210863.25835925946</v>
      </c>
      <c r="Q62" s="107">
        <f t="shared" ca="1" si="16"/>
        <v>210910.52651849715</v>
      </c>
      <c r="R62" s="107">
        <f t="shared" ca="1" si="16"/>
        <v>210863.25835925946</v>
      </c>
      <c r="S62" s="107">
        <f t="shared" ca="1" si="16"/>
        <v>210910.52651849715</v>
      </c>
      <c r="T62" s="107">
        <f t="shared" ca="1" si="16"/>
        <v>210863.25835925946</v>
      </c>
      <c r="U62" s="107">
        <f t="shared" ca="1" si="16"/>
        <v>210910.52651849715</v>
      </c>
      <c r="V62" s="107">
        <f t="shared" ca="1" si="16"/>
        <v>210863.25835925946</v>
      </c>
      <c r="W62" s="108">
        <f t="shared" ca="1" si="16"/>
        <v>105455.26325924858</v>
      </c>
      <c r="X62" s="105">
        <f t="shared" ca="1" si="3"/>
        <v>4726815.9237673059</v>
      </c>
    </row>
    <row r="63" spans="1:24" ht="15" customHeight="1" x14ac:dyDescent="0.25">
      <c r="A63" s="73">
        <f>IF('Cash Flow Analysis'!C79="","",'Cash Flow Analysis'!C79)</f>
        <v>12</v>
      </c>
      <c r="B63" s="873">
        <f ca="1">IF(A63="","",IF(A63&lt;1,0,IF(A63=1,$B$44-'Cash Flow Analysis'!I79,-'Cash Flow Analysis'!I79)))</f>
        <v>4816625.4263188839</v>
      </c>
      <c r="C63" s="106">
        <f t="shared" ref="C63:W63" ca="1" si="17">IF($B$63="","",IF(AND($B$42="Straight Line",C48&lt;=depr_length),$B$63/depr_length,IF(AND($B$42="MACRS",C48&lt;=depr_length+1),$B$63*INDEX(MACRS_Table,MATCH(C48,recovery_year,0),MATCH($B$43,recovery_period,0)),"")))</f>
        <v>180623.45348695814</v>
      </c>
      <c r="D63" s="107">
        <f t="shared" ca="1" si="17"/>
        <v>347712.18952596025</v>
      </c>
      <c r="E63" s="107">
        <f t="shared" ca="1" si="17"/>
        <v>321606.07971531188</v>
      </c>
      <c r="F63" s="107">
        <f t="shared" ca="1" si="17"/>
        <v>297522.95258371747</v>
      </c>
      <c r="G63" s="107">
        <f t="shared" ca="1" si="17"/>
        <v>275173.81060559786</v>
      </c>
      <c r="H63" s="107">
        <f t="shared" ca="1" si="17"/>
        <v>254558.65378095303</v>
      </c>
      <c r="I63" s="107">
        <f t="shared" ca="1" si="17"/>
        <v>235436.65083846703</v>
      </c>
      <c r="J63" s="107">
        <f t="shared" ca="1" si="17"/>
        <v>217807.80177813995</v>
      </c>
      <c r="K63" s="107">
        <f t="shared" ca="1" si="17"/>
        <v>214917.82652234859</v>
      </c>
      <c r="L63" s="107">
        <f t="shared" ca="1" si="17"/>
        <v>214869.6602680854</v>
      </c>
      <c r="M63" s="107">
        <f t="shared" ca="1" si="17"/>
        <v>214917.82652234859</v>
      </c>
      <c r="N63" s="107">
        <f t="shared" ca="1" si="17"/>
        <v>214869.6602680854</v>
      </c>
      <c r="O63" s="107">
        <f t="shared" ca="1" si="17"/>
        <v>214917.82652234859</v>
      </c>
      <c r="P63" s="107">
        <f t="shared" ca="1" si="17"/>
        <v>214869.6602680854</v>
      </c>
      <c r="Q63" s="107">
        <f t="shared" ca="1" si="17"/>
        <v>214917.82652234859</v>
      </c>
      <c r="R63" s="107">
        <f t="shared" ca="1" si="17"/>
        <v>214869.6602680854</v>
      </c>
      <c r="S63" s="107">
        <f t="shared" ca="1" si="17"/>
        <v>214917.82652234859</v>
      </c>
      <c r="T63" s="107">
        <f t="shared" ca="1" si="17"/>
        <v>214869.6602680854</v>
      </c>
      <c r="U63" s="107">
        <f t="shared" ca="1" si="17"/>
        <v>214917.82652234859</v>
      </c>
      <c r="V63" s="107">
        <f t="shared" ca="1" si="17"/>
        <v>214869.6602680854</v>
      </c>
      <c r="W63" s="108">
        <f t="shared" ca="1" si="17"/>
        <v>107458.9132611743</v>
      </c>
      <c r="X63" s="105">
        <f t="shared" ca="1" si="3"/>
        <v>4816625.426318883</v>
      </c>
    </row>
    <row r="64" spans="1:24" ht="15" customHeight="1" x14ac:dyDescent="0.25">
      <c r="A64" s="73">
        <f>IF('Cash Flow Analysis'!C80="","",'Cash Flow Analysis'!C80)</f>
        <v>13</v>
      </c>
      <c r="B64" s="873">
        <f ca="1">IF(A64="","",IF(A64&lt;1,0,IF(A64=1,$B$44-'Cash Flow Analysis'!I80,-'Cash Flow Analysis'!I80)))</f>
        <v>4908141.3094189418</v>
      </c>
      <c r="C64" s="106">
        <f t="shared" ref="C64:W64" ca="1" si="18">IF($B$64="","",IF(AND($B$42="Straight Line",C48&lt;=depr_length),$B$64/depr_length,IF(AND($B$42="MACRS",C48&lt;=depr_length+1),$B$64*INDEX(MACRS_Table,MATCH(C48,recovery_year,0),MATCH($B$43,recovery_period,0)),"")))</f>
        <v>184055.2991032103</v>
      </c>
      <c r="D64" s="107">
        <f t="shared" ca="1" si="18"/>
        <v>354318.72112695343</v>
      </c>
      <c r="E64" s="107">
        <f t="shared" ca="1" si="18"/>
        <v>327716.59522990271</v>
      </c>
      <c r="F64" s="107">
        <f t="shared" ca="1" si="18"/>
        <v>303175.88868280803</v>
      </c>
      <c r="G64" s="107">
        <f t="shared" ca="1" si="18"/>
        <v>280402.11300710414</v>
      </c>
      <c r="H64" s="107">
        <f t="shared" ca="1" si="18"/>
        <v>259395.26820279108</v>
      </c>
      <c r="I64" s="107">
        <f t="shared" ca="1" si="18"/>
        <v>239909.94720439787</v>
      </c>
      <c r="J64" s="107">
        <f t="shared" ca="1" si="18"/>
        <v>221946.15001192456</v>
      </c>
      <c r="K64" s="107">
        <f t="shared" ca="1" si="18"/>
        <v>219001.26522627319</v>
      </c>
      <c r="L64" s="107">
        <f t="shared" ca="1" si="18"/>
        <v>218952.18381317897</v>
      </c>
      <c r="M64" s="107">
        <f t="shared" ca="1" si="18"/>
        <v>219001.26522627319</v>
      </c>
      <c r="N64" s="107">
        <f t="shared" ca="1" si="18"/>
        <v>218952.18381317897</v>
      </c>
      <c r="O64" s="107">
        <f t="shared" ca="1" si="18"/>
        <v>219001.26522627319</v>
      </c>
      <c r="P64" s="107">
        <f t="shared" ca="1" si="18"/>
        <v>218952.18381317897</v>
      </c>
      <c r="Q64" s="107">
        <f t="shared" ca="1" si="18"/>
        <v>219001.26522627319</v>
      </c>
      <c r="R64" s="107">
        <f t="shared" ca="1" si="18"/>
        <v>218952.18381317897</v>
      </c>
      <c r="S64" s="107">
        <f t="shared" ca="1" si="18"/>
        <v>219001.26522627319</v>
      </c>
      <c r="T64" s="107">
        <f t="shared" ca="1" si="18"/>
        <v>218952.18381317897</v>
      </c>
      <c r="U64" s="107">
        <f t="shared" ca="1" si="18"/>
        <v>219001.26522627319</v>
      </c>
      <c r="V64" s="107">
        <f t="shared" ca="1" si="18"/>
        <v>218952.18381317897</v>
      </c>
      <c r="W64" s="108">
        <f t="shared" ca="1" si="18"/>
        <v>109500.63261313659</v>
      </c>
      <c r="X64" s="105">
        <f t="shared" ca="1" si="3"/>
        <v>4908141.3094189418</v>
      </c>
    </row>
    <row r="65" spans="1:24" ht="15" customHeight="1" x14ac:dyDescent="0.25">
      <c r="A65" s="73">
        <f>IF('Cash Flow Analysis'!C81="","",'Cash Flow Analysis'!C81)</f>
        <v>14</v>
      </c>
      <c r="B65" s="873">
        <f ca="1">IF(A65="","",IF(A65&lt;1,0,IF(A65=1,$B$44-'Cash Flow Analysis'!I81,-'Cash Flow Analysis'!I81)))</f>
        <v>5001395.9942979002</v>
      </c>
      <c r="C65" s="106">
        <f t="shared" ref="C65:W65" ca="1" si="19">IF($B$65="","",IF(AND($B$42="Straight Line",C48&lt;=depr_length),$B$65/depr_length,IF(AND($B$42="MACRS",C48&lt;=depr_length+1),$B$65*INDEX(MACRS_Table,MATCH(C48,recovery_year,0),MATCH($B$43,recovery_period,0)),"")))</f>
        <v>187552.34978617125</v>
      </c>
      <c r="D65" s="107">
        <f t="shared" ca="1" si="19"/>
        <v>361050.77682836546</v>
      </c>
      <c r="E65" s="107">
        <f t="shared" ca="1" si="19"/>
        <v>333943.21053927077</v>
      </c>
      <c r="F65" s="107">
        <f t="shared" ca="1" si="19"/>
        <v>308936.23056778131</v>
      </c>
      <c r="G65" s="107">
        <f t="shared" ca="1" si="19"/>
        <v>285729.75315423904</v>
      </c>
      <c r="H65" s="107">
        <f t="shared" ca="1" si="19"/>
        <v>264323.77829864406</v>
      </c>
      <c r="I65" s="107">
        <f t="shared" ca="1" si="19"/>
        <v>244468.23620128137</v>
      </c>
      <c r="J65" s="107">
        <f t="shared" ca="1" si="19"/>
        <v>226163.12686215105</v>
      </c>
      <c r="K65" s="107">
        <f t="shared" ca="1" si="19"/>
        <v>223162.2892655723</v>
      </c>
      <c r="L65" s="107">
        <f t="shared" ca="1" si="19"/>
        <v>223112.2753056293</v>
      </c>
      <c r="M65" s="107">
        <f t="shared" ca="1" si="19"/>
        <v>223162.2892655723</v>
      </c>
      <c r="N65" s="107">
        <f t="shared" ca="1" si="19"/>
        <v>223112.2753056293</v>
      </c>
      <c r="O65" s="107">
        <f t="shared" ca="1" si="19"/>
        <v>223162.2892655723</v>
      </c>
      <c r="P65" s="107">
        <f t="shared" ca="1" si="19"/>
        <v>223112.2753056293</v>
      </c>
      <c r="Q65" s="107">
        <f t="shared" ca="1" si="19"/>
        <v>223162.2892655723</v>
      </c>
      <c r="R65" s="107">
        <f t="shared" ca="1" si="19"/>
        <v>223112.2753056293</v>
      </c>
      <c r="S65" s="107">
        <f t="shared" ca="1" si="19"/>
        <v>223162.2892655723</v>
      </c>
      <c r="T65" s="107">
        <f t="shared" ca="1" si="19"/>
        <v>223112.2753056293</v>
      </c>
      <c r="U65" s="107">
        <f t="shared" ca="1" si="19"/>
        <v>223162.2892655723</v>
      </c>
      <c r="V65" s="107">
        <f t="shared" ca="1" si="19"/>
        <v>223112.2753056293</v>
      </c>
      <c r="W65" s="108">
        <f t="shared" ca="1" si="19"/>
        <v>111581.14463278615</v>
      </c>
      <c r="X65" s="105">
        <f t="shared" ca="1" si="3"/>
        <v>5001395.9942979002</v>
      </c>
    </row>
    <row r="66" spans="1:24" ht="15" customHeight="1" x14ac:dyDescent="0.25">
      <c r="A66" s="73">
        <f>IF('Cash Flow Analysis'!C82="","",'Cash Flow Analysis'!C82)</f>
        <v>15</v>
      </c>
      <c r="B66" s="873">
        <f ca="1">IF(A66="","",IF(A66&lt;1,0,IF(A66=1,$B$44-'Cash Flow Analysis'!I82,-'Cash Flow Analysis'!I82)))</f>
        <v>5096422.5181895616</v>
      </c>
      <c r="C66" s="106">
        <f t="shared" ref="C66:W66" ca="1" si="20">IF($B$66="","",IF(AND($B$42="Straight Line",C48&lt;=depr_length),$B$66/depr_length,IF(AND($B$42="MACRS",C48&lt;=depr_length+1),$B$66*INDEX(MACRS_Table,MATCH(C48,recovery_year,0),MATCH($B$43,recovery_period,0)),"")))</f>
        <v>191115.84443210854</v>
      </c>
      <c r="D66" s="107">
        <f t="shared" ca="1" si="20"/>
        <v>367910.74158810446</v>
      </c>
      <c r="E66" s="107">
        <f t="shared" ca="1" si="20"/>
        <v>340288.13153951702</v>
      </c>
      <c r="F66" s="107">
        <f t="shared" ca="1" si="20"/>
        <v>314806.0189485692</v>
      </c>
      <c r="G66" s="107">
        <f t="shared" ca="1" si="20"/>
        <v>291158.61846416967</v>
      </c>
      <c r="H66" s="107">
        <f t="shared" ca="1" si="20"/>
        <v>269345.93008631835</v>
      </c>
      <c r="I66" s="107">
        <f t="shared" ca="1" si="20"/>
        <v>249113.13268910575</v>
      </c>
      <c r="J66" s="107">
        <f t="shared" ca="1" si="20"/>
        <v>230460.22627253199</v>
      </c>
      <c r="K66" s="107">
        <f t="shared" ca="1" si="20"/>
        <v>227402.37276161823</v>
      </c>
      <c r="L66" s="107">
        <f t="shared" ca="1" si="20"/>
        <v>227351.40853643633</v>
      </c>
      <c r="M66" s="107">
        <f t="shared" ca="1" si="20"/>
        <v>227402.37276161823</v>
      </c>
      <c r="N66" s="107">
        <f t="shared" ca="1" si="20"/>
        <v>227351.40853643633</v>
      </c>
      <c r="O66" s="107">
        <f t="shared" ca="1" si="20"/>
        <v>227402.37276161823</v>
      </c>
      <c r="P66" s="107">
        <f t="shared" ca="1" si="20"/>
        <v>227351.40853643633</v>
      </c>
      <c r="Q66" s="107">
        <f t="shared" ca="1" si="20"/>
        <v>227402.37276161823</v>
      </c>
      <c r="R66" s="107">
        <f t="shared" ca="1" si="20"/>
        <v>227351.40853643633</v>
      </c>
      <c r="S66" s="107">
        <f t="shared" ca="1" si="20"/>
        <v>227402.37276161823</v>
      </c>
      <c r="T66" s="107">
        <f t="shared" ca="1" si="20"/>
        <v>227351.40853643633</v>
      </c>
      <c r="U66" s="107">
        <f t="shared" ca="1" si="20"/>
        <v>227402.37276161823</v>
      </c>
      <c r="V66" s="107">
        <f t="shared" ca="1" si="20"/>
        <v>227351.40853643633</v>
      </c>
      <c r="W66" s="108">
        <f t="shared" ca="1" si="20"/>
        <v>113701.18638080911</v>
      </c>
      <c r="X66" s="105">
        <f t="shared" ca="1" si="3"/>
        <v>5096422.5181895616</v>
      </c>
    </row>
    <row r="67" spans="1:24" ht="15" customHeight="1" x14ac:dyDescent="0.25">
      <c r="A67" s="73">
        <f>IF('Cash Flow Analysis'!C83="","",'Cash Flow Analysis'!C83)</f>
        <v>16</v>
      </c>
      <c r="B67" s="873">
        <f ca="1">IF(A67="","",IF(A67&lt;1,0,IF(A67=1,$B$44-'Cash Flow Analysis'!I83,-'Cash Flow Analysis'!I83)))</f>
        <v>5193254.5460351631</v>
      </c>
      <c r="C67" s="106">
        <f t="shared" ref="C67:W67" ca="1" si="21">IF($B$67="","",IF(AND($B$42="Straight Line",C48&lt;=depr_length),$B$67/depr_length,IF(AND($B$42="MACRS",C48&lt;=depr_length+1),$B$67*INDEX(MACRS_Table,MATCH(C48,recovery_year,0),MATCH($B$43,recovery_period,0)),"")))</f>
        <v>194747.0454763186</v>
      </c>
      <c r="D67" s="107">
        <f t="shared" ca="1" si="21"/>
        <v>374901.04567827843</v>
      </c>
      <c r="E67" s="107">
        <f t="shared" ca="1" si="21"/>
        <v>346753.60603876784</v>
      </c>
      <c r="F67" s="107">
        <f t="shared" ca="1" si="21"/>
        <v>320787.33330859203</v>
      </c>
      <c r="G67" s="107">
        <f t="shared" ca="1" si="21"/>
        <v>296690.63221498887</v>
      </c>
      <c r="H67" s="107">
        <f t="shared" ca="1" si="21"/>
        <v>274463.50275795837</v>
      </c>
      <c r="I67" s="107">
        <f t="shared" ca="1" si="21"/>
        <v>253846.28221019878</v>
      </c>
      <c r="J67" s="107">
        <f t="shared" ca="1" si="21"/>
        <v>234838.97057171009</v>
      </c>
      <c r="K67" s="107">
        <f t="shared" ca="1" si="21"/>
        <v>231723.01784408899</v>
      </c>
      <c r="L67" s="107">
        <f t="shared" ca="1" si="21"/>
        <v>231671.0852986286</v>
      </c>
      <c r="M67" s="107">
        <f t="shared" ca="1" si="21"/>
        <v>231723.01784408899</v>
      </c>
      <c r="N67" s="107">
        <f t="shared" ca="1" si="21"/>
        <v>231671.0852986286</v>
      </c>
      <c r="O67" s="107">
        <f t="shared" ca="1" si="21"/>
        <v>231723.01784408899</v>
      </c>
      <c r="P67" s="107">
        <f t="shared" ca="1" si="21"/>
        <v>231671.0852986286</v>
      </c>
      <c r="Q67" s="107">
        <f t="shared" ca="1" si="21"/>
        <v>231723.01784408899</v>
      </c>
      <c r="R67" s="107">
        <f t="shared" ca="1" si="21"/>
        <v>231671.0852986286</v>
      </c>
      <c r="S67" s="107">
        <f t="shared" ca="1" si="21"/>
        <v>231723.01784408899</v>
      </c>
      <c r="T67" s="107">
        <f t="shared" ca="1" si="21"/>
        <v>231671.0852986286</v>
      </c>
      <c r="U67" s="107">
        <f t="shared" ca="1" si="21"/>
        <v>231723.01784408899</v>
      </c>
      <c r="V67" s="107">
        <f t="shared" ca="1" si="21"/>
        <v>231671.0852986286</v>
      </c>
      <c r="W67" s="108">
        <f t="shared" ca="1" si="21"/>
        <v>115861.50892204449</v>
      </c>
      <c r="X67" s="105">
        <f t="shared" ca="1" si="3"/>
        <v>5193254.5460351622</v>
      </c>
    </row>
    <row r="68" spans="1:24" ht="15" customHeight="1" x14ac:dyDescent="0.25">
      <c r="A68" s="73">
        <f>IF('Cash Flow Analysis'!C84="","",'Cash Flow Analysis'!C84)</f>
        <v>17</v>
      </c>
      <c r="B68" s="873">
        <f ca="1">IF(A68="","",IF(A68&lt;1,0,IF(A68=1,$B$44-'Cash Flow Analysis'!I84,-'Cash Flow Analysis'!I84)))</f>
        <v>5291926.3824098315</v>
      </c>
      <c r="C68" s="106">
        <f t="shared" ref="C68:W68" ca="1" si="22">IF($B$68="","",IF(AND($B$42="Straight Line",C48&lt;=depr_length),$B$68/depr_length,IF(AND($B$42="MACRS",C48&lt;=depr_length+1),$B$68*INDEX(MACRS_Table,MATCH(C48,recovery_year,0),MATCH($B$43,recovery_period,0)),"")))</f>
        <v>198447.23934036869</v>
      </c>
      <c r="D68" s="107">
        <f t="shared" ca="1" si="22"/>
        <v>382024.16554616578</v>
      </c>
      <c r="E68" s="107">
        <f t="shared" ca="1" si="22"/>
        <v>353341.92455350445</v>
      </c>
      <c r="F68" s="107">
        <f t="shared" ca="1" si="22"/>
        <v>326882.29264145531</v>
      </c>
      <c r="G68" s="107">
        <f t="shared" ca="1" si="22"/>
        <v>302327.75422707369</v>
      </c>
      <c r="H68" s="107">
        <f t="shared" ca="1" si="22"/>
        <v>279678.30931035959</v>
      </c>
      <c r="I68" s="107">
        <f t="shared" ca="1" si="22"/>
        <v>258669.36157219257</v>
      </c>
      <c r="J68" s="107">
        <f t="shared" ca="1" si="22"/>
        <v>239300.91101257259</v>
      </c>
      <c r="K68" s="107">
        <f t="shared" ca="1" si="22"/>
        <v>236125.75518312669</v>
      </c>
      <c r="L68" s="107">
        <f t="shared" ca="1" si="22"/>
        <v>236072.83591930257</v>
      </c>
      <c r="M68" s="107">
        <f t="shared" ca="1" si="22"/>
        <v>236125.75518312669</v>
      </c>
      <c r="N68" s="107">
        <f t="shared" ca="1" si="22"/>
        <v>236072.83591930257</v>
      </c>
      <c r="O68" s="107">
        <f t="shared" ca="1" si="22"/>
        <v>236125.75518312669</v>
      </c>
      <c r="P68" s="107">
        <f t="shared" ca="1" si="22"/>
        <v>236072.83591930257</v>
      </c>
      <c r="Q68" s="107">
        <f t="shared" ca="1" si="22"/>
        <v>236125.75518312669</v>
      </c>
      <c r="R68" s="107">
        <f t="shared" ca="1" si="22"/>
        <v>236072.83591930257</v>
      </c>
      <c r="S68" s="107">
        <f t="shared" ca="1" si="22"/>
        <v>236125.75518312669</v>
      </c>
      <c r="T68" s="107">
        <f t="shared" ca="1" si="22"/>
        <v>236072.83591930257</v>
      </c>
      <c r="U68" s="107">
        <f t="shared" ca="1" si="22"/>
        <v>236125.75518312669</v>
      </c>
      <c r="V68" s="107">
        <f t="shared" ca="1" si="22"/>
        <v>236072.83591930257</v>
      </c>
      <c r="W68" s="108">
        <f t="shared" ca="1" si="22"/>
        <v>118062.87759156335</v>
      </c>
      <c r="X68" s="105">
        <f t="shared" ca="1" si="3"/>
        <v>5291926.3824098324</v>
      </c>
    </row>
    <row r="69" spans="1:24" ht="15" customHeight="1" x14ac:dyDescent="0.25">
      <c r="A69" s="73">
        <f>IF('Cash Flow Analysis'!C85="","",'Cash Flow Analysis'!C85)</f>
        <v>18</v>
      </c>
      <c r="B69" s="873">
        <f ca="1">IF(A69="","",IF(A69&lt;1,0,IF(A69=1,$B$44-'Cash Flow Analysis'!I85,-'Cash Flow Analysis'!I85)))</f>
        <v>5392472.9836756177</v>
      </c>
      <c r="C69" s="106">
        <f t="shared" ref="C69:W69" ca="1" si="23">IF($B$69="","",IF(AND($B$42="Straight Line",C48&lt;=depr_length),$B$69/depr_length,IF(AND($B$42="MACRS",C48&lt;=depr_length+1),$B$69*INDEX(MACRS_Table,MATCH(C48,recovery_year,0),MATCH($B$43,recovery_period,0)),"")))</f>
        <v>202217.73688783566</v>
      </c>
      <c r="D69" s="107">
        <f t="shared" ca="1" si="23"/>
        <v>389282.62469154288</v>
      </c>
      <c r="E69" s="107">
        <f t="shared" ca="1" si="23"/>
        <v>360055.42112002097</v>
      </c>
      <c r="F69" s="107">
        <f t="shared" ca="1" si="23"/>
        <v>333093.0562016429</v>
      </c>
      <c r="G69" s="107">
        <f t="shared" ca="1" si="23"/>
        <v>308071.98155738803</v>
      </c>
      <c r="H69" s="107">
        <f t="shared" ca="1" si="23"/>
        <v>284992.19718725642</v>
      </c>
      <c r="I69" s="107">
        <f t="shared" ca="1" si="23"/>
        <v>263584.07944206422</v>
      </c>
      <c r="J69" s="107">
        <f t="shared" ca="1" si="23"/>
        <v>243847.62832181144</v>
      </c>
      <c r="K69" s="107">
        <f t="shared" ca="1" si="23"/>
        <v>240612.14453160606</v>
      </c>
      <c r="L69" s="107">
        <f t="shared" ca="1" si="23"/>
        <v>240558.2198017693</v>
      </c>
      <c r="M69" s="107">
        <f t="shared" ca="1" si="23"/>
        <v>240612.14453160606</v>
      </c>
      <c r="N69" s="107">
        <f t="shared" ca="1" si="23"/>
        <v>240558.2198017693</v>
      </c>
      <c r="O69" s="107">
        <f t="shared" ca="1" si="23"/>
        <v>240612.14453160606</v>
      </c>
      <c r="P69" s="107">
        <f t="shared" ca="1" si="23"/>
        <v>240558.2198017693</v>
      </c>
      <c r="Q69" s="107">
        <f t="shared" ca="1" si="23"/>
        <v>240612.14453160606</v>
      </c>
      <c r="R69" s="107">
        <f t="shared" ca="1" si="23"/>
        <v>240558.2198017693</v>
      </c>
      <c r="S69" s="107">
        <f t="shared" ca="1" si="23"/>
        <v>240612.14453160606</v>
      </c>
      <c r="T69" s="107">
        <f t="shared" ca="1" si="23"/>
        <v>240558.2198017693</v>
      </c>
      <c r="U69" s="107">
        <f t="shared" ca="1" si="23"/>
        <v>240612.14453160606</v>
      </c>
      <c r="V69" s="107">
        <f t="shared" ca="1" si="23"/>
        <v>240558.2198017693</v>
      </c>
      <c r="W69" s="108">
        <f t="shared" ca="1" si="23"/>
        <v>120306.07226580303</v>
      </c>
      <c r="X69" s="105">
        <f t="shared" ca="1" si="3"/>
        <v>5392472.9836756177</v>
      </c>
    </row>
    <row r="70" spans="1:24" ht="15" customHeight="1" x14ac:dyDescent="0.25">
      <c r="A70" s="73">
        <f>IF('Cash Flow Analysis'!C86="","",'Cash Flow Analysis'!C86)</f>
        <v>19</v>
      </c>
      <c r="B70" s="873">
        <f ca="1">IF(A70="","",IF(A70&lt;1,0,IF(A70=1,$B$44-'Cash Flow Analysis'!I86,-'Cash Flow Analysis'!I86)))</f>
        <v>5494929.9703654535</v>
      </c>
      <c r="C70" s="106">
        <f t="shared" ref="C70:W70" ca="1" si="24">IF($B$70="","",IF(AND($B$42="Straight Line",C48&lt;=depr_length),$B$70/depr_length,IF(AND($B$42="MACRS",C48&lt;=depr_length+1),$B$70*INDEX(MACRS_Table,MATCH(C48,recovery_year,0),MATCH($B$43,recovery_period,0)),"")))</f>
        <v>206059.87388870449</v>
      </c>
      <c r="D70" s="107">
        <f t="shared" ca="1" si="24"/>
        <v>396678.9945606821</v>
      </c>
      <c r="E70" s="107">
        <f t="shared" ca="1" si="24"/>
        <v>366896.47412130132</v>
      </c>
      <c r="F70" s="107">
        <f t="shared" ca="1" si="24"/>
        <v>339421.82426947408</v>
      </c>
      <c r="G70" s="107">
        <f t="shared" ca="1" si="24"/>
        <v>313925.34920697834</v>
      </c>
      <c r="H70" s="107">
        <f t="shared" ca="1" si="24"/>
        <v>290407.04893381422</v>
      </c>
      <c r="I70" s="107">
        <f t="shared" ca="1" si="24"/>
        <v>268592.17695146339</v>
      </c>
      <c r="J70" s="107">
        <f t="shared" ca="1" si="24"/>
        <v>248480.73325992582</v>
      </c>
      <c r="K70" s="107">
        <f t="shared" ca="1" si="24"/>
        <v>245183.77527770653</v>
      </c>
      <c r="L70" s="107">
        <f t="shared" ca="1" si="24"/>
        <v>245128.82597800286</v>
      </c>
      <c r="M70" s="107">
        <f t="shared" ca="1" si="24"/>
        <v>245183.77527770653</v>
      </c>
      <c r="N70" s="107">
        <f t="shared" ca="1" si="24"/>
        <v>245128.82597800286</v>
      </c>
      <c r="O70" s="107">
        <f t="shared" ca="1" si="24"/>
        <v>245183.77527770653</v>
      </c>
      <c r="P70" s="107">
        <f t="shared" ca="1" si="24"/>
        <v>245128.82597800286</v>
      </c>
      <c r="Q70" s="107">
        <f t="shared" ca="1" si="24"/>
        <v>245183.77527770653</v>
      </c>
      <c r="R70" s="107">
        <f t="shared" ca="1" si="24"/>
        <v>245128.82597800286</v>
      </c>
      <c r="S70" s="107">
        <f t="shared" ca="1" si="24"/>
        <v>245183.77527770653</v>
      </c>
      <c r="T70" s="107">
        <f t="shared" ca="1" si="24"/>
        <v>245128.82597800286</v>
      </c>
      <c r="U70" s="107">
        <f t="shared" ca="1" si="24"/>
        <v>245183.77527770653</v>
      </c>
      <c r="V70" s="107">
        <f t="shared" ca="1" si="24"/>
        <v>245128.82597800286</v>
      </c>
      <c r="W70" s="108">
        <f t="shared" ca="1" si="24"/>
        <v>122591.88763885327</v>
      </c>
      <c r="X70" s="105">
        <f t="shared" ca="1" si="3"/>
        <v>5494929.9703654516</v>
      </c>
    </row>
    <row r="71" spans="1:24" ht="15" customHeight="1" x14ac:dyDescent="0.25">
      <c r="A71" s="73">
        <f>IF('Cash Flow Analysis'!C87="","",'Cash Flow Analysis'!C87)</f>
        <v>20</v>
      </c>
      <c r="B71" s="873">
        <f ca="1">IF(A71="","",IF(A71&lt;1,0,IF(A71=1,$B$44-'Cash Flow Analysis'!I87,-'Cash Flow Analysis'!I87)))</f>
        <v>5599333.6398023982</v>
      </c>
      <c r="C71" s="106">
        <f t="shared" ref="C71:W71" ca="1" si="25">IF($B$71="","",IF(AND($B$42="Straight Line",C48&lt;=depr_length),$B$71/depr_length,IF(AND($B$42="MACRS",C48&lt;=depr_length+1),$B$71*INDEX(MACRS_Table,MATCH(C48,recovery_year,0),MATCH($B$43,recovery_period,0)),"")))</f>
        <v>209975.01149258993</v>
      </c>
      <c r="D71" s="107">
        <f t="shared" ca="1" si="25"/>
        <v>404215.89545733517</v>
      </c>
      <c r="E71" s="107">
        <f t="shared" ca="1" si="25"/>
        <v>373867.50712960609</v>
      </c>
      <c r="F71" s="107">
        <f t="shared" ca="1" si="25"/>
        <v>345870.83893059415</v>
      </c>
      <c r="G71" s="107">
        <f t="shared" ca="1" si="25"/>
        <v>319889.930841911</v>
      </c>
      <c r="H71" s="107">
        <f t="shared" ca="1" si="25"/>
        <v>295924.78286355676</v>
      </c>
      <c r="I71" s="107">
        <f t="shared" ca="1" si="25"/>
        <v>273695.42831354123</v>
      </c>
      <c r="J71" s="107">
        <f t="shared" ca="1" si="25"/>
        <v>253201.86719186447</v>
      </c>
      <c r="K71" s="107">
        <f t="shared" ca="1" si="25"/>
        <v>249842.267007983</v>
      </c>
      <c r="L71" s="107">
        <f t="shared" ca="1" si="25"/>
        <v>249786.27367158496</v>
      </c>
      <c r="M71" s="107">
        <f t="shared" ca="1" si="25"/>
        <v>249842.267007983</v>
      </c>
      <c r="N71" s="107">
        <f t="shared" ca="1" si="25"/>
        <v>249786.27367158496</v>
      </c>
      <c r="O71" s="107">
        <f t="shared" ca="1" si="25"/>
        <v>249842.267007983</v>
      </c>
      <c r="P71" s="107">
        <f t="shared" ca="1" si="25"/>
        <v>249786.27367158496</v>
      </c>
      <c r="Q71" s="107">
        <f t="shared" ca="1" si="25"/>
        <v>249842.267007983</v>
      </c>
      <c r="R71" s="107">
        <f t="shared" ca="1" si="25"/>
        <v>249786.27367158496</v>
      </c>
      <c r="S71" s="107">
        <f t="shared" ca="1" si="25"/>
        <v>249842.267007983</v>
      </c>
      <c r="T71" s="107">
        <f t="shared" ca="1" si="25"/>
        <v>249786.27367158496</v>
      </c>
      <c r="U71" s="107">
        <f t="shared" ca="1" si="25"/>
        <v>249842.267007983</v>
      </c>
      <c r="V71" s="107">
        <f t="shared" ca="1" si="25"/>
        <v>249786.27367158496</v>
      </c>
      <c r="W71" s="108">
        <f t="shared" ca="1" si="25"/>
        <v>124921.1335039915</v>
      </c>
      <c r="X71" s="105">
        <f t="shared" ca="1" si="3"/>
        <v>5599333.6398023991</v>
      </c>
    </row>
    <row r="72" spans="1:24" ht="15" customHeight="1" x14ac:dyDescent="0.25">
      <c r="A72" s="73">
        <f>IF('Cash Flow Analysis'!C88="","",'Cash Flow Analysis'!C88)</f>
        <v>21</v>
      </c>
      <c r="B72" s="873">
        <f ca="1">IF(A72="","",IF(A72&lt;1,0,IF(A72=1,$B$44-'Cash Flow Analysis'!I88,-'Cash Flow Analysis'!I88)))</f>
        <v>5705720.978958643</v>
      </c>
      <c r="C72" s="106">
        <f t="shared" ref="C72:W72" ca="1" si="26">IF($B$72="","",IF(AND($B$42="Straight Line",C48&lt;=depr_length),$B$72/depr_length,IF(AND($B$42="MACRS",C48&lt;=depr_length+1),$B$72*INDEX(MACRS_Table,MATCH(C48,recovery_year,0),MATCH($B$43,recovery_period,0)),"")))</f>
        <v>213964.53671094912</v>
      </c>
      <c r="D72" s="107">
        <f t="shared" ca="1" si="26"/>
        <v>411895.99747102446</v>
      </c>
      <c r="E72" s="107">
        <f t="shared" ca="1" si="26"/>
        <v>380970.98976506857</v>
      </c>
      <c r="F72" s="107">
        <f t="shared" ca="1" si="26"/>
        <v>352442.38487027539</v>
      </c>
      <c r="G72" s="107">
        <f t="shared" ca="1" si="26"/>
        <v>325967.83952790726</v>
      </c>
      <c r="H72" s="107">
        <f t="shared" ca="1" si="26"/>
        <v>301547.35373796429</v>
      </c>
      <c r="I72" s="107">
        <f t="shared" ca="1" si="26"/>
        <v>278895.64145149849</v>
      </c>
      <c r="J72" s="107">
        <f t="shared" ca="1" si="26"/>
        <v>258012.70266850985</v>
      </c>
      <c r="K72" s="107">
        <f t="shared" ca="1" si="26"/>
        <v>254589.27008113466</v>
      </c>
      <c r="L72" s="107">
        <f t="shared" ca="1" si="26"/>
        <v>254532.21287134505</v>
      </c>
      <c r="M72" s="107">
        <f t="shared" ca="1" si="26"/>
        <v>254589.27008113466</v>
      </c>
      <c r="N72" s="107">
        <f t="shared" ca="1" si="26"/>
        <v>254532.21287134505</v>
      </c>
      <c r="O72" s="107">
        <f t="shared" ca="1" si="26"/>
        <v>254589.27008113466</v>
      </c>
      <c r="P72" s="107">
        <f t="shared" ca="1" si="26"/>
        <v>254532.21287134505</v>
      </c>
      <c r="Q72" s="107">
        <f t="shared" ca="1" si="26"/>
        <v>254589.27008113466</v>
      </c>
      <c r="R72" s="107">
        <f t="shared" ca="1" si="26"/>
        <v>254532.21287134505</v>
      </c>
      <c r="S72" s="107">
        <f t="shared" ca="1" si="26"/>
        <v>254589.27008113466</v>
      </c>
      <c r="T72" s="107">
        <f t="shared" ca="1" si="26"/>
        <v>254532.21287134505</v>
      </c>
      <c r="U72" s="107">
        <f t="shared" ca="1" si="26"/>
        <v>254589.27008113466</v>
      </c>
      <c r="V72" s="107">
        <f t="shared" ca="1" si="26"/>
        <v>254532.21287134505</v>
      </c>
      <c r="W72" s="108">
        <f t="shared" ca="1" si="26"/>
        <v>127294.63504056733</v>
      </c>
      <c r="X72" s="105">
        <f t="shared" ca="1" si="3"/>
        <v>5705720.9789586421</v>
      </c>
    </row>
    <row r="73" spans="1:24" ht="15" customHeight="1" x14ac:dyDescent="0.25">
      <c r="A73" s="73">
        <f>IF('Cash Flow Analysis'!C89="","",'Cash Flow Analysis'!C89)</f>
        <v>22</v>
      </c>
      <c r="B73" s="873">
        <f ca="1">IF(A73="","",IF(A73&lt;1,0,IF(A73=1,$B$44-'Cash Flow Analysis'!I89,-'Cash Flow Analysis'!I89)))</f>
        <v>5814129.6775588561</v>
      </c>
      <c r="C73" s="106">
        <f t="shared" ref="C73:W73" ca="1" si="27">IF($B$73="","",IF(AND($B$42="Straight Line",C48&lt;=depr_length),$B$73/depr_length,IF(AND($B$42="MACRS",C48&lt;=depr_length+1),$B$73*INDEX(MACRS_Table,MATCH(C48,recovery_year,0),MATCH($B$43,recovery_period,0)),"")))</f>
        <v>218029.86290845709</v>
      </c>
      <c r="D73" s="107">
        <f t="shared" ca="1" si="27"/>
        <v>419722.02142297383</v>
      </c>
      <c r="E73" s="107">
        <f t="shared" ca="1" si="27"/>
        <v>388209.43857060478</v>
      </c>
      <c r="F73" s="107">
        <f t="shared" ca="1" si="27"/>
        <v>359138.79018281051</v>
      </c>
      <c r="G73" s="107">
        <f t="shared" ca="1" si="27"/>
        <v>332161.22847893747</v>
      </c>
      <c r="H73" s="107">
        <f t="shared" ca="1" si="27"/>
        <v>307276.75345898553</v>
      </c>
      <c r="I73" s="107">
        <f t="shared" ca="1" si="27"/>
        <v>284194.65863907686</v>
      </c>
      <c r="J73" s="107">
        <f t="shared" ca="1" si="27"/>
        <v>262914.94401921151</v>
      </c>
      <c r="K73" s="107">
        <f t="shared" ca="1" si="27"/>
        <v>259426.46621267617</v>
      </c>
      <c r="L73" s="107">
        <f t="shared" ca="1" si="27"/>
        <v>259368.32491590056</v>
      </c>
      <c r="M73" s="107">
        <f t="shared" ca="1" si="27"/>
        <v>259426.46621267617</v>
      </c>
      <c r="N73" s="107">
        <f t="shared" ca="1" si="27"/>
        <v>259368.32491590056</v>
      </c>
      <c r="O73" s="107">
        <f t="shared" ca="1" si="27"/>
        <v>259426.46621267617</v>
      </c>
      <c r="P73" s="107">
        <f t="shared" ca="1" si="27"/>
        <v>259368.32491590056</v>
      </c>
      <c r="Q73" s="107">
        <f t="shared" ca="1" si="27"/>
        <v>259426.46621267617</v>
      </c>
      <c r="R73" s="107">
        <f t="shared" ca="1" si="27"/>
        <v>259368.32491590056</v>
      </c>
      <c r="S73" s="107">
        <f t="shared" ca="1" si="27"/>
        <v>259426.46621267617</v>
      </c>
      <c r="T73" s="107">
        <f t="shared" ca="1" si="27"/>
        <v>259368.32491590056</v>
      </c>
      <c r="U73" s="107">
        <f t="shared" ca="1" si="27"/>
        <v>259426.46621267617</v>
      </c>
      <c r="V73" s="107">
        <f t="shared" ca="1" si="27"/>
        <v>259368.32491590056</v>
      </c>
      <c r="W73" s="108">
        <f t="shared" ca="1" si="27"/>
        <v>129713.23310633808</v>
      </c>
      <c r="X73" s="105">
        <f t="shared" ca="1" si="3"/>
        <v>5814129.6775588561</v>
      </c>
    </row>
    <row r="74" spans="1:24" ht="15" customHeight="1" x14ac:dyDescent="0.25">
      <c r="A74" s="73">
        <f>IF('Cash Flow Analysis'!C90="","",'Cash Flow Analysis'!C90)</f>
        <v>23</v>
      </c>
      <c r="B74" s="873">
        <f ca="1">IF(A74="","",IF(A74&lt;1,0,IF(A74=1,$B$44-'Cash Flow Analysis'!I90,-'Cash Flow Analysis'!I90)))</f>
        <v>5924598.1414324753</v>
      </c>
      <c r="C74" s="106">
        <f t="shared" ref="C74:W74" ca="1" si="28">IF($B$74="","",IF(AND($B$42="Straight Line",C48&lt;=depr_length),$B$74/depr_length,IF(AND($B$42="MACRS",C48&lt;=depr_length+1),$B$74*INDEX(MACRS_Table,MATCH(C48,recovery_year,0),MATCH($B$43,recovery_period,0)),"")))</f>
        <v>222172.43030371782</v>
      </c>
      <c r="D74" s="107">
        <f t="shared" ca="1" si="28"/>
        <v>427696.7398300104</v>
      </c>
      <c r="E74" s="107">
        <f t="shared" ca="1" si="28"/>
        <v>395585.41790344636</v>
      </c>
      <c r="F74" s="107">
        <f t="shared" ca="1" si="28"/>
        <v>365962.427196284</v>
      </c>
      <c r="G74" s="107">
        <f t="shared" ca="1" si="28"/>
        <v>338472.2918200373</v>
      </c>
      <c r="H74" s="107">
        <f t="shared" ca="1" si="28"/>
        <v>313115.01177470631</v>
      </c>
      <c r="I74" s="107">
        <f t="shared" ca="1" si="28"/>
        <v>289594.3571532194</v>
      </c>
      <c r="J74" s="107">
        <f t="shared" ca="1" si="28"/>
        <v>267910.32795557653</v>
      </c>
      <c r="K74" s="107">
        <f t="shared" ca="1" si="28"/>
        <v>264355.56907071703</v>
      </c>
      <c r="L74" s="107">
        <f t="shared" ca="1" si="28"/>
        <v>264296.32308930269</v>
      </c>
      <c r="M74" s="107">
        <f t="shared" ca="1" si="28"/>
        <v>264355.56907071703</v>
      </c>
      <c r="N74" s="107">
        <f t="shared" ca="1" si="28"/>
        <v>264296.32308930269</v>
      </c>
      <c r="O74" s="107">
        <f t="shared" ca="1" si="28"/>
        <v>264355.56907071703</v>
      </c>
      <c r="P74" s="107">
        <f t="shared" ca="1" si="28"/>
        <v>264296.32308930269</v>
      </c>
      <c r="Q74" s="107">
        <f t="shared" ca="1" si="28"/>
        <v>264355.56907071703</v>
      </c>
      <c r="R74" s="107">
        <f t="shared" ca="1" si="28"/>
        <v>264296.32308930269</v>
      </c>
      <c r="S74" s="107">
        <f t="shared" ca="1" si="28"/>
        <v>264355.56907071703</v>
      </c>
      <c r="T74" s="107">
        <f t="shared" ca="1" si="28"/>
        <v>264296.32308930269</v>
      </c>
      <c r="U74" s="107">
        <f t="shared" ca="1" si="28"/>
        <v>264355.56907071703</v>
      </c>
      <c r="V74" s="107">
        <f t="shared" ca="1" si="28"/>
        <v>264296.32308930269</v>
      </c>
      <c r="W74" s="108">
        <f t="shared" ca="1" si="28"/>
        <v>132177.78453535851</v>
      </c>
      <c r="X74" s="105">
        <f t="shared" ca="1" si="3"/>
        <v>5924598.1414324744</v>
      </c>
    </row>
    <row r="75" spans="1:24" ht="15" customHeight="1" x14ac:dyDescent="0.25">
      <c r="A75" s="73">
        <f>IF('Cash Flow Analysis'!C91="","",'Cash Flow Analysis'!C91)</f>
        <v>24</v>
      </c>
      <c r="B75" s="873">
        <f ca="1">IF(A75="","",IF(A75&lt;1,0,IF(A75=1,$B$44-'Cash Flow Analysis'!I91,-'Cash Flow Analysis'!I91)))</f>
        <v>6037165.5061196918</v>
      </c>
      <c r="C75" s="106">
        <f t="shared" ref="C75:W75" ca="1" si="29">IF($B$75="","",IF(AND($B$42="Straight Line",C48&lt;=depr_length),$B$75/depr_length,IF(AND($B$42="MACRS",C48&lt;=depr_length+1),$B$75*INDEX(MACRS_Table,MATCH(C48,recovery_year,0),MATCH($B$43,recovery_period,0)),"")))</f>
        <v>226393.70647948844</v>
      </c>
      <c r="D75" s="107">
        <f t="shared" ca="1" si="29"/>
        <v>435822.97788678057</v>
      </c>
      <c r="E75" s="107">
        <f t="shared" ca="1" si="29"/>
        <v>403101.54084361182</v>
      </c>
      <c r="F75" s="107">
        <f t="shared" ca="1" si="29"/>
        <v>372915.71331301337</v>
      </c>
      <c r="G75" s="107">
        <f t="shared" ca="1" si="29"/>
        <v>344903.26536461798</v>
      </c>
      <c r="H75" s="107">
        <f t="shared" ca="1" si="29"/>
        <v>319064.1969984257</v>
      </c>
      <c r="I75" s="107">
        <f t="shared" ca="1" si="29"/>
        <v>295096.64993913053</v>
      </c>
      <c r="J75" s="107">
        <f t="shared" ca="1" si="29"/>
        <v>273000.62418673246</v>
      </c>
      <c r="K75" s="107">
        <f t="shared" ca="1" si="29"/>
        <v>269378.32488306065</v>
      </c>
      <c r="L75" s="107">
        <f t="shared" ca="1" si="29"/>
        <v>269317.95322799945</v>
      </c>
      <c r="M75" s="107">
        <f t="shared" ca="1" si="29"/>
        <v>269378.32488306065</v>
      </c>
      <c r="N75" s="107">
        <f t="shared" ca="1" si="29"/>
        <v>269317.95322799945</v>
      </c>
      <c r="O75" s="107">
        <f t="shared" ca="1" si="29"/>
        <v>269378.32488306065</v>
      </c>
      <c r="P75" s="107">
        <f t="shared" ca="1" si="29"/>
        <v>269317.95322799945</v>
      </c>
      <c r="Q75" s="107">
        <f t="shared" ca="1" si="29"/>
        <v>269378.32488306065</v>
      </c>
      <c r="R75" s="107">
        <f t="shared" ca="1" si="29"/>
        <v>269317.95322799945</v>
      </c>
      <c r="S75" s="107">
        <f t="shared" ca="1" si="29"/>
        <v>269378.32488306065</v>
      </c>
      <c r="T75" s="107">
        <f t="shared" ca="1" si="29"/>
        <v>269317.95322799945</v>
      </c>
      <c r="U75" s="107">
        <f t="shared" ca="1" si="29"/>
        <v>269378.32488306065</v>
      </c>
      <c r="V75" s="107">
        <f t="shared" ca="1" si="29"/>
        <v>269317.95322799945</v>
      </c>
      <c r="W75" s="108">
        <f t="shared" ca="1" si="29"/>
        <v>134689.16244153032</v>
      </c>
      <c r="X75" s="105">
        <f t="shared" ca="1" si="3"/>
        <v>6037165.5061196918</v>
      </c>
    </row>
    <row r="76" spans="1:24" ht="15" customHeight="1" x14ac:dyDescent="0.25">
      <c r="A76" s="73">
        <f>IF('Cash Flow Analysis'!C92="","",'Cash Flow Analysis'!C92)</f>
        <v>25</v>
      </c>
      <c r="B76" s="873">
        <f ca="1">IF(A76="","",IF(A76&lt;1,0,IF(A76=1,$B$44-'Cash Flow Analysis'!I92,-'Cash Flow Analysis'!I92)))</f>
        <v>6151871.6507359659</v>
      </c>
      <c r="C76" s="106">
        <f t="shared" ref="C76:W76" ca="1" si="30">IF($B$76="","",IF(AND($B$42="Straight Line",C48&lt;=depr_length),$B$76/depr_length,IF(AND($B$42="MACRS",C48&lt;=depr_length+1),$B$76*INDEX(MACRS_Table,MATCH(C48,recovery_year,0),MATCH($B$43,recovery_period,0)),"")))</f>
        <v>230695.18690259871</v>
      </c>
      <c r="D76" s="107">
        <f t="shared" ca="1" si="30"/>
        <v>444103.6144666294</v>
      </c>
      <c r="E76" s="107">
        <f t="shared" ca="1" si="30"/>
        <v>410760.47011964041</v>
      </c>
      <c r="F76" s="107">
        <f t="shared" ca="1" si="30"/>
        <v>380001.11186596059</v>
      </c>
      <c r="G76" s="107">
        <f t="shared" ca="1" si="30"/>
        <v>351456.42740654573</v>
      </c>
      <c r="H76" s="107">
        <f t="shared" ca="1" si="30"/>
        <v>325126.41674139583</v>
      </c>
      <c r="I76" s="107">
        <f t="shared" ca="1" si="30"/>
        <v>300703.486287974</v>
      </c>
      <c r="J76" s="107">
        <f t="shared" ca="1" si="30"/>
        <v>278187.63604628039</v>
      </c>
      <c r="K76" s="107">
        <f t="shared" ca="1" si="30"/>
        <v>274496.51305583882</v>
      </c>
      <c r="L76" s="107">
        <f t="shared" ca="1" si="30"/>
        <v>274434.9943393314</v>
      </c>
      <c r="M76" s="107">
        <f t="shared" ca="1" si="30"/>
        <v>274496.51305583882</v>
      </c>
      <c r="N76" s="107">
        <f t="shared" ca="1" si="30"/>
        <v>274434.9943393314</v>
      </c>
      <c r="O76" s="107">
        <f t="shared" ca="1" si="30"/>
        <v>274496.51305583882</v>
      </c>
      <c r="P76" s="107">
        <f t="shared" ca="1" si="30"/>
        <v>274434.9943393314</v>
      </c>
      <c r="Q76" s="107">
        <f t="shared" ca="1" si="30"/>
        <v>274496.51305583882</v>
      </c>
      <c r="R76" s="107">
        <f t="shared" ca="1" si="30"/>
        <v>274434.9943393314</v>
      </c>
      <c r="S76" s="107">
        <f t="shared" ca="1" si="30"/>
        <v>274496.51305583882</v>
      </c>
      <c r="T76" s="107">
        <f t="shared" ca="1" si="30"/>
        <v>274434.9943393314</v>
      </c>
      <c r="U76" s="107">
        <f t="shared" ca="1" si="30"/>
        <v>274496.51305583882</v>
      </c>
      <c r="V76" s="107">
        <f t="shared" ca="1" si="30"/>
        <v>274434.9943393314</v>
      </c>
      <c r="W76" s="108">
        <f t="shared" ca="1" si="30"/>
        <v>137248.25652791941</v>
      </c>
      <c r="X76" s="105">
        <f t="shared" ca="1" si="3"/>
        <v>6151871.6507359631</v>
      </c>
    </row>
    <row r="77" spans="1:24" ht="15" customHeight="1" x14ac:dyDescent="0.25">
      <c r="A77" s="73">
        <f>IF('Cash Flow Analysis'!C93="","",'Cash Flow Analysis'!C93)</f>
        <v>26</v>
      </c>
      <c r="B77" s="873">
        <f ca="1">IF(A77="","",IF(A77&lt;1,0,IF(A77=1,$B$44-'Cash Flow Analysis'!I93,-'Cash Flow Analysis'!I93)))</f>
        <v>6268757.212099948</v>
      </c>
      <c r="C77" s="106">
        <f t="shared" ref="C77:W77" ca="1" si="31">IF($B$77="","",IF(AND($B$42="Straight Line",C48&lt;=depr_length),$B$77/depr_length,IF(AND($B$42="MACRS",C48&lt;=depr_length+1),$B$77*INDEX(MACRS_Table,MATCH(C48,recovery_year,0),MATCH($B$43,recovery_period,0)),"")))</f>
        <v>235078.39545374803</v>
      </c>
      <c r="D77" s="107">
        <f t="shared" ca="1" si="31"/>
        <v>452541.58314149524</v>
      </c>
      <c r="E77" s="107">
        <f t="shared" ca="1" si="31"/>
        <v>418564.91905191349</v>
      </c>
      <c r="F77" s="107">
        <f t="shared" ca="1" si="31"/>
        <v>387221.13299141376</v>
      </c>
      <c r="G77" s="107">
        <f t="shared" ca="1" si="31"/>
        <v>358134.09952727001</v>
      </c>
      <c r="H77" s="107">
        <f t="shared" ca="1" si="31"/>
        <v>331303.81865948223</v>
      </c>
      <c r="I77" s="107">
        <f t="shared" ca="1" si="31"/>
        <v>306416.85252744547</v>
      </c>
      <c r="J77" s="107">
        <f t="shared" ca="1" si="31"/>
        <v>283473.20113115967</v>
      </c>
      <c r="K77" s="107">
        <f t="shared" ca="1" si="31"/>
        <v>279711.94680389966</v>
      </c>
      <c r="L77" s="107">
        <f t="shared" ca="1" si="31"/>
        <v>279649.25923177868</v>
      </c>
      <c r="M77" s="107">
        <f t="shared" ca="1" si="31"/>
        <v>279711.94680389966</v>
      </c>
      <c r="N77" s="107">
        <f t="shared" ca="1" si="31"/>
        <v>279649.25923177868</v>
      </c>
      <c r="O77" s="107">
        <f t="shared" ca="1" si="31"/>
        <v>279711.94680389966</v>
      </c>
      <c r="P77" s="107">
        <f t="shared" ca="1" si="31"/>
        <v>279649.25923177868</v>
      </c>
      <c r="Q77" s="107">
        <f t="shared" ca="1" si="31"/>
        <v>279711.94680389966</v>
      </c>
      <c r="R77" s="107">
        <f t="shared" ca="1" si="31"/>
        <v>279649.25923177868</v>
      </c>
      <c r="S77" s="107">
        <f t="shared" ca="1" si="31"/>
        <v>279711.94680389966</v>
      </c>
      <c r="T77" s="107">
        <f t="shared" ca="1" si="31"/>
        <v>279649.25923177868</v>
      </c>
      <c r="U77" s="107">
        <f t="shared" ca="1" si="31"/>
        <v>279711.94680389966</v>
      </c>
      <c r="V77" s="107">
        <f t="shared" ca="1" si="31"/>
        <v>279649.25923177868</v>
      </c>
      <c r="W77" s="108">
        <f t="shared" ca="1" si="31"/>
        <v>139855.97340194983</v>
      </c>
      <c r="X77" s="105">
        <f t="shared" ca="1" si="3"/>
        <v>6268757.212099948</v>
      </c>
    </row>
    <row r="78" spans="1:24" ht="15" customHeight="1" x14ac:dyDescent="0.25">
      <c r="A78" s="73">
        <f>IF('Cash Flow Analysis'!C94="","",'Cash Flow Analysis'!C94)</f>
        <v>27</v>
      </c>
      <c r="B78" s="873">
        <f ca="1">IF(A78="","",IF(A78&lt;1,0,IF(A78=1,$B$44-'Cash Flow Analysis'!I94,-'Cash Flow Analysis'!I94)))</f>
        <v>6387863.5991298473</v>
      </c>
      <c r="C78" s="106">
        <f t="shared" ref="C78:W78" ca="1" si="32">IF($B$78="","",IF(AND($B$42="Straight Line",C48&lt;=depr_length),$B$78/depr_length,IF(AND($B$42="MACRS",C48&lt;=depr_length+1),$B$78*INDEX(MACRS_Table,MATCH(C48,recovery_year,0),MATCH($B$43,recovery_period,0)),"")))</f>
        <v>239544.88496736926</v>
      </c>
      <c r="D78" s="107">
        <f t="shared" ca="1" si="32"/>
        <v>461139.87322118372</v>
      </c>
      <c r="E78" s="107">
        <f t="shared" ca="1" si="32"/>
        <v>426517.6525138999</v>
      </c>
      <c r="F78" s="107">
        <f t="shared" ca="1" si="32"/>
        <v>394578.33451825066</v>
      </c>
      <c r="G78" s="107">
        <f t="shared" ca="1" si="32"/>
        <v>364938.64741828816</v>
      </c>
      <c r="H78" s="107">
        <f t="shared" ca="1" si="32"/>
        <v>337598.59121401241</v>
      </c>
      <c r="I78" s="107">
        <f t="shared" ca="1" si="32"/>
        <v>312238.77272546693</v>
      </c>
      <c r="J78" s="107">
        <f t="shared" ca="1" si="32"/>
        <v>288859.19195265172</v>
      </c>
      <c r="K78" s="107">
        <f t="shared" ca="1" si="32"/>
        <v>285026.47379317379</v>
      </c>
      <c r="L78" s="107">
        <f t="shared" ca="1" si="32"/>
        <v>284962.59515718248</v>
      </c>
      <c r="M78" s="107">
        <f t="shared" ca="1" si="32"/>
        <v>285026.47379317379</v>
      </c>
      <c r="N78" s="107">
        <f t="shared" ca="1" si="32"/>
        <v>284962.59515718248</v>
      </c>
      <c r="O78" s="107">
        <f t="shared" ca="1" si="32"/>
        <v>285026.47379317379</v>
      </c>
      <c r="P78" s="107">
        <f t="shared" ca="1" si="32"/>
        <v>284962.59515718248</v>
      </c>
      <c r="Q78" s="107">
        <f t="shared" ca="1" si="32"/>
        <v>285026.47379317379</v>
      </c>
      <c r="R78" s="107">
        <f t="shared" ca="1" si="32"/>
        <v>284962.59515718248</v>
      </c>
      <c r="S78" s="107">
        <f t="shared" ca="1" si="32"/>
        <v>285026.47379317379</v>
      </c>
      <c r="T78" s="107">
        <f t="shared" ca="1" si="32"/>
        <v>284962.59515718248</v>
      </c>
      <c r="U78" s="107">
        <f t="shared" ca="1" si="32"/>
        <v>285026.47379317379</v>
      </c>
      <c r="V78" s="107">
        <f t="shared" ca="1" si="32"/>
        <v>284962.59515718248</v>
      </c>
      <c r="W78" s="108">
        <f t="shared" ca="1" si="32"/>
        <v>142513.2368965869</v>
      </c>
      <c r="X78" s="105">
        <f t="shared" ca="1" si="3"/>
        <v>6387863.5991298491</v>
      </c>
    </row>
    <row r="79" spans="1:24" ht="15" customHeight="1" x14ac:dyDescent="0.25">
      <c r="A79" s="73">
        <f>IF('Cash Flow Analysis'!C95="","",'Cash Flow Analysis'!C95)</f>
        <v>28</v>
      </c>
      <c r="B79" s="873">
        <f ca="1">IF(A79="","",IF(A79&lt;1,0,IF(A79=1,$B$44-'Cash Flow Analysis'!I95,-'Cash Flow Analysis'!I95)))</f>
        <v>6509233.0075133145</v>
      </c>
      <c r="C79" s="106">
        <f t="shared" ref="C79:W79" ca="1" si="33">IF($B$79="","",IF(AND($B$42="Straight Line",C48&lt;=depr_length),$B$79/depr_length,IF(AND($B$42="MACRS",C48&lt;=depr_length+1),$B$79*INDEX(MACRS_Table,MATCH(C48,recovery_year,0),MATCH($B$43,recovery_period,0)),"")))</f>
        <v>244096.23778174928</v>
      </c>
      <c r="D79" s="107">
        <f t="shared" ca="1" si="33"/>
        <v>469901.53081238619</v>
      </c>
      <c r="E79" s="107">
        <f t="shared" ca="1" si="33"/>
        <v>434621.48791166401</v>
      </c>
      <c r="F79" s="107">
        <f t="shared" ca="1" si="33"/>
        <v>402075.32287409744</v>
      </c>
      <c r="G79" s="107">
        <f t="shared" ca="1" si="33"/>
        <v>371872.48171923566</v>
      </c>
      <c r="H79" s="107">
        <f t="shared" ca="1" si="33"/>
        <v>344012.9644470787</v>
      </c>
      <c r="I79" s="107">
        <f t="shared" ca="1" si="33"/>
        <v>318171.30940725084</v>
      </c>
      <c r="J79" s="107">
        <f t="shared" ca="1" si="33"/>
        <v>294347.51659975213</v>
      </c>
      <c r="K79" s="107">
        <f t="shared" ca="1" si="33"/>
        <v>290441.97679524409</v>
      </c>
      <c r="L79" s="107">
        <f t="shared" ca="1" si="33"/>
        <v>290376.88446516893</v>
      </c>
      <c r="M79" s="107">
        <f t="shared" ca="1" si="33"/>
        <v>290441.97679524409</v>
      </c>
      <c r="N79" s="107">
        <f t="shared" ca="1" si="33"/>
        <v>290376.88446516893</v>
      </c>
      <c r="O79" s="107">
        <f t="shared" ca="1" si="33"/>
        <v>290441.97679524409</v>
      </c>
      <c r="P79" s="107">
        <f t="shared" ca="1" si="33"/>
        <v>290376.88446516893</v>
      </c>
      <c r="Q79" s="107">
        <f t="shared" ca="1" si="33"/>
        <v>290441.97679524409</v>
      </c>
      <c r="R79" s="107">
        <f t="shared" ca="1" si="33"/>
        <v>290376.88446516893</v>
      </c>
      <c r="S79" s="107">
        <f t="shared" ca="1" si="33"/>
        <v>290441.97679524409</v>
      </c>
      <c r="T79" s="107">
        <f t="shared" ca="1" si="33"/>
        <v>290376.88446516893</v>
      </c>
      <c r="U79" s="107">
        <f t="shared" ca="1" si="33"/>
        <v>290441.97679524409</v>
      </c>
      <c r="V79" s="107">
        <f t="shared" ca="1" si="33"/>
        <v>290376.88446516893</v>
      </c>
      <c r="W79" s="108">
        <f t="shared" ca="1" si="33"/>
        <v>145220.98839762204</v>
      </c>
      <c r="X79" s="105">
        <f t="shared" ca="1" si="3"/>
        <v>6509233.0075133154</v>
      </c>
    </row>
    <row r="80" spans="1:24" ht="15" customHeight="1" x14ac:dyDescent="0.25">
      <c r="A80" s="73">
        <f>IF('Cash Flow Analysis'!C96="","",'Cash Flow Analysis'!C96)</f>
        <v>29</v>
      </c>
      <c r="B80" s="873">
        <f ca="1">IF(A80="","",IF(A80&lt;1,0,IF(A80=1,$B$44-'Cash Flow Analysis'!I96,-'Cash Flow Analysis'!I96)))</f>
        <v>6632908.4346560659</v>
      </c>
      <c r="C80" s="106">
        <f t="shared" ref="C80:W80" ca="1" si="34">IF($B$80="","",IF(AND($B$42="Straight Line",C48&lt;=depr_length),$B$80/depr_length,IF(AND($B$42="MACRS",C48&lt;=depr_length+1),$B$80*INDEX(MACRS_Table,MATCH(C48,recovery_year,0),MATCH($B$43,recovery_period,0)),"")))</f>
        <v>248734.06629960245</v>
      </c>
      <c r="D80" s="107">
        <f t="shared" ca="1" si="34"/>
        <v>478829.65989782143</v>
      </c>
      <c r="E80" s="107">
        <f t="shared" ca="1" si="34"/>
        <v>442879.29618198547</v>
      </c>
      <c r="F80" s="107">
        <f t="shared" ca="1" si="34"/>
        <v>409714.7540087052</v>
      </c>
      <c r="G80" s="107">
        <f t="shared" ca="1" si="34"/>
        <v>378938.05887190107</v>
      </c>
      <c r="H80" s="107">
        <f t="shared" ca="1" si="34"/>
        <v>350549.21077157307</v>
      </c>
      <c r="I80" s="107">
        <f t="shared" ca="1" si="34"/>
        <v>324216.56428598851</v>
      </c>
      <c r="J80" s="107">
        <f t="shared" ca="1" si="34"/>
        <v>299940.11941514735</v>
      </c>
      <c r="K80" s="107">
        <f t="shared" ca="1" si="34"/>
        <v>295960.37435435364</v>
      </c>
      <c r="L80" s="107">
        <f t="shared" ca="1" si="34"/>
        <v>295894.0452700071</v>
      </c>
      <c r="M80" s="107">
        <f t="shared" ca="1" si="34"/>
        <v>295960.37435435364</v>
      </c>
      <c r="N80" s="107">
        <f t="shared" ca="1" si="34"/>
        <v>295894.0452700071</v>
      </c>
      <c r="O80" s="107">
        <f t="shared" ca="1" si="34"/>
        <v>295960.37435435364</v>
      </c>
      <c r="P80" s="107">
        <f t="shared" ca="1" si="34"/>
        <v>295894.0452700071</v>
      </c>
      <c r="Q80" s="107">
        <f t="shared" ca="1" si="34"/>
        <v>295960.37435435364</v>
      </c>
      <c r="R80" s="107">
        <f t="shared" ca="1" si="34"/>
        <v>295894.0452700071</v>
      </c>
      <c r="S80" s="107">
        <f t="shared" ca="1" si="34"/>
        <v>295960.37435435364</v>
      </c>
      <c r="T80" s="107">
        <f t="shared" ca="1" si="34"/>
        <v>295894.0452700071</v>
      </c>
      <c r="U80" s="107">
        <f t="shared" ca="1" si="34"/>
        <v>295960.37435435364</v>
      </c>
      <c r="V80" s="107">
        <f t="shared" ca="1" si="34"/>
        <v>295894.0452700071</v>
      </c>
      <c r="W80" s="108">
        <f t="shared" ca="1" si="34"/>
        <v>147980.18717717682</v>
      </c>
      <c r="X80" s="105">
        <f t="shared" ca="1" si="3"/>
        <v>6632908.434656064</v>
      </c>
    </row>
    <row r="81" spans="1:24" ht="15" customHeight="1" x14ac:dyDescent="0.25">
      <c r="A81" s="73">
        <f>IF('Cash Flow Analysis'!C97="","",'Cash Flow Analysis'!C97)</f>
        <v>30</v>
      </c>
      <c r="B81" s="873">
        <f ca="1">IF(A81="","",IF(A81&lt;1,0,IF(A81=1,$B$44-'Cash Flow Analysis'!I97,-'Cash Flow Analysis'!I97)))</f>
        <v>6758933.69491453</v>
      </c>
      <c r="C81" s="106">
        <f t="shared" ref="C81:W81" ca="1" si="35">IF($B$81="","",IF(AND($B$42="Straight Line",C48&lt;=depr_length),$B$81/depr_length,IF(AND($B$42="MACRS",C48&lt;=depr_length+1),$B$81*INDEX(MACRS_Table,MATCH(C48,recovery_year,0),MATCH($B$43,recovery_period,0)),"")))</f>
        <v>253460.01355929486</v>
      </c>
      <c r="D81" s="107">
        <f t="shared" ca="1" si="35"/>
        <v>487927.42343587993</v>
      </c>
      <c r="E81" s="107">
        <f t="shared" ca="1" si="35"/>
        <v>451294.00280944316</v>
      </c>
      <c r="F81" s="107">
        <f t="shared" ca="1" si="35"/>
        <v>417499.33433487051</v>
      </c>
      <c r="G81" s="107">
        <f t="shared" ca="1" si="35"/>
        <v>386137.88199046708</v>
      </c>
      <c r="H81" s="107">
        <f t="shared" ca="1" si="35"/>
        <v>357209.64577623294</v>
      </c>
      <c r="I81" s="107">
        <f t="shared" ca="1" si="35"/>
        <v>330376.67900742224</v>
      </c>
      <c r="J81" s="107">
        <f t="shared" ca="1" si="35"/>
        <v>305638.9816840351</v>
      </c>
      <c r="K81" s="107">
        <f t="shared" ca="1" si="35"/>
        <v>301583.62146708631</v>
      </c>
      <c r="L81" s="107">
        <f t="shared" ca="1" si="35"/>
        <v>301516.03213013714</v>
      </c>
      <c r="M81" s="107">
        <f t="shared" ca="1" si="35"/>
        <v>301583.62146708631</v>
      </c>
      <c r="N81" s="107">
        <f t="shared" ca="1" si="35"/>
        <v>301516.03213013714</v>
      </c>
      <c r="O81" s="107">
        <f t="shared" ca="1" si="35"/>
        <v>301583.62146708631</v>
      </c>
      <c r="P81" s="107">
        <f t="shared" ca="1" si="35"/>
        <v>301516.03213013714</v>
      </c>
      <c r="Q81" s="107">
        <f t="shared" ca="1" si="35"/>
        <v>301583.62146708631</v>
      </c>
      <c r="R81" s="107">
        <f t="shared" ca="1" si="35"/>
        <v>301516.03213013714</v>
      </c>
      <c r="S81" s="107">
        <f t="shared" ca="1" si="35"/>
        <v>301583.62146708631</v>
      </c>
      <c r="T81" s="107">
        <f t="shared" ca="1" si="35"/>
        <v>301516.03213013714</v>
      </c>
      <c r="U81" s="107">
        <f t="shared" ca="1" si="35"/>
        <v>301583.62146708631</v>
      </c>
      <c r="V81" s="107">
        <f t="shared" ca="1" si="35"/>
        <v>301516.03213013714</v>
      </c>
      <c r="W81" s="108">
        <f t="shared" ca="1" si="35"/>
        <v>150791.81073354316</v>
      </c>
      <c r="X81" s="105">
        <f t="shared" ca="1" si="3"/>
        <v>6758933.69491453</v>
      </c>
    </row>
    <row r="82" spans="1:24" ht="15" customHeight="1" x14ac:dyDescent="0.25">
      <c r="A82" s="73">
        <f>IF('Cash Flow Analysis'!C98="","",'Cash Flow Analysis'!C98)</f>
        <v>31</v>
      </c>
      <c r="B82" s="873">
        <f ca="1">IF(A82="","",IF(A82&lt;1,0,IF(A82=1,$B$44-'Cash Flow Analysis'!I98,-'Cash Flow Analysis'!I98)))</f>
        <v>6887353.4351179078</v>
      </c>
      <c r="C82" s="106">
        <f t="shared" ref="C82:W82" ca="1" si="36">IF($B$82="","",IF(AND($B$42="Straight Line",C48&lt;=depr_length),$B$82/depr_length,IF(AND($B$42="MACRS",C48&lt;=depr_length+1),$B$82*INDEX(MACRS_Table,MATCH(C48,recovery_year,0),MATCH($B$43,recovery_period,0)),"")))</f>
        <v>258275.75381692153</v>
      </c>
      <c r="D82" s="107">
        <f t="shared" ca="1" si="36"/>
        <v>497198.04448116181</v>
      </c>
      <c r="E82" s="107">
        <f t="shared" ca="1" si="36"/>
        <v>459868.58886282268</v>
      </c>
      <c r="F82" s="107">
        <f t="shared" ca="1" si="36"/>
        <v>425431.82168723317</v>
      </c>
      <c r="G82" s="107">
        <f t="shared" ca="1" si="36"/>
        <v>393474.50174828607</v>
      </c>
      <c r="H82" s="107">
        <f t="shared" ca="1" si="36"/>
        <v>363996.62904598145</v>
      </c>
      <c r="I82" s="107">
        <f t="shared" ca="1" si="36"/>
        <v>336653.83590856334</v>
      </c>
      <c r="J82" s="107">
        <f t="shared" ca="1" si="36"/>
        <v>311446.12233603181</v>
      </c>
      <c r="K82" s="107">
        <f t="shared" ca="1" si="36"/>
        <v>307313.71027496102</v>
      </c>
      <c r="L82" s="107">
        <f t="shared" ca="1" si="36"/>
        <v>307244.83674060984</v>
      </c>
      <c r="M82" s="107">
        <f t="shared" ca="1" si="36"/>
        <v>307313.71027496102</v>
      </c>
      <c r="N82" s="107">
        <f t="shared" ca="1" si="36"/>
        <v>307244.83674060984</v>
      </c>
      <c r="O82" s="107">
        <f t="shared" ca="1" si="36"/>
        <v>307313.71027496102</v>
      </c>
      <c r="P82" s="107">
        <f t="shared" ca="1" si="36"/>
        <v>307244.83674060984</v>
      </c>
      <c r="Q82" s="107">
        <f t="shared" ca="1" si="36"/>
        <v>307313.71027496102</v>
      </c>
      <c r="R82" s="107">
        <f t="shared" ca="1" si="36"/>
        <v>307244.83674060984</v>
      </c>
      <c r="S82" s="107">
        <f t="shared" ca="1" si="36"/>
        <v>307313.71027496102</v>
      </c>
      <c r="T82" s="107">
        <f t="shared" ca="1" si="36"/>
        <v>307244.83674060984</v>
      </c>
      <c r="U82" s="107">
        <f t="shared" ca="1" si="36"/>
        <v>307313.71027496102</v>
      </c>
      <c r="V82" s="107">
        <f t="shared" ca="1" si="36"/>
        <v>307244.83674060984</v>
      </c>
      <c r="W82" s="108">
        <f t="shared" ca="1" si="36"/>
        <v>153656.85513748051</v>
      </c>
      <c r="X82" s="105">
        <f t="shared" ca="1" si="3"/>
        <v>6887353.4351179078</v>
      </c>
    </row>
    <row r="83" spans="1:24" ht="15" customHeight="1" x14ac:dyDescent="0.25">
      <c r="A83" s="73">
        <f>IF('Cash Flow Analysis'!C99="","",'Cash Flow Analysis'!C99)</f>
        <v>32</v>
      </c>
      <c r="B83" s="873">
        <f ca="1">IF(A83="","",IF(A83&lt;1,0,IF(A83=1,$B$44-'Cash Flow Analysis'!I99,-'Cash Flow Analysis'!I99)))</f>
        <v>7018213.1503851479</v>
      </c>
      <c r="C83" s="106">
        <f t="shared" ref="C83:W83" ca="1" si="37">IF($B$83="","",IF(AND($B$42="Straight Line",C48&lt;=depr_length),$B$83/depr_length,IF(AND($B$42="MACRS",C48&lt;=depr_length+1),$B$83*INDEX(MACRS_Table,MATCH(C48,recovery_year,0),MATCH($B$43,recovery_period,0)),"")))</f>
        <v>263182.99313944305</v>
      </c>
      <c r="D83" s="107">
        <f t="shared" ca="1" si="37"/>
        <v>506644.80732630385</v>
      </c>
      <c r="E83" s="107">
        <f t="shared" ca="1" si="37"/>
        <v>468606.09205121628</v>
      </c>
      <c r="F83" s="107">
        <f t="shared" ca="1" si="37"/>
        <v>433515.02629929059</v>
      </c>
      <c r="G83" s="107">
        <f t="shared" ca="1" si="37"/>
        <v>400950.51728150347</v>
      </c>
      <c r="H83" s="107">
        <f t="shared" ca="1" si="37"/>
        <v>370912.56499785505</v>
      </c>
      <c r="I83" s="107">
        <f t="shared" ca="1" si="37"/>
        <v>343050.25879082602</v>
      </c>
      <c r="J83" s="107">
        <f t="shared" ca="1" si="37"/>
        <v>317363.59866041644</v>
      </c>
      <c r="K83" s="107">
        <f t="shared" ca="1" si="37"/>
        <v>313152.6707701853</v>
      </c>
      <c r="L83" s="107">
        <f t="shared" ca="1" si="37"/>
        <v>313082.48863868142</v>
      </c>
      <c r="M83" s="107">
        <f t="shared" ca="1" si="37"/>
        <v>313152.6707701853</v>
      </c>
      <c r="N83" s="107">
        <f t="shared" ca="1" si="37"/>
        <v>313082.48863868142</v>
      </c>
      <c r="O83" s="107">
        <f t="shared" ca="1" si="37"/>
        <v>313152.6707701853</v>
      </c>
      <c r="P83" s="107">
        <f t="shared" ca="1" si="37"/>
        <v>313082.48863868142</v>
      </c>
      <c r="Q83" s="107">
        <f t="shared" ca="1" si="37"/>
        <v>313152.6707701853</v>
      </c>
      <c r="R83" s="107">
        <f t="shared" ca="1" si="37"/>
        <v>313082.48863868142</v>
      </c>
      <c r="S83" s="107">
        <f t="shared" ca="1" si="37"/>
        <v>313152.6707701853</v>
      </c>
      <c r="T83" s="107">
        <f t="shared" ca="1" si="37"/>
        <v>313082.48863868142</v>
      </c>
      <c r="U83" s="107">
        <f t="shared" ca="1" si="37"/>
        <v>313152.6707701853</v>
      </c>
      <c r="V83" s="107">
        <f t="shared" ca="1" si="37"/>
        <v>313082.48863868142</v>
      </c>
      <c r="W83" s="108">
        <f t="shared" ca="1" si="37"/>
        <v>156576.33538509265</v>
      </c>
      <c r="X83" s="105">
        <f t="shared" ca="1" si="3"/>
        <v>7018213.150385146</v>
      </c>
    </row>
    <row r="84" spans="1:24" ht="15" customHeight="1" x14ac:dyDescent="0.25">
      <c r="A84" s="73">
        <f>IF('Cash Flow Analysis'!C100="","",'Cash Flow Analysis'!C100)</f>
        <v>33</v>
      </c>
      <c r="B84" s="873">
        <f ca="1">IF(A84="","",IF(A84&lt;1,0,IF(A84=1,$B$44-'Cash Flow Analysis'!I100,-'Cash Flow Analysis'!I100)))</f>
        <v>7151559.2002424654</v>
      </c>
      <c r="C84" s="106">
        <f t="shared" ref="C84:W84" ca="1" si="38">IF($B$84="","",IF(AND($B$42="Straight Line",C48&lt;=depr_length),$B$84/depr_length,IF(AND($B$42="MACRS",C48&lt;=depr_length+1),$B$84*INDEX(MACRS_Table,MATCH(C48,recovery_year,0),MATCH($B$43,recovery_period,0)),"")))</f>
        <v>268183.47000909242</v>
      </c>
      <c r="D84" s="107">
        <f t="shared" ca="1" si="38"/>
        <v>516271.05866550363</v>
      </c>
      <c r="E84" s="107">
        <f t="shared" ca="1" si="38"/>
        <v>477509.60780018941</v>
      </c>
      <c r="F84" s="107">
        <f t="shared" ca="1" si="38"/>
        <v>441751.81179897708</v>
      </c>
      <c r="G84" s="107">
        <f t="shared" ca="1" si="38"/>
        <v>408568.57710985205</v>
      </c>
      <c r="H84" s="107">
        <f t="shared" ca="1" si="38"/>
        <v>377959.9037328143</v>
      </c>
      <c r="I84" s="107">
        <f t="shared" ca="1" si="38"/>
        <v>349568.21370785171</v>
      </c>
      <c r="J84" s="107">
        <f t="shared" ca="1" si="38"/>
        <v>323393.50703496434</v>
      </c>
      <c r="K84" s="107">
        <f t="shared" ca="1" si="38"/>
        <v>319102.57151481882</v>
      </c>
      <c r="L84" s="107">
        <f t="shared" ca="1" si="38"/>
        <v>319031.05592281633</v>
      </c>
      <c r="M84" s="107">
        <f t="shared" ca="1" si="38"/>
        <v>319102.57151481882</v>
      </c>
      <c r="N84" s="107">
        <f t="shared" ca="1" si="38"/>
        <v>319031.05592281633</v>
      </c>
      <c r="O84" s="107">
        <f t="shared" ca="1" si="38"/>
        <v>319102.57151481882</v>
      </c>
      <c r="P84" s="107">
        <f t="shared" ca="1" si="38"/>
        <v>319031.05592281633</v>
      </c>
      <c r="Q84" s="107">
        <f t="shared" ca="1" si="38"/>
        <v>319102.57151481882</v>
      </c>
      <c r="R84" s="107">
        <f t="shared" ca="1" si="38"/>
        <v>319031.05592281633</v>
      </c>
      <c r="S84" s="107">
        <f t="shared" ca="1" si="38"/>
        <v>319102.57151481882</v>
      </c>
      <c r="T84" s="107">
        <f t="shared" ca="1" si="38"/>
        <v>319031.05592281633</v>
      </c>
      <c r="U84" s="107">
        <f t="shared" ca="1" si="38"/>
        <v>319102.57151481882</v>
      </c>
      <c r="V84" s="107">
        <f t="shared" ca="1" si="38"/>
        <v>319031.05592281633</v>
      </c>
      <c r="W84" s="108">
        <f t="shared" ca="1" si="38"/>
        <v>159551.28575740941</v>
      </c>
      <c r="X84" s="105">
        <f t="shared" ca="1" si="3"/>
        <v>7151559.2002424663</v>
      </c>
    </row>
    <row r="85" spans="1:24" ht="15" customHeight="1" x14ac:dyDescent="0.25">
      <c r="A85" s="73">
        <f>IF('Cash Flow Analysis'!C101="","",'Cash Flow Analysis'!C101)</f>
        <v>34</v>
      </c>
      <c r="B85" s="873">
        <f ca="1">IF(A85="","",IF(A85&lt;1,0,IF(A85=1,$B$44-'Cash Flow Analysis'!I101,-'Cash Flow Analysis'!I101)))</f>
        <v>7287438.8250470711</v>
      </c>
      <c r="C85" s="106">
        <f t="shared" ref="C85:W85" ca="1" si="39">IF($B$85="","",IF(AND($B$42="Straight Line",C48&lt;=depr_length),$B$85/depr_length,IF(AND($B$42="MACRS",C48&lt;=depr_length+1),$B$85*INDEX(MACRS_Table,MATCH(C48,recovery_year,0),MATCH($B$43,recovery_period,0)),"")))</f>
        <v>273278.95593926514</v>
      </c>
      <c r="D85" s="107">
        <f t="shared" ca="1" si="39"/>
        <v>526080.20878014807</v>
      </c>
      <c r="E85" s="107">
        <f t="shared" ca="1" si="39"/>
        <v>486582.29034839291</v>
      </c>
      <c r="F85" s="107">
        <f t="shared" ca="1" si="39"/>
        <v>450145.0962231576</v>
      </c>
      <c r="G85" s="107">
        <f t="shared" ca="1" si="39"/>
        <v>416331.38007493917</v>
      </c>
      <c r="H85" s="107">
        <f t="shared" ca="1" si="39"/>
        <v>385141.14190373773</v>
      </c>
      <c r="I85" s="107">
        <f t="shared" ca="1" si="39"/>
        <v>356210.00976830081</v>
      </c>
      <c r="J85" s="107">
        <f t="shared" ca="1" si="39"/>
        <v>329537.98366862856</v>
      </c>
      <c r="K85" s="107">
        <f t="shared" ca="1" si="39"/>
        <v>325165.5203736003</v>
      </c>
      <c r="L85" s="107">
        <f t="shared" ca="1" si="39"/>
        <v>325092.64598534984</v>
      </c>
      <c r="M85" s="107">
        <f t="shared" ca="1" si="39"/>
        <v>325165.5203736003</v>
      </c>
      <c r="N85" s="107">
        <f t="shared" ca="1" si="39"/>
        <v>325092.64598534984</v>
      </c>
      <c r="O85" s="107">
        <f t="shared" ca="1" si="39"/>
        <v>325165.5203736003</v>
      </c>
      <c r="P85" s="107">
        <f t="shared" ca="1" si="39"/>
        <v>325092.64598534984</v>
      </c>
      <c r="Q85" s="107">
        <f t="shared" ca="1" si="39"/>
        <v>325165.5203736003</v>
      </c>
      <c r="R85" s="107">
        <f t="shared" ca="1" si="39"/>
        <v>325092.64598534984</v>
      </c>
      <c r="S85" s="107">
        <f t="shared" ca="1" si="39"/>
        <v>325165.5203736003</v>
      </c>
      <c r="T85" s="107">
        <f t="shared" ca="1" si="39"/>
        <v>325092.64598534984</v>
      </c>
      <c r="U85" s="107">
        <f t="shared" ca="1" si="39"/>
        <v>325165.5203736003</v>
      </c>
      <c r="V85" s="107">
        <f t="shared" ca="1" si="39"/>
        <v>325092.64598534984</v>
      </c>
      <c r="W85" s="108">
        <f t="shared" ca="1" si="39"/>
        <v>162582.76018680015</v>
      </c>
      <c r="X85" s="105">
        <f t="shared" ca="1" si="3"/>
        <v>7287438.825047073</v>
      </c>
    </row>
    <row r="86" spans="1:24" ht="15" customHeight="1" x14ac:dyDescent="0.25">
      <c r="A86" s="73">
        <f>IF('Cash Flow Analysis'!C102="","",'Cash Flow Analysis'!C102)</f>
        <v>35</v>
      </c>
      <c r="B86" s="873">
        <f ca="1">IF(A86="","",IF(A86&lt;1,0,IF(A86=1,$B$44-'Cash Flow Analysis'!I102,-'Cash Flow Analysis'!I102)))</f>
        <v>7425900.1627229657</v>
      </c>
      <c r="C86" s="106">
        <f t="shared" ref="C86:W86" ca="1" si="40">IF($B$86="","",IF(AND($B$42="Straight Line",C48&lt;=depr_length),$B$86/depr_length,IF(AND($B$42="MACRS",C48&lt;=depr_length+1),$B$86*INDEX(MACRS_Table,MATCH(C48,recovery_year,0),MATCH($B$43,recovery_period,0)),"")))</f>
        <v>278471.25610211119</v>
      </c>
      <c r="D86" s="107">
        <f t="shared" ca="1" si="40"/>
        <v>536075.73274697096</v>
      </c>
      <c r="E86" s="107">
        <f t="shared" ca="1" si="40"/>
        <v>495827.35386501241</v>
      </c>
      <c r="F86" s="107">
        <f t="shared" ca="1" si="40"/>
        <v>458697.8530513976</v>
      </c>
      <c r="G86" s="107">
        <f t="shared" ca="1" si="40"/>
        <v>424241.67629636306</v>
      </c>
      <c r="H86" s="107">
        <f t="shared" ca="1" si="40"/>
        <v>392458.82359990873</v>
      </c>
      <c r="I86" s="107">
        <f t="shared" ca="1" si="40"/>
        <v>362977.99995389854</v>
      </c>
      <c r="J86" s="107">
        <f t="shared" ca="1" si="40"/>
        <v>335799.20535833255</v>
      </c>
      <c r="K86" s="107">
        <f t="shared" ca="1" si="40"/>
        <v>331343.6652606987</v>
      </c>
      <c r="L86" s="107">
        <f t="shared" ca="1" si="40"/>
        <v>331269.40625907149</v>
      </c>
      <c r="M86" s="107">
        <f t="shared" ca="1" si="40"/>
        <v>331343.6652606987</v>
      </c>
      <c r="N86" s="107">
        <f t="shared" ca="1" si="40"/>
        <v>331269.40625907149</v>
      </c>
      <c r="O86" s="107">
        <f t="shared" ca="1" si="40"/>
        <v>331343.6652606987</v>
      </c>
      <c r="P86" s="107">
        <f t="shared" ca="1" si="40"/>
        <v>331269.40625907149</v>
      </c>
      <c r="Q86" s="107">
        <f t="shared" ca="1" si="40"/>
        <v>331343.6652606987</v>
      </c>
      <c r="R86" s="107">
        <f t="shared" ca="1" si="40"/>
        <v>331269.40625907149</v>
      </c>
      <c r="S86" s="107">
        <f t="shared" ca="1" si="40"/>
        <v>331343.6652606987</v>
      </c>
      <c r="T86" s="107">
        <f t="shared" ca="1" si="40"/>
        <v>331269.40625907149</v>
      </c>
      <c r="U86" s="107">
        <f t="shared" ca="1" si="40"/>
        <v>331343.6652606987</v>
      </c>
      <c r="V86" s="107">
        <f t="shared" ca="1" si="40"/>
        <v>331269.40625907149</v>
      </c>
      <c r="W86" s="108">
        <f t="shared" ca="1" si="40"/>
        <v>165671.83263034935</v>
      </c>
      <c r="X86" s="105">
        <f t="shared" ca="1" si="3"/>
        <v>7425900.1627229629</v>
      </c>
    </row>
    <row r="87" spans="1:24" ht="15" customHeight="1" x14ac:dyDescent="0.25">
      <c r="A87" s="73">
        <f>IF('Cash Flow Analysis'!C103="","",'Cash Flow Analysis'!C103)</f>
        <v>36</v>
      </c>
      <c r="B87" s="873">
        <f ca="1">IF(A87="","",IF(A87&lt;1,0,IF(A87=1,$B$44-'Cash Flow Analysis'!I103,-'Cash Flow Analysis'!I103)))</f>
        <v>7566992.265814702</v>
      </c>
      <c r="C87" s="106">
        <f t="shared" ref="C87:W87" ca="1" si="41">IF($B$87="","",IF(AND($B$42="Straight Line",C48&lt;=depr_length),$B$87/depr_length,IF(AND($B$42="MACRS",C48&lt;=depr_length+1),$B$87*INDEX(MACRS_Table,MATCH(C48,recovery_year,0),MATCH($B$43,recovery_period,0)),"")))</f>
        <v>283762.20996805129</v>
      </c>
      <c r="D87" s="107">
        <f t="shared" ca="1" si="41"/>
        <v>546261.17166916339</v>
      </c>
      <c r="E87" s="107">
        <f t="shared" ca="1" si="41"/>
        <v>505248.07358844765</v>
      </c>
      <c r="F87" s="107">
        <f t="shared" ca="1" si="41"/>
        <v>467413.11225937412</v>
      </c>
      <c r="G87" s="107">
        <f t="shared" ca="1" si="41"/>
        <v>432302.26814599393</v>
      </c>
      <c r="H87" s="107">
        <f t="shared" ca="1" si="41"/>
        <v>399915.54124830704</v>
      </c>
      <c r="I87" s="107">
        <f t="shared" ca="1" si="41"/>
        <v>369874.58195302263</v>
      </c>
      <c r="J87" s="107">
        <f t="shared" ca="1" si="41"/>
        <v>342179.39026014088</v>
      </c>
      <c r="K87" s="107">
        <f t="shared" ca="1" si="41"/>
        <v>337639.19490065199</v>
      </c>
      <c r="L87" s="107">
        <f t="shared" ca="1" si="41"/>
        <v>337563.52497799386</v>
      </c>
      <c r="M87" s="107">
        <f t="shared" ca="1" si="41"/>
        <v>337639.19490065199</v>
      </c>
      <c r="N87" s="107">
        <f t="shared" ca="1" si="41"/>
        <v>337563.52497799386</v>
      </c>
      <c r="O87" s="107">
        <f t="shared" ca="1" si="41"/>
        <v>337639.19490065199</v>
      </c>
      <c r="P87" s="107">
        <f t="shared" ca="1" si="41"/>
        <v>337563.52497799386</v>
      </c>
      <c r="Q87" s="107">
        <f t="shared" ca="1" si="41"/>
        <v>337639.19490065199</v>
      </c>
      <c r="R87" s="107">
        <f t="shared" ca="1" si="41"/>
        <v>337563.52497799386</v>
      </c>
      <c r="S87" s="107">
        <f t="shared" ca="1" si="41"/>
        <v>337639.19490065199</v>
      </c>
      <c r="T87" s="107">
        <f t="shared" ca="1" si="41"/>
        <v>337563.52497799386</v>
      </c>
      <c r="U87" s="107">
        <f t="shared" ca="1" si="41"/>
        <v>337639.19490065199</v>
      </c>
      <c r="V87" s="107">
        <f t="shared" ca="1" si="41"/>
        <v>337563.52497799386</v>
      </c>
      <c r="W87" s="108">
        <f t="shared" ca="1" si="41"/>
        <v>168819.59745032599</v>
      </c>
      <c r="X87" s="105">
        <f t="shared" ca="1" si="3"/>
        <v>7566992.2658147048</v>
      </c>
    </row>
    <row r="88" spans="1:24" ht="15" customHeight="1" x14ac:dyDescent="0.25">
      <c r="A88" s="73">
        <f>IF('Cash Flow Analysis'!C104="","",'Cash Flow Analysis'!C104)</f>
        <v>37</v>
      </c>
      <c r="B88" s="873">
        <f ca="1">IF(A88="","",IF(A88&lt;1,0,IF(A88=1,$B$44-'Cash Flow Analysis'!I104,-'Cash Flow Analysis'!I104)))</f>
        <v>7710765.1188651808</v>
      </c>
      <c r="C88" s="106">
        <f t="shared" ref="C88:W88" ca="1" si="42">IF($B$88="","",IF(AND($B$42="Straight Line",C48&lt;=depr_length),$B$88/depr_length,IF(AND($B$42="MACRS",C48&lt;=depr_length+1),$B$88*INDEX(MACRS_Table,MATCH(C48,recovery_year,0),MATCH($B$43,recovery_period,0)),"")))</f>
        <v>289153.69195744424</v>
      </c>
      <c r="D88" s="107">
        <f t="shared" ca="1" si="42"/>
        <v>556640.13393087743</v>
      </c>
      <c r="E88" s="107">
        <f t="shared" ca="1" si="42"/>
        <v>514847.78698662808</v>
      </c>
      <c r="F88" s="107">
        <f t="shared" ca="1" si="42"/>
        <v>476293.96139230218</v>
      </c>
      <c r="G88" s="107">
        <f t="shared" ca="1" si="42"/>
        <v>440516.01124076778</v>
      </c>
      <c r="H88" s="107">
        <f t="shared" ca="1" si="42"/>
        <v>407513.93653202482</v>
      </c>
      <c r="I88" s="107">
        <f t="shared" ca="1" si="42"/>
        <v>376902.19901013002</v>
      </c>
      <c r="J88" s="107">
        <f t="shared" ca="1" si="42"/>
        <v>348680.7986750835</v>
      </c>
      <c r="K88" s="107">
        <f t="shared" ca="1" si="42"/>
        <v>344054.33960376435</v>
      </c>
      <c r="L88" s="107">
        <f t="shared" ca="1" si="42"/>
        <v>343977.23195257568</v>
      </c>
      <c r="M88" s="107">
        <f t="shared" ca="1" si="42"/>
        <v>344054.33960376435</v>
      </c>
      <c r="N88" s="107">
        <f t="shared" ca="1" si="42"/>
        <v>343977.23195257568</v>
      </c>
      <c r="O88" s="107">
        <f t="shared" ca="1" si="42"/>
        <v>344054.33960376435</v>
      </c>
      <c r="P88" s="107">
        <f t="shared" ca="1" si="42"/>
        <v>343977.23195257568</v>
      </c>
      <c r="Q88" s="107">
        <f t="shared" ca="1" si="42"/>
        <v>344054.33960376435</v>
      </c>
      <c r="R88" s="107">
        <f t="shared" ca="1" si="42"/>
        <v>343977.23195257568</v>
      </c>
      <c r="S88" s="107">
        <f t="shared" ca="1" si="42"/>
        <v>344054.33960376435</v>
      </c>
      <c r="T88" s="107">
        <f t="shared" ca="1" si="42"/>
        <v>343977.23195257568</v>
      </c>
      <c r="U88" s="107">
        <f t="shared" ca="1" si="42"/>
        <v>344054.33960376435</v>
      </c>
      <c r="V88" s="107">
        <f t="shared" ca="1" si="42"/>
        <v>343977.23195257568</v>
      </c>
      <c r="W88" s="108">
        <f t="shared" ca="1" si="42"/>
        <v>172027.16980188218</v>
      </c>
      <c r="X88" s="105">
        <f t="shared" ca="1" si="3"/>
        <v>7710765.1188651808</v>
      </c>
    </row>
    <row r="89" spans="1:24" ht="15" customHeight="1" x14ac:dyDescent="0.25">
      <c r="A89" s="73">
        <f>IF('Cash Flow Analysis'!C105="","",'Cash Flow Analysis'!C105)</f>
        <v>38</v>
      </c>
      <c r="B89" s="873">
        <f ca="1">IF(A89="","",IF(A89&lt;1,0,IF(A89=1,$B$44-'Cash Flow Analysis'!I105,-'Cash Flow Analysis'!I105)))</f>
        <v>7857269.6561236177</v>
      </c>
      <c r="C89" s="106">
        <f t="shared" ref="C89:W89" ca="1" si="43">IF($B$89="","",IF(AND($B$42="Straight Line",C48&lt;=depr_length),$B$89/depr_length,IF(AND($B$42="MACRS",C48&lt;=depr_length+1),$B$89*INDEX(MACRS_Table,MATCH(C48,recovery_year,0),MATCH($B$43,recovery_period,0)),"")))</f>
        <v>294647.61210463563</v>
      </c>
      <c r="D89" s="107">
        <f t="shared" ca="1" si="43"/>
        <v>567216.29647556401</v>
      </c>
      <c r="E89" s="107">
        <f t="shared" ca="1" si="43"/>
        <v>524629.89493937395</v>
      </c>
      <c r="F89" s="107">
        <f t="shared" ca="1" si="43"/>
        <v>485343.54665875586</v>
      </c>
      <c r="G89" s="107">
        <f t="shared" ca="1" si="43"/>
        <v>448885.81545434229</v>
      </c>
      <c r="H89" s="107">
        <f t="shared" ca="1" si="43"/>
        <v>415256.70132613322</v>
      </c>
      <c r="I89" s="107">
        <f t="shared" ca="1" si="43"/>
        <v>384063.34079132241</v>
      </c>
      <c r="J89" s="107">
        <f t="shared" ca="1" si="43"/>
        <v>355305.73384991003</v>
      </c>
      <c r="K89" s="107">
        <f t="shared" ca="1" si="43"/>
        <v>350591.37205623579</v>
      </c>
      <c r="L89" s="107">
        <f t="shared" ca="1" si="43"/>
        <v>350512.79935967457</v>
      </c>
      <c r="M89" s="107">
        <f t="shared" ca="1" si="43"/>
        <v>350591.37205623579</v>
      </c>
      <c r="N89" s="107">
        <f t="shared" ca="1" si="43"/>
        <v>350512.79935967457</v>
      </c>
      <c r="O89" s="107">
        <f t="shared" ca="1" si="43"/>
        <v>350591.37205623579</v>
      </c>
      <c r="P89" s="107">
        <f t="shared" ca="1" si="43"/>
        <v>350512.79935967457</v>
      </c>
      <c r="Q89" s="107">
        <f t="shared" ca="1" si="43"/>
        <v>350591.37205623579</v>
      </c>
      <c r="R89" s="107">
        <f t="shared" ca="1" si="43"/>
        <v>350512.79935967457</v>
      </c>
      <c r="S89" s="107">
        <f t="shared" ca="1" si="43"/>
        <v>350591.37205623579</v>
      </c>
      <c r="T89" s="107">
        <f t="shared" ca="1" si="43"/>
        <v>350512.79935967457</v>
      </c>
      <c r="U89" s="107">
        <f t="shared" ca="1" si="43"/>
        <v>350591.37205623579</v>
      </c>
      <c r="V89" s="107">
        <f t="shared" ca="1" si="43"/>
        <v>350512.79935967457</v>
      </c>
      <c r="W89" s="108">
        <f t="shared" ca="1" si="43"/>
        <v>175295.6860281179</v>
      </c>
      <c r="X89" s="105">
        <f t="shared" ca="1" si="3"/>
        <v>7857269.6561236167</v>
      </c>
    </row>
    <row r="90" spans="1:24" ht="15" customHeight="1" x14ac:dyDescent="0.25">
      <c r="A90" s="73">
        <f>IF('Cash Flow Analysis'!C106="","",'Cash Flow Analysis'!C106)</f>
        <v>39</v>
      </c>
      <c r="B90" s="873">
        <f ca="1">IF(A90="","",IF(A90&lt;1,0,IF(A90=1,$B$44-'Cash Flow Analysis'!I106,-'Cash Flow Analysis'!I106)))</f>
        <v>8006557.7795899678</v>
      </c>
      <c r="C90" s="106">
        <f t="shared" ref="C90:W90" ca="1" si="44">IF($B$90="","",IF(AND($B$42="Straight Line",C48&lt;=depr_length),$B$90/depr_length,IF(AND($B$42="MACRS",C48&lt;=depr_length+1),$B$90*INDEX(MACRS_Table,MATCH(C48,recovery_year,0),MATCH($B$43,recovery_period,0)),"")))</f>
        <v>300245.91673462378</v>
      </c>
      <c r="D90" s="107">
        <f t="shared" ca="1" si="44"/>
        <v>577993.40610859985</v>
      </c>
      <c r="E90" s="107">
        <f t="shared" ca="1" si="44"/>
        <v>534597.86294322216</v>
      </c>
      <c r="F90" s="107">
        <f t="shared" ca="1" si="44"/>
        <v>494565.07404527231</v>
      </c>
      <c r="G90" s="107">
        <f t="shared" ca="1" si="44"/>
        <v>457414.64594797487</v>
      </c>
      <c r="H90" s="107">
        <f t="shared" ca="1" si="44"/>
        <v>423146.57865132979</v>
      </c>
      <c r="I90" s="107">
        <f t="shared" ca="1" si="44"/>
        <v>391360.54426635761</v>
      </c>
      <c r="J90" s="107">
        <f t="shared" ca="1" si="44"/>
        <v>362056.54279305838</v>
      </c>
      <c r="K90" s="107">
        <f t="shared" ca="1" si="44"/>
        <v>357252.60812530434</v>
      </c>
      <c r="L90" s="107">
        <f t="shared" ca="1" si="44"/>
        <v>357172.54254750843</v>
      </c>
      <c r="M90" s="107">
        <f t="shared" ca="1" si="44"/>
        <v>357252.60812530434</v>
      </c>
      <c r="N90" s="107">
        <f t="shared" ca="1" si="44"/>
        <v>357172.54254750843</v>
      </c>
      <c r="O90" s="107">
        <f t="shared" ca="1" si="44"/>
        <v>357252.60812530434</v>
      </c>
      <c r="P90" s="107">
        <f t="shared" ca="1" si="44"/>
        <v>357172.54254750843</v>
      </c>
      <c r="Q90" s="107">
        <f t="shared" ca="1" si="44"/>
        <v>357252.60812530434</v>
      </c>
      <c r="R90" s="107">
        <f t="shared" ca="1" si="44"/>
        <v>357172.54254750843</v>
      </c>
      <c r="S90" s="107">
        <f t="shared" ca="1" si="44"/>
        <v>357252.60812530434</v>
      </c>
      <c r="T90" s="107">
        <f t="shared" ca="1" si="44"/>
        <v>357172.54254750843</v>
      </c>
      <c r="U90" s="107">
        <f t="shared" ca="1" si="44"/>
        <v>357252.60812530434</v>
      </c>
      <c r="V90" s="107">
        <f t="shared" ca="1" si="44"/>
        <v>357172.54254750843</v>
      </c>
      <c r="W90" s="108">
        <f t="shared" ca="1" si="44"/>
        <v>178626.30406265217</v>
      </c>
      <c r="X90" s="105">
        <f t="shared" ca="1" si="3"/>
        <v>8006557.7795899641</v>
      </c>
    </row>
    <row r="91" spans="1:24" ht="15" customHeight="1" x14ac:dyDescent="0.25">
      <c r="A91" s="73">
        <f>IF('Cash Flow Analysis'!C107="","",'Cash Flow Analysis'!C107)</f>
        <v>40</v>
      </c>
      <c r="B91" s="873">
        <f ca="1">IF(A91="","",IF(A91&lt;1,0,IF(A91=1,$B$44-'Cash Flow Analysis'!I107,-'Cash Flow Analysis'!I107)))</f>
        <v>8158682.3774021771</v>
      </c>
      <c r="C91" s="106">
        <f t="shared" ref="C91:W91" ca="1" si="45">IF($B$91="","",IF(AND($B$42="Straight Line",C48&lt;=depr_length),$B$91/depr_length,IF(AND($B$42="MACRS",C48&lt;=depr_length+1),$B$91*INDEX(MACRS_Table,MATCH(C48,recovery_year,0),MATCH($B$43,recovery_period,0)),"")))</f>
        <v>305950.58915258164</v>
      </c>
      <c r="D91" s="107">
        <f t="shared" ca="1" si="45"/>
        <v>588975.28082466323</v>
      </c>
      <c r="E91" s="107">
        <f t="shared" ca="1" si="45"/>
        <v>544755.22233914328</v>
      </c>
      <c r="F91" s="107">
        <f t="shared" ca="1" si="45"/>
        <v>503961.81045213249</v>
      </c>
      <c r="G91" s="107">
        <f t="shared" ca="1" si="45"/>
        <v>466105.52422098635</v>
      </c>
      <c r="H91" s="107">
        <f t="shared" ca="1" si="45"/>
        <v>431186.36364570505</v>
      </c>
      <c r="I91" s="107">
        <f t="shared" ca="1" si="45"/>
        <v>398796.39460741839</v>
      </c>
      <c r="J91" s="107">
        <f t="shared" ca="1" si="45"/>
        <v>368935.61710612645</v>
      </c>
      <c r="K91" s="107">
        <f t="shared" ca="1" si="45"/>
        <v>364040.40767968516</v>
      </c>
      <c r="L91" s="107">
        <f t="shared" ca="1" si="45"/>
        <v>363958.82085591112</v>
      </c>
      <c r="M91" s="107">
        <f t="shared" ca="1" si="45"/>
        <v>364040.40767968516</v>
      </c>
      <c r="N91" s="107">
        <f t="shared" ca="1" si="45"/>
        <v>363958.82085591112</v>
      </c>
      <c r="O91" s="107">
        <f t="shared" ca="1" si="45"/>
        <v>364040.40767968516</v>
      </c>
      <c r="P91" s="107">
        <f t="shared" ca="1" si="45"/>
        <v>363958.82085591112</v>
      </c>
      <c r="Q91" s="107">
        <f t="shared" ca="1" si="45"/>
        <v>364040.40767968516</v>
      </c>
      <c r="R91" s="107">
        <f t="shared" ca="1" si="45"/>
        <v>363958.82085591112</v>
      </c>
      <c r="S91" s="107">
        <f t="shared" ca="1" si="45"/>
        <v>364040.40767968516</v>
      </c>
      <c r="T91" s="107">
        <f t="shared" ca="1" si="45"/>
        <v>363958.82085591112</v>
      </c>
      <c r="U91" s="107">
        <f t="shared" ca="1" si="45"/>
        <v>364040.40767968516</v>
      </c>
      <c r="V91" s="107">
        <f t="shared" ca="1" si="45"/>
        <v>363958.82085591112</v>
      </c>
      <c r="W91" s="108">
        <f t="shared" ca="1" si="45"/>
        <v>182020.20383984258</v>
      </c>
      <c r="X91" s="105">
        <f t="shared" ca="1" si="3"/>
        <v>8158682.3774021761</v>
      </c>
    </row>
    <row r="92" spans="1:24" ht="15" customHeight="1" thickBot="1" x14ac:dyDescent="0.3">
      <c r="A92" s="77" t="str">
        <f>IF('Cash Flow Analysis'!C108="","",'Cash Flow Analysis'!C108)</f>
        <v/>
      </c>
      <c r="B92" s="873" t="str">
        <f>IF(A92="","",IF(A92&lt;1,0,IF(A92=1,$B$44-'Cash Flow Analysis'!I108,-'Cash Flow Analysis'!I108)))</f>
        <v/>
      </c>
      <c r="C92" s="109" t="str">
        <f t="shared" ref="C92:W92" si="46">IF($B$92="","",IF(AND($B$42="Straight Line",C48&lt;=depr_length),$B$92/depr_length,IF(AND($B$42="MACRS",C48&lt;=depr_length+1),$B$92*INDEX(MACRS_Table,MATCH(C48,recovery_year,0),MATCH($B$43,recovery_period,0)),"")))</f>
        <v/>
      </c>
      <c r="D92" s="110" t="str">
        <f t="shared" si="46"/>
        <v/>
      </c>
      <c r="E92" s="110" t="str">
        <f t="shared" si="46"/>
        <v/>
      </c>
      <c r="F92" s="110" t="str">
        <f t="shared" si="46"/>
        <v/>
      </c>
      <c r="G92" s="110" t="str">
        <f t="shared" si="46"/>
        <v/>
      </c>
      <c r="H92" s="110" t="str">
        <f t="shared" si="46"/>
        <v/>
      </c>
      <c r="I92" s="110" t="str">
        <f t="shared" si="46"/>
        <v/>
      </c>
      <c r="J92" s="110" t="str">
        <f t="shared" si="46"/>
        <v/>
      </c>
      <c r="K92" s="110" t="str">
        <f t="shared" si="46"/>
        <v/>
      </c>
      <c r="L92" s="110" t="str">
        <f t="shared" si="46"/>
        <v/>
      </c>
      <c r="M92" s="110" t="str">
        <f t="shared" si="46"/>
        <v/>
      </c>
      <c r="N92" s="110" t="str">
        <f t="shared" si="46"/>
        <v/>
      </c>
      <c r="O92" s="110" t="str">
        <f t="shared" si="46"/>
        <v/>
      </c>
      <c r="P92" s="110" t="str">
        <f t="shared" si="46"/>
        <v/>
      </c>
      <c r="Q92" s="110" t="str">
        <f t="shared" si="46"/>
        <v/>
      </c>
      <c r="R92" s="110" t="str">
        <f t="shared" si="46"/>
        <v/>
      </c>
      <c r="S92" s="110" t="str">
        <f t="shared" si="46"/>
        <v/>
      </c>
      <c r="T92" s="110" t="str">
        <f t="shared" si="46"/>
        <v/>
      </c>
      <c r="U92" s="110" t="str">
        <f t="shared" si="46"/>
        <v/>
      </c>
      <c r="V92" s="110" t="str">
        <f t="shared" si="46"/>
        <v/>
      </c>
      <c r="W92" s="95" t="str">
        <f t="shared" si="46"/>
        <v/>
      </c>
      <c r="X92" s="111">
        <f t="shared" si="3"/>
        <v>0</v>
      </c>
    </row>
    <row r="93" spans="1:24" s="37" customFormat="1" ht="15" customHeight="1" thickTop="1" x14ac:dyDescent="0.25">
      <c r="A93" s="43"/>
      <c r="B93" s="112"/>
      <c r="C93" s="112"/>
      <c r="D93" s="112"/>
      <c r="E93" s="112"/>
      <c r="F93" s="112"/>
      <c r="G93" s="112"/>
      <c r="H93" s="112"/>
      <c r="I93" s="112"/>
      <c r="J93" s="112"/>
      <c r="K93" s="112"/>
      <c r="L93" s="112"/>
      <c r="M93" s="112"/>
      <c r="N93" s="112"/>
      <c r="O93" s="112"/>
      <c r="P93" s="112"/>
      <c r="Q93" s="112"/>
      <c r="R93" s="112"/>
      <c r="S93" s="112"/>
      <c r="T93" s="112"/>
      <c r="U93" s="112"/>
      <c r="V93" s="112"/>
      <c r="W93" s="112"/>
      <c r="X93" s="112"/>
    </row>
    <row r="94" spans="1:24" ht="15" customHeight="1" thickBot="1" x14ac:dyDescent="0.3">
      <c r="B94" s="113"/>
      <c r="C94" s="113"/>
      <c r="D94" s="113"/>
      <c r="E94" s="113"/>
      <c r="F94" s="113"/>
      <c r="G94" s="113"/>
      <c r="H94" s="113"/>
      <c r="I94" s="113"/>
      <c r="J94" s="113"/>
      <c r="K94" s="113"/>
      <c r="L94" s="113"/>
      <c r="M94" s="113"/>
      <c r="N94" s="113"/>
      <c r="O94" s="113"/>
      <c r="P94" s="113"/>
      <c r="Q94" s="113"/>
      <c r="R94" s="113"/>
      <c r="S94" s="113"/>
      <c r="T94" s="113"/>
      <c r="U94" s="113"/>
      <c r="V94" s="113"/>
      <c r="W94" s="113"/>
      <c r="X94" s="113"/>
    </row>
    <row r="95" spans="1:24" ht="30.75" customHeight="1" thickTop="1" thickBot="1" x14ac:dyDescent="0.35">
      <c r="A95" s="96" t="s">
        <v>56</v>
      </c>
      <c r="B95" s="62"/>
      <c r="C95" s="63"/>
    </row>
    <row r="96" spans="1:24" ht="31.2" customHeight="1" thickTop="1" x14ac:dyDescent="0.25">
      <c r="A96" s="114" t="s">
        <v>53</v>
      </c>
      <c r="B96" s="115" t="s">
        <v>57</v>
      </c>
      <c r="C96" s="116" t="s">
        <v>58</v>
      </c>
    </row>
    <row r="97" spans="1:3" ht="15" customHeight="1" x14ac:dyDescent="0.25">
      <c r="A97" s="92">
        <f>IF('Cash Flow Analysis'!C65="","",'Cash Flow Analysis'!C65)</f>
        <v>-3</v>
      </c>
      <c r="B97" s="107">
        <f>C49</f>
        <v>0</v>
      </c>
      <c r="C97" s="117">
        <f t="shared" ref="C97:C140" si="47">IF(A97="",B97,0)</f>
        <v>0</v>
      </c>
    </row>
    <row r="98" spans="1:3" ht="15" customHeight="1" x14ac:dyDescent="0.25">
      <c r="A98" s="92">
        <f>IF('Cash Flow Analysis'!C66="","",'Cash Flow Analysis'!C66)</f>
        <v>-2</v>
      </c>
      <c r="B98" s="107">
        <f>SUM(D49,C50)</f>
        <v>0</v>
      </c>
      <c r="C98" s="117">
        <f t="shared" si="47"/>
        <v>0</v>
      </c>
    </row>
    <row r="99" spans="1:3" ht="15" customHeight="1" x14ac:dyDescent="0.25">
      <c r="A99" s="92">
        <f>IF('Cash Flow Analysis'!C67="","",'Cash Flow Analysis'!C67)</f>
        <v>-1</v>
      </c>
      <c r="B99" s="107">
        <f>SUM(E49,D50,C51)</f>
        <v>0</v>
      </c>
      <c r="C99" s="117">
        <f t="shared" si="47"/>
        <v>0</v>
      </c>
    </row>
    <row r="100" spans="1:3" ht="15" customHeight="1" x14ac:dyDescent="0.25">
      <c r="A100" s="92">
        <f>IF('Cash Flow Analysis'!C68="","",'Cash Flow Analysis'!C68)</f>
        <v>1</v>
      </c>
      <c r="B100" s="107">
        <f ca="1">SUM(F49,E50,D51,C52)</f>
        <v>27903399.549275283</v>
      </c>
      <c r="C100" s="117">
        <f t="shared" si="47"/>
        <v>0</v>
      </c>
    </row>
    <row r="101" spans="1:3" ht="15" customHeight="1" x14ac:dyDescent="0.25">
      <c r="A101" s="92">
        <f>IF('Cash Flow Analysis'!C69="","",'Cash Flow Analysis'!C69)</f>
        <v>2</v>
      </c>
      <c r="B101" s="107">
        <f ca="1">SUM(G49,F50,E51,D52,C53)</f>
        <v>53865539.05358956</v>
      </c>
      <c r="C101" s="117">
        <f t="shared" si="47"/>
        <v>0</v>
      </c>
    </row>
    <row r="102" spans="1:3" ht="15" customHeight="1" x14ac:dyDescent="0.25">
      <c r="A102" s="92">
        <f>IF('Cash Flow Analysis'!C70="","",'Cash Flow Analysis'!C70)</f>
        <v>3</v>
      </c>
      <c r="B102" s="107">
        <f ca="1">SUM(H49,G50,F51,E52,D53,C54)</f>
        <v>50123467.527345829</v>
      </c>
      <c r="C102" s="117">
        <f t="shared" si="47"/>
        <v>0</v>
      </c>
    </row>
    <row r="103" spans="1:3" ht="15" customHeight="1" x14ac:dyDescent="0.25">
      <c r="A103" s="92">
        <f>IF('Cash Flow Analysis'!C71="","",'Cash Flow Analysis'!C71)</f>
        <v>4</v>
      </c>
      <c r="B103" s="107">
        <f ca="1">SUM(I49,H50,G51,F52,E53,D54,C55)</f>
        <v>46677813.971478373</v>
      </c>
      <c r="C103" s="117">
        <f t="shared" si="47"/>
        <v>0</v>
      </c>
    </row>
    <row r="104" spans="1:3" ht="15" customHeight="1" x14ac:dyDescent="0.25">
      <c r="A104" s="92">
        <f>IF('Cash Flow Analysis'!C72="","",'Cash Flow Analysis'!C72)</f>
        <v>5</v>
      </c>
      <c r="B104" s="107">
        <f ca="1">SUM(J49,I50,H51,G52,F53,E54,D55,C56)</f>
        <v>43485302.953300901</v>
      </c>
      <c r="C104" s="117">
        <f t="shared" si="47"/>
        <v>0</v>
      </c>
    </row>
    <row r="105" spans="1:3" ht="15" customHeight="1" x14ac:dyDescent="0.25">
      <c r="A105" s="92">
        <f>IF('Cash Flow Analysis'!C73="","",'Cash Flow Analysis'!C73)</f>
        <v>6</v>
      </c>
      <c r="B105" s="107">
        <f ca="1">SUM(K49,J50,I51,H52,G53,F54,E55,D56,C57)</f>
        <v>40547091.094019875</v>
      </c>
      <c r="C105" s="117">
        <f t="shared" si="47"/>
        <v>0</v>
      </c>
    </row>
    <row r="106" spans="1:3" ht="15" customHeight="1" x14ac:dyDescent="0.25">
      <c r="A106" s="92">
        <f>IF('Cash Flow Analysis'!C74="","",'Cash Flow Analysis'!C74)</f>
        <v>7</v>
      </c>
      <c r="B106" s="107">
        <f ca="1">SUM(L49,K50,J51,I52,H53,G54,F55,E56,D57,C58)</f>
        <v>37827152.457912326</v>
      </c>
      <c r="C106" s="117">
        <f t="shared" si="47"/>
        <v>0</v>
      </c>
    </row>
    <row r="107" spans="1:3" ht="15" customHeight="1" x14ac:dyDescent="0.25">
      <c r="A107" s="92">
        <f>IF('Cash Flow Analysis'!C75="","",'Cash Flow Analysis'!C75)</f>
        <v>8</v>
      </c>
      <c r="B107" s="107">
        <f ca="1">SUM(M49,L50,K51,J52,I53,H54,G55,F56,E57,D58,C59)</f>
        <v>35326488.522404686</v>
      </c>
      <c r="C107" s="117">
        <f t="shared" si="47"/>
        <v>0</v>
      </c>
    </row>
    <row r="108" spans="1:3" ht="15" customHeight="1" x14ac:dyDescent="0.25">
      <c r="A108" s="92">
        <f>IF('Cash Flow Analysis'!C76="","",'Cash Flow Analysis'!C76)</f>
        <v>9</v>
      </c>
      <c r="B108" s="107">
        <f ca="1">SUM(N49,M50,L51,K52,J53,I54,H55,G56,F57,E58,D59,C60)</f>
        <v>35092369.09327466</v>
      </c>
      <c r="C108" s="117">
        <f t="shared" si="47"/>
        <v>0</v>
      </c>
    </row>
    <row r="109" spans="1:3" ht="15" customHeight="1" x14ac:dyDescent="0.25">
      <c r="A109" s="92">
        <f>IF('Cash Flow Analysis'!C77="","",'Cash Flow Analysis'!C77)</f>
        <v>10</v>
      </c>
      <c r="B109" s="107">
        <f ca="1">SUM(O49,N50,M51,L52,K53,J54,I55,H56,G57,F58,E59,D60,C61)</f>
        <v>35298903.359582521</v>
      </c>
      <c r="C109" s="117">
        <f t="shared" si="47"/>
        <v>0</v>
      </c>
    </row>
    <row r="110" spans="1:3" ht="15" customHeight="1" x14ac:dyDescent="0.25">
      <c r="A110" s="92">
        <f>IF('Cash Flow Analysis'!C78="","",'Cash Flow Analysis'!C78)</f>
        <v>11</v>
      </c>
      <c r="B110" s="107">
        <f ca="1">SUM(P49,O50,N51,M52,L53,K54,J55,I56,H57,G58,F59,E60,D61,C62)</f>
        <v>35524345.064682327</v>
      </c>
      <c r="C110" s="117">
        <f t="shared" si="47"/>
        <v>0</v>
      </c>
    </row>
    <row r="111" spans="1:3" ht="15" customHeight="1" x14ac:dyDescent="0.25">
      <c r="A111" s="92">
        <f>IF('Cash Flow Analysis'!C79="","",'Cash Flow Analysis'!C79)</f>
        <v>12</v>
      </c>
      <c r="B111" s="107">
        <f ca="1">SUM(Q49,P50,O51,N52,M53,L54,K55,J56,I57,H58,G59,F60,E61,D62,C63)</f>
        <v>35739086.874446929</v>
      </c>
      <c r="C111" s="117">
        <f t="shared" si="47"/>
        <v>0</v>
      </c>
    </row>
    <row r="112" spans="1:3" ht="15" customHeight="1" x14ac:dyDescent="0.25">
      <c r="A112" s="92">
        <f>IF('Cash Flow Analysis'!C80="","",'Cash Flow Analysis'!C80)</f>
        <v>13</v>
      </c>
      <c r="B112" s="107">
        <f ca="1">SUM(R49,Q50,P51,O52,N53,M54,L55,K56,J57,I58,H59,G60,F61,E62,D63,C64)</f>
        <v>35972892.066329166</v>
      </c>
      <c r="C112" s="117">
        <f t="shared" si="47"/>
        <v>0</v>
      </c>
    </row>
    <row r="113" spans="1:3" ht="15" customHeight="1" x14ac:dyDescent="0.25">
      <c r="A113" s="92">
        <f>IF('Cash Flow Analysis'!C81="","",'Cash Flow Analysis'!C81)</f>
        <v>14</v>
      </c>
      <c r="B113" s="107">
        <f ca="1">SUM(S49,R50,Q51,P52,O53,N54,M55,L56,K57,J58,I59,H60,G61,F62,E63,D64,C65)</f>
        <v>36196156.269125044</v>
      </c>
      <c r="C113" s="117">
        <f t="shared" si="47"/>
        <v>0</v>
      </c>
    </row>
    <row r="114" spans="1:3" ht="15" customHeight="1" x14ac:dyDescent="0.25">
      <c r="A114" s="92">
        <f>IF('Cash Flow Analysis'!C82="","",'Cash Flow Analysis'!C82)</f>
        <v>15</v>
      </c>
      <c r="B114" s="107">
        <f ca="1">SUM(T49,S50,R51,Q52,P53,O54,N55,M56,L57,K58,J59,I60,H61,G62,F63,E64,D65,C66)</f>
        <v>36438645.779506154</v>
      </c>
      <c r="C114" s="117">
        <f t="shared" si="47"/>
        <v>0</v>
      </c>
    </row>
    <row r="115" spans="1:3" ht="15" customHeight="1" x14ac:dyDescent="0.25">
      <c r="A115" s="92">
        <f>IF('Cash Flow Analysis'!C83="","",'Cash Flow Analysis'!C83)</f>
        <v>16</v>
      </c>
      <c r="B115" s="107">
        <f ca="1">SUM(U49,T50,S51,R52,Q53,P54,O55,N56,M57,L58,K59,J60,I61,H62,G63,F64,E65,D66,C67)</f>
        <v>36670759.302852415</v>
      </c>
      <c r="C115" s="117">
        <f t="shared" si="47"/>
        <v>0</v>
      </c>
    </row>
    <row r="116" spans="1:3" ht="15" customHeight="1" x14ac:dyDescent="0.25">
      <c r="A116" s="92">
        <f>IF('Cash Flow Analysis'!C84="","",'Cash Flow Analysis'!C84)</f>
        <v>17</v>
      </c>
      <c r="B116" s="107">
        <f ca="1">SUM(V49,U50,T51,S52,R53,Q54,P55,O56,N57,M58,L59,K60,J61,I62,H63,G64,F65,E66,D67,C68)</f>
        <v>36922266.270874359</v>
      </c>
      <c r="C116" s="117">
        <f t="shared" si="47"/>
        <v>0</v>
      </c>
    </row>
    <row r="117" spans="1:3" ht="15" customHeight="1" x14ac:dyDescent="0.25">
      <c r="A117" s="92">
        <f>IF('Cash Flow Analysis'!C85="","",'Cash Flow Analysis'!C85)</f>
        <v>18</v>
      </c>
      <c r="B117" s="107">
        <f t="shared" ref="B117:B140" ca="1" si="48">SUM(W49,V50,U51,T52,S53,R54,Q55,P56,O57,N58,M59,L60,K61,J62,I63,H64,G65,F66,E67,D68,C69)</f>
        <v>37163568.5835566</v>
      </c>
      <c r="C117" s="117">
        <f t="shared" si="47"/>
        <v>0</v>
      </c>
    </row>
    <row r="118" spans="1:3" ht="15" customHeight="1" x14ac:dyDescent="0.25">
      <c r="A118" s="92">
        <f>IF('Cash Flow Analysis'!C86="","",'Cash Flow Analysis'!C86)</f>
        <v>19</v>
      </c>
      <c r="B118" s="107">
        <f t="shared" ca="1" si="48"/>
        <v>37424438.927911915</v>
      </c>
      <c r="C118" s="117">
        <f t="shared" si="47"/>
        <v>0</v>
      </c>
    </row>
    <row r="119" spans="1:3" ht="15" customHeight="1" x14ac:dyDescent="0.25">
      <c r="A119" s="92">
        <f>IF('Cash Flow Analysis'!C87="","",'Cash Flow Analysis'!C87)</f>
        <v>20</v>
      </c>
      <c r="B119" s="107">
        <f t="shared" ca="1" si="48"/>
        <v>37675282.521077864</v>
      </c>
      <c r="C119" s="117">
        <f t="shared" si="47"/>
        <v>0</v>
      </c>
    </row>
    <row r="120" spans="1:3" ht="15" customHeight="1" x14ac:dyDescent="0.25">
      <c r="A120" s="92">
        <f>IF('Cash Flow Analysis'!C88="","",'Cash Flow Analysis'!C88)</f>
        <v>21</v>
      </c>
      <c r="B120" s="107">
        <f t="shared" ca="1" si="48"/>
        <v>21345212.925063923</v>
      </c>
      <c r="C120" s="117">
        <f t="shared" si="47"/>
        <v>0</v>
      </c>
    </row>
    <row r="121" spans="1:3" ht="15" customHeight="1" x14ac:dyDescent="0.25">
      <c r="A121" s="92">
        <f>IF('Cash Flow Analysis'!C89="","",'Cash Flow Analysis'!C89)</f>
        <v>22</v>
      </c>
      <c r="B121" s="107">
        <f t="shared" ca="1" si="48"/>
        <v>4923719.5454990128</v>
      </c>
      <c r="C121" s="117">
        <f t="shared" si="47"/>
        <v>0</v>
      </c>
    </row>
    <row r="122" spans="1:3" ht="15" customHeight="1" x14ac:dyDescent="0.25">
      <c r="A122" s="92">
        <f>IF('Cash Flow Analysis'!C90="","",'Cash Flow Analysis'!C90)</f>
        <v>23</v>
      </c>
      <c r="B122" s="107">
        <f t="shared" ca="1" si="48"/>
        <v>5017270.2168634953</v>
      </c>
      <c r="C122" s="117">
        <f t="shared" si="47"/>
        <v>0</v>
      </c>
    </row>
    <row r="123" spans="1:3" ht="15" customHeight="1" x14ac:dyDescent="0.25">
      <c r="A123" s="92">
        <f>IF('Cash Flow Analysis'!C91="","",'Cash Flow Analysis'!C91)</f>
        <v>24</v>
      </c>
      <c r="B123" s="107">
        <f t="shared" ca="1" si="48"/>
        <v>5112598.3509839009</v>
      </c>
      <c r="C123" s="117">
        <f t="shared" si="47"/>
        <v>0</v>
      </c>
    </row>
    <row r="124" spans="1:3" ht="15" customHeight="1" x14ac:dyDescent="0.25">
      <c r="A124" s="92">
        <f>IF('Cash Flow Analysis'!C92="","",'Cash Flow Analysis'!C92)</f>
        <v>25</v>
      </c>
      <c r="B124" s="107">
        <f t="shared" ca="1" si="48"/>
        <v>5209737.7196525941</v>
      </c>
      <c r="C124" s="117">
        <f t="shared" si="47"/>
        <v>0</v>
      </c>
    </row>
    <row r="125" spans="1:3" ht="15" customHeight="1" x14ac:dyDescent="0.25">
      <c r="A125" s="92">
        <f>IF('Cash Flow Analysis'!C93="","",'Cash Flow Analysis'!C93)</f>
        <v>26</v>
      </c>
      <c r="B125" s="107">
        <f t="shared" ca="1" si="48"/>
        <v>5308722.7363259932</v>
      </c>
      <c r="C125" s="117">
        <f t="shared" si="47"/>
        <v>0</v>
      </c>
    </row>
    <row r="126" spans="1:3" ht="15" customHeight="1" x14ac:dyDescent="0.25">
      <c r="A126" s="92">
        <f>IF('Cash Flow Analysis'!C94="","",'Cash Flow Analysis'!C94)</f>
        <v>27</v>
      </c>
      <c r="B126" s="107">
        <f t="shared" ca="1" si="48"/>
        <v>5409588.4683161862</v>
      </c>
      <c r="C126" s="117">
        <f t="shared" si="47"/>
        <v>0</v>
      </c>
    </row>
    <row r="127" spans="1:3" ht="15" customHeight="1" x14ac:dyDescent="0.25">
      <c r="A127" s="92">
        <f>IF('Cash Flow Analysis'!C95="","",'Cash Flow Analysis'!C95)</f>
        <v>28</v>
      </c>
      <c r="B127" s="107">
        <f t="shared" ca="1" si="48"/>
        <v>5512370.6492141942</v>
      </c>
      <c r="C127" s="117">
        <f t="shared" si="47"/>
        <v>0</v>
      </c>
    </row>
    <row r="128" spans="1:3" ht="15" customHeight="1" x14ac:dyDescent="0.25">
      <c r="A128" s="92">
        <f>IF('Cash Flow Analysis'!C96="","",'Cash Flow Analysis'!C96)</f>
        <v>29</v>
      </c>
      <c r="B128" s="107">
        <f t="shared" ca="1" si="48"/>
        <v>5617105.691549263</v>
      </c>
      <c r="C128" s="117">
        <f t="shared" si="47"/>
        <v>0</v>
      </c>
    </row>
    <row r="129" spans="1:3" ht="15" customHeight="1" x14ac:dyDescent="0.25">
      <c r="A129" s="92">
        <f>IF('Cash Flow Analysis'!C97="","",'Cash Flow Analysis'!C97)</f>
        <v>30</v>
      </c>
      <c r="B129" s="107">
        <f t="shared" ca="1" si="48"/>
        <v>5723830.6996886991</v>
      </c>
      <c r="C129" s="117">
        <f t="shared" si="47"/>
        <v>0</v>
      </c>
    </row>
    <row r="130" spans="1:3" ht="15" customHeight="1" x14ac:dyDescent="0.25">
      <c r="A130" s="92">
        <f>IF('Cash Flow Analysis'!C98="","",'Cash Flow Analysis'!C98)</f>
        <v>31</v>
      </c>
      <c r="B130" s="107">
        <f t="shared" ca="1" si="48"/>
        <v>5832583.4829827826</v>
      </c>
      <c r="C130" s="117">
        <f t="shared" si="47"/>
        <v>0</v>
      </c>
    </row>
    <row r="131" spans="1:3" ht="15" customHeight="1" x14ac:dyDescent="0.25">
      <c r="A131" s="92">
        <f>IF('Cash Flow Analysis'!C99="","",'Cash Flow Analysis'!C99)</f>
        <v>32</v>
      </c>
      <c r="B131" s="107">
        <f t="shared" ca="1" si="48"/>
        <v>5943402.5691594565</v>
      </c>
      <c r="C131" s="117">
        <f t="shared" si="47"/>
        <v>0</v>
      </c>
    </row>
    <row r="132" spans="1:3" ht="15" customHeight="1" x14ac:dyDescent="0.25">
      <c r="A132" s="92">
        <f>IF('Cash Flow Analysis'!C100="","",'Cash Flow Analysis'!C100)</f>
        <v>33</v>
      </c>
      <c r="B132" s="107">
        <f t="shared" ca="1" si="48"/>
        <v>6056327.2179734856</v>
      </c>
      <c r="C132" s="117">
        <f t="shared" si="47"/>
        <v>0</v>
      </c>
    </row>
    <row r="133" spans="1:3" ht="15" customHeight="1" x14ac:dyDescent="0.25">
      <c r="A133" s="92">
        <f>IF('Cash Flow Analysis'!C101="","",'Cash Flow Analysis'!C101)</f>
        <v>34</v>
      </c>
      <c r="B133" s="107">
        <f t="shared" ca="1" si="48"/>
        <v>6171397.4351149835</v>
      </c>
      <c r="C133" s="117">
        <f t="shared" si="47"/>
        <v>0</v>
      </c>
    </row>
    <row r="134" spans="1:3" ht="15" customHeight="1" x14ac:dyDescent="0.25">
      <c r="A134" s="92">
        <f>IF('Cash Flow Analysis'!C102="","",'Cash Flow Analysis'!C102)</f>
        <v>35</v>
      </c>
      <c r="B134" s="107">
        <f t="shared" ca="1" si="48"/>
        <v>6288653.9863821669</v>
      </c>
      <c r="C134" s="117">
        <f t="shared" si="47"/>
        <v>0</v>
      </c>
    </row>
    <row r="135" spans="1:3" ht="15" customHeight="1" x14ac:dyDescent="0.25">
      <c r="A135" s="92">
        <f>IF('Cash Flow Analysis'!C103="","",'Cash Flow Analysis'!C103)</f>
        <v>36</v>
      </c>
      <c r="B135" s="107">
        <f t="shared" ca="1" si="48"/>
        <v>6408138.4121234259</v>
      </c>
      <c r="C135" s="117">
        <f t="shared" si="47"/>
        <v>0</v>
      </c>
    </row>
    <row r="136" spans="1:3" ht="15" customHeight="1" x14ac:dyDescent="0.25">
      <c r="A136" s="92">
        <f>IF('Cash Flow Analysis'!C104="","",'Cash Flow Analysis'!C104)</f>
        <v>37</v>
      </c>
      <c r="B136" s="107">
        <f t="shared" ca="1" si="48"/>
        <v>6529893.0419537732</v>
      </c>
      <c r="C136" s="117">
        <f t="shared" si="47"/>
        <v>0</v>
      </c>
    </row>
    <row r="137" spans="1:3" ht="15" customHeight="1" x14ac:dyDescent="0.25">
      <c r="A137" s="92">
        <f>IF('Cash Flow Analysis'!C105="","",'Cash Flow Analysis'!C105)</f>
        <v>38</v>
      </c>
      <c r="B137" s="107">
        <f t="shared" ca="1" si="48"/>
        <v>6653961.0097508943</v>
      </c>
      <c r="C137" s="117">
        <f t="shared" si="47"/>
        <v>0</v>
      </c>
    </row>
    <row r="138" spans="1:3" ht="15" customHeight="1" x14ac:dyDescent="0.25">
      <c r="A138" s="92">
        <f>IF('Cash Flow Analysis'!C106="","",'Cash Flow Analysis'!C106)</f>
        <v>39</v>
      </c>
      <c r="B138" s="107">
        <f t="shared" ca="1" si="48"/>
        <v>6780386.268936161</v>
      </c>
      <c r="C138" s="117">
        <f t="shared" si="47"/>
        <v>0</v>
      </c>
    </row>
    <row r="139" spans="1:3" ht="15" customHeight="1" x14ac:dyDescent="0.25">
      <c r="A139" s="92">
        <f>IF('Cash Flow Analysis'!C107="","",'Cash Flow Analysis'!C107)</f>
        <v>40</v>
      </c>
      <c r="B139" s="107">
        <f t="shared" ca="1" si="48"/>
        <v>6909213.6080459487</v>
      </c>
      <c r="C139" s="117">
        <f t="shared" si="47"/>
        <v>0</v>
      </c>
    </row>
    <row r="140" spans="1:3" ht="15" customHeight="1" thickBot="1" x14ac:dyDescent="0.3">
      <c r="A140" s="118" t="str">
        <f>IF('Cash Flow Analysis'!C108="","",'Cash Flow Analysis'!C108)</f>
        <v/>
      </c>
      <c r="B140" s="119">
        <f t="shared" ca="1" si="48"/>
        <v>6728725.016252338</v>
      </c>
      <c r="C140" s="120">
        <f t="shared" ca="1" si="47"/>
        <v>6728725.016252338</v>
      </c>
    </row>
    <row r="141" spans="1:3" ht="15" customHeight="1" thickTop="1" thickBot="1" x14ac:dyDescent="0.3">
      <c r="A141" s="121" t="s">
        <v>59</v>
      </c>
      <c r="B141" s="122">
        <f ca="1">SUM(B97:B140)</f>
        <v>911357808.29437935</v>
      </c>
      <c r="C141" s="123">
        <f ca="1">SUM(C97:C140)</f>
        <v>6728725.016252338</v>
      </c>
    </row>
    <row r="142" spans="1:3" ht="15" customHeight="1" thickTop="1" x14ac:dyDescent="0.25">
      <c r="A142" s="124"/>
      <c r="B142" s="125"/>
      <c r="C142" s="126"/>
    </row>
    <row r="143" spans="1:3" ht="15" customHeight="1" thickBot="1" x14ac:dyDescent="0.3">
      <c r="A143" s="36" t="str">
        <f>IF('Cash Flow Analysis'!C109="","",'Cash Flow Analysis'!C109)</f>
        <v/>
      </c>
      <c r="B143" s="113"/>
    </row>
    <row r="144" spans="1:3" ht="31.5" customHeight="1" thickTop="1" x14ac:dyDescent="0.3">
      <c r="A144" s="1651" t="s">
        <v>60</v>
      </c>
      <c r="B144" s="1652"/>
    </row>
    <row r="145" spans="1:2" ht="16.5" customHeight="1" thickBot="1" x14ac:dyDescent="0.3">
      <c r="A145" s="127" t="s">
        <v>61</v>
      </c>
      <c r="B145" s="128" t="s">
        <v>57</v>
      </c>
    </row>
    <row r="146" spans="1:2" ht="15" customHeight="1" thickTop="1" x14ac:dyDescent="0.25">
      <c r="A146" s="129">
        <v>1</v>
      </c>
      <c r="B146" s="103">
        <f ca="1">SUM(D92,E91,F90,G89,H88,I87,J86,K85,L84,M83,N82,O81,P80,Q79,R78,S77,T76,U75,V74,W73)</f>
        <v>6256404.9804008016</v>
      </c>
    </row>
    <row r="147" spans="1:2" ht="15" customHeight="1" x14ac:dyDescent="0.25">
      <c r="A147" s="92">
        <v>2</v>
      </c>
      <c r="B147" s="108">
        <f ca="1">SUM(E92,F91,G90,H89,I88,J87,K86,L85,M84,N83,O82,P81,Q80,R79,S78,T77,U76,V75,W74)</f>
        <v>5820171.1034648307</v>
      </c>
    </row>
    <row r="148" spans="1:2" ht="15" customHeight="1" x14ac:dyDescent="0.25">
      <c r="A148" s="92">
        <v>3</v>
      </c>
      <c r="B148" s="108">
        <f ca="1">SUM(F92,G91,H90,I89,J88,K87,L86,M85,N84,O83,P82,Q81,R80,S79,T78,U77,V76,W75)</f>
        <v>5417217.2695799386</v>
      </c>
    </row>
    <row r="149" spans="1:2" ht="15" customHeight="1" x14ac:dyDescent="0.25">
      <c r="A149" s="92">
        <v>4</v>
      </c>
      <c r="B149" s="108">
        <f ca="1">SUM(G92,H91,I90,J89,K88,L87,M86,N85,O84,P83,Q82,R81,S80,T79,U78,V77,W76)</f>
        <v>5045182.868520773</v>
      </c>
    </row>
    <row r="150" spans="1:2" ht="15" customHeight="1" x14ac:dyDescent="0.25">
      <c r="A150" s="92">
        <v>5</v>
      </c>
      <c r="B150" s="108">
        <f ca="1">SUM(H92,I91,J90,K89,L88,M87,N86,O85,P84,Q83,R82,S81,T80,U79,V78,W77)</f>
        <v>4701662.4384676935</v>
      </c>
    </row>
    <row r="151" spans="1:2" ht="15" customHeight="1" x14ac:dyDescent="0.25">
      <c r="A151" s="92">
        <v>6</v>
      </c>
      <c r="B151" s="108">
        <f ca="1">SUM(I92,J91,K90,L89,M88,N87,O86,P85,Q84,R83,S82,T81,U80,V79,W78)</f>
        <v>4384620.4986936189</v>
      </c>
    </row>
    <row r="152" spans="1:2" ht="15" customHeight="1" x14ac:dyDescent="0.25">
      <c r="A152" s="92">
        <v>7</v>
      </c>
      <c r="B152" s="108">
        <f ca="1">SUM(J92,K91,L90,M89,N88,O87,P86,Q85,R84,S83,T82,U81,V80,W79)</f>
        <v>4091982.894337656</v>
      </c>
    </row>
    <row r="153" spans="1:2" ht="15" customHeight="1" x14ac:dyDescent="0.25">
      <c r="A153" s="92">
        <v>8</v>
      </c>
      <c r="B153" s="108">
        <f ca="1">SUM(K92,L91,M90,N89,O88,P87,Q86,R85,S84,T83,U82,V81,W80)</f>
        <v>3798773.3939044718</v>
      </c>
    </row>
    <row r="154" spans="1:2" ht="15" customHeight="1" x14ac:dyDescent="0.25">
      <c r="A154" s="92">
        <v>9</v>
      </c>
      <c r="B154" s="108">
        <f ca="1">SUM(L92,M91,N90,O89,P88,Q87,R86,S85,T84,U83,V82,W81)</f>
        <v>3500076.0499364836</v>
      </c>
    </row>
    <row r="155" spans="1:2" ht="15" customHeight="1" x14ac:dyDescent="0.25">
      <c r="A155" s="92">
        <v>10</v>
      </c>
      <c r="B155" s="108">
        <f ca="1">SUM(M92,N91,O90,P89,Q88,R87,S86,T85,U84,V83,W82)</f>
        <v>3195620.3194596772</v>
      </c>
    </row>
    <row r="156" spans="1:2" ht="15" customHeight="1" x14ac:dyDescent="0.25">
      <c r="A156" s="92">
        <v>11</v>
      </c>
      <c r="B156" s="108">
        <f ca="1">SUM(N92,O91,P90,Q89,R88,S87,T86,U85,V84,W83)</f>
        <v>2885463.0670772381</v>
      </c>
    </row>
    <row r="157" spans="1:2" ht="15" customHeight="1" x14ac:dyDescent="0.25">
      <c r="A157" s="92">
        <v>12</v>
      </c>
      <c r="B157" s="108">
        <f ca="1">SUM(O92,P91,Q90,R89,S88,T87,U86,V85,W84)</f>
        <v>2569329.689926106</v>
      </c>
    </row>
    <row r="158" spans="1:2" ht="15" customHeight="1" x14ac:dyDescent="0.25">
      <c r="A158" s="92">
        <v>13</v>
      </c>
      <c r="B158" s="108">
        <f ca="1">SUM(P92,Q91,R90,S89,T88,U87,V86,W85)</f>
        <v>2247272.9155825288</v>
      </c>
    </row>
    <row r="159" spans="1:2" ht="15" customHeight="1" x14ac:dyDescent="0.25">
      <c r="A159" s="92">
        <v>14</v>
      </c>
      <c r="B159" s="108">
        <f ca="1">SUM(Q92,R91,S90,T89,U88,V87,W86)</f>
        <v>1919013.9255529975</v>
      </c>
    </row>
    <row r="160" spans="1:2" ht="15" customHeight="1" x14ac:dyDescent="0.25">
      <c r="A160" s="92">
        <v>15</v>
      </c>
      <c r="B160" s="108">
        <f ca="1">SUM(R92,S91,T90,U89,V88,W87)</f>
        <v>1584601.151686331</v>
      </c>
    </row>
    <row r="161" spans="1:2" ht="15" customHeight="1" x14ac:dyDescent="0.25">
      <c r="A161" s="92">
        <v>16</v>
      </c>
      <c r="B161" s="108">
        <f ca="1">SUM(S92,T91,U90,V89,W88)</f>
        <v>1243751.3981427723</v>
      </c>
    </row>
    <row r="162" spans="1:2" ht="15" customHeight="1" x14ac:dyDescent="0.25">
      <c r="A162" s="92">
        <v>17</v>
      </c>
      <c r="B162" s="108">
        <f ca="1">SUM(T92,U91,V90,W89)</f>
        <v>896508.63625531143</v>
      </c>
    </row>
    <row r="163" spans="1:2" ht="15" customHeight="1" x14ac:dyDescent="0.25">
      <c r="A163" s="92">
        <v>18</v>
      </c>
      <c r="B163" s="108">
        <f ca="1">SUM(U92,V91,W90)</f>
        <v>542585.12491856329</v>
      </c>
    </row>
    <row r="164" spans="1:2" ht="15" customHeight="1" x14ac:dyDescent="0.25">
      <c r="A164" s="92">
        <v>19</v>
      </c>
      <c r="B164" s="108">
        <f ca="1">SUM(V92,W91)</f>
        <v>182020.20383984258</v>
      </c>
    </row>
    <row r="165" spans="1:2" ht="15" customHeight="1" thickBot="1" x14ac:dyDescent="0.3">
      <c r="A165" s="94">
        <v>20</v>
      </c>
      <c r="B165" s="95">
        <f>SUM(W92)</f>
        <v>0</v>
      </c>
    </row>
    <row r="166" spans="1:2" ht="14.4" thickTop="1" thickBot="1" x14ac:dyDescent="0.3">
      <c r="A166" s="121" t="s">
        <v>59</v>
      </c>
      <c r="B166" s="130">
        <f ca="1">SUM(B146:B165)</f>
        <v>60282257.929747634</v>
      </c>
    </row>
    <row r="167" spans="1:2" ht="13.8"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3.2" x14ac:dyDescent="0.25"/>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44140625" bestFit="1" customWidth="1"/>
    <col min="16" max="16" width="14.33203125" customWidth="1"/>
  </cols>
  <sheetData>
    <row r="1" spans="1:5" s="2" customFormat="1" ht="13.8" x14ac:dyDescent="0.25">
      <c r="A1" s="2" t="s">
        <v>281</v>
      </c>
      <c r="B1" s="2" t="s">
        <v>282</v>
      </c>
      <c r="C1" s="2" t="s">
        <v>283</v>
      </c>
    </row>
    <row r="2" spans="1:5" ht="13.8" x14ac:dyDescent="0.25">
      <c r="A2" s="2" t="s">
        <v>284</v>
      </c>
    </row>
    <row r="3" spans="1:5" x14ac:dyDescent="0.25">
      <c r="A3" t="s">
        <v>285</v>
      </c>
      <c r="B3" t="s">
        <v>286</v>
      </c>
      <c r="C3">
        <v>1.6093</v>
      </c>
      <c r="D3" t="s">
        <v>627</v>
      </c>
    </row>
    <row r="4" spans="1:5" x14ac:dyDescent="0.25">
      <c r="A4" t="s">
        <v>287</v>
      </c>
      <c r="B4" t="s">
        <v>288</v>
      </c>
      <c r="C4">
        <v>3.7850000000000001</v>
      </c>
      <c r="D4" t="s">
        <v>628</v>
      </c>
    </row>
    <row r="5" spans="1:5" x14ac:dyDescent="0.25">
      <c r="A5" t="s">
        <v>289</v>
      </c>
      <c r="B5" t="s">
        <v>290</v>
      </c>
      <c r="C5">
        <v>1.8263969224024776E-2</v>
      </c>
      <c r="D5" t="s">
        <v>629</v>
      </c>
    </row>
    <row r="6" spans="1:5" x14ac:dyDescent="0.25">
      <c r="A6" t="s">
        <v>829</v>
      </c>
      <c r="B6" t="s">
        <v>981</v>
      </c>
      <c r="C6">
        <v>2.6852999999999998E-2</v>
      </c>
      <c r="D6" t="s">
        <v>630</v>
      </c>
      <c r="E6" t="s">
        <v>694</v>
      </c>
    </row>
    <row r="7" spans="1:5" x14ac:dyDescent="0.25">
      <c r="A7" t="s">
        <v>837</v>
      </c>
      <c r="B7" t="s">
        <v>265</v>
      </c>
      <c r="C7">
        <f>1/2.205</f>
        <v>0.45351473922902491</v>
      </c>
      <c r="D7" t="s">
        <v>631</v>
      </c>
    </row>
    <row r="8" spans="1:5" x14ac:dyDescent="0.25">
      <c r="A8" t="s">
        <v>894</v>
      </c>
      <c r="B8" t="s">
        <v>981</v>
      </c>
      <c r="C8">
        <v>2.8316999999999998E-2</v>
      </c>
      <c r="D8" t="s">
        <v>632</v>
      </c>
      <c r="E8" t="s">
        <v>695</v>
      </c>
    </row>
    <row r="9" spans="1:5" x14ac:dyDescent="0.25">
      <c r="A9" t="s">
        <v>372</v>
      </c>
      <c r="B9" t="s">
        <v>408</v>
      </c>
      <c r="C9">
        <v>145.03800000000001</v>
      </c>
      <c r="D9" t="s">
        <v>536</v>
      </c>
    </row>
    <row r="11" spans="1:5" ht="13.8" x14ac:dyDescent="0.25">
      <c r="A11" s="2" t="s">
        <v>291</v>
      </c>
    </row>
    <row r="12" spans="1:5" x14ac:dyDescent="0.25">
      <c r="A12" t="s">
        <v>292</v>
      </c>
      <c r="B12" t="s">
        <v>293</v>
      </c>
      <c r="C12">
        <v>0.27777777777777779</v>
      </c>
    </row>
    <row r="13" spans="1:5" x14ac:dyDescent="0.25">
      <c r="A13" t="s">
        <v>294</v>
      </c>
      <c r="B13" t="s">
        <v>293</v>
      </c>
      <c r="C13">
        <v>34.022625288888882</v>
      </c>
    </row>
    <row r="14" spans="1:5" x14ac:dyDescent="0.25">
      <c r="A14" t="s">
        <v>295</v>
      </c>
      <c r="B14" t="s">
        <v>296</v>
      </c>
      <c r="C14">
        <v>0.97933196399532141</v>
      </c>
    </row>
    <row r="15" spans="1:5" x14ac:dyDescent="0.25">
      <c r="A15" t="s">
        <v>295</v>
      </c>
      <c r="B15" t="s">
        <v>293</v>
      </c>
      <c r="C15">
        <f>kgH2_to_GJ*MJ_to_kWh*1000</f>
        <v>33.392121748655818</v>
      </c>
    </row>
    <row r="16" spans="1:5" x14ac:dyDescent="0.25">
      <c r="A16" t="s">
        <v>295</v>
      </c>
      <c r="B16" t="s">
        <v>1047</v>
      </c>
      <c r="C16">
        <f>H2_LHV_MJ_p_kg/1000</f>
        <v>0.12021163829516093</v>
      </c>
    </row>
    <row r="17" spans="1:3" x14ac:dyDescent="0.25">
      <c r="A17" t="s">
        <v>297</v>
      </c>
      <c r="B17" t="s">
        <v>293</v>
      </c>
      <c r="C17">
        <v>2.9308323563892143E-4</v>
      </c>
    </row>
    <row r="18" spans="1:3" x14ac:dyDescent="0.25">
      <c r="A18" t="s">
        <v>1046</v>
      </c>
      <c r="B18" t="s">
        <v>1047</v>
      </c>
      <c r="C18">
        <v>1.0549999999999999</v>
      </c>
    </row>
    <row r="21" spans="1:3" ht="13.8" x14ac:dyDescent="0.25">
      <c r="A21" s="2" t="s">
        <v>523</v>
      </c>
      <c r="C21" s="435" t="s">
        <v>820</v>
      </c>
    </row>
    <row r="22" spans="1:3" x14ac:dyDescent="0.25">
      <c r="A22" t="s">
        <v>398</v>
      </c>
      <c r="B22">
        <v>1</v>
      </c>
    </row>
    <row r="23" spans="1:3" x14ac:dyDescent="0.25">
      <c r="A23" t="s">
        <v>399</v>
      </c>
      <c r="B23">
        <v>25</v>
      </c>
    </row>
    <row r="24" spans="1:3" x14ac:dyDescent="0.25">
      <c r="A24" t="s">
        <v>400</v>
      </c>
      <c r="B24">
        <v>298</v>
      </c>
    </row>
    <row r="27" spans="1:3" ht="13.8" x14ac:dyDescent="0.25">
      <c r="A27" s="2" t="s">
        <v>689</v>
      </c>
    </row>
    <row r="28" spans="1:3" x14ac:dyDescent="0.25">
      <c r="A28" t="s">
        <v>690</v>
      </c>
      <c r="B28" t="s">
        <v>691</v>
      </c>
    </row>
    <row r="29" spans="1:3" x14ac:dyDescent="0.25">
      <c r="A29" t="s">
        <v>843</v>
      </c>
      <c r="B29">
        <f>mmBTU_to_GJ</f>
        <v>1.0549999999999999</v>
      </c>
    </row>
    <row r="30" spans="1:3" x14ac:dyDescent="0.25">
      <c r="A30" t="s">
        <v>293</v>
      </c>
      <c r="B30">
        <f>1/MJ_to_kWh/1000</f>
        <v>3.5999999999999995E-3</v>
      </c>
    </row>
    <row r="31" spans="1:3" x14ac:dyDescent="0.25">
      <c r="A31" t="s">
        <v>1047</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3.2" x14ac:dyDescent="0.25"/>
  <cols>
    <col min="1" max="1" width="17" customWidth="1"/>
    <col min="3" max="3" width="13.6640625" customWidth="1"/>
    <col min="5" max="5" width="16" customWidth="1"/>
    <col min="7" max="7" width="56.4414062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546875" customWidth="1"/>
    <col min="22" max="22" width="18.5546875" customWidth="1"/>
    <col min="25" max="25" width="22.5546875" customWidth="1"/>
    <col min="26" max="26" width="15.33203125" customWidth="1"/>
    <col min="27" max="27" width="12.5546875" bestFit="1" customWidth="1"/>
    <col min="28" max="28" width="18.6640625" customWidth="1"/>
    <col min="29" max="29" width="18.5546875" customWidth="1"/>
  </cols>
  <sheetData>
    <row r="1" spans="1:29" x14ac:dyDescent="0.25">
      <c r="A1" s="1" t="s">
        <v>1064</v>
      </c>
    </row>
    <row r="2" spans="1:29" x14ac:dyDescent="0.25">
      <c r="J2" s="1" t="s">
        <v>799</v>
      </c>
    </row>
    <row r="3" spans="1:29" x14ac:dyDescent="0.25">
      <c r="A3" s="1" t="s">
        <v>978</v>
      </c>
      <c r="C3" s="1" t="s">
        <v>19</v>
      </c>
      <c r="E3" s="1" t="s">
        <v>163</v>
      </c>
      <c r="G3" s="1" t="s">
        <v>8</v>
      </c>
      <c r="J3" s="817" t="s">
        <v>1088</v>
      </c>
      <c r="M3" s="1" t="s">
        <v>72</v>
      </c>
      <c r="O3" s="1" t="s">
        <v>425</v>
      </c>
      <c r="Q3" s="299" t="s">
        <v>1248</v>
      </c>
      <c r="R3" s="1" t="s">
        <v>651</v>
      </c>
      <c r="T3" s="1" t="s">
        <v>420</v>
      </c>
      <c r="V3" s="1" t="s">
        <v>422</v>
      </c>
      <c r="Y3" s="1" t="s">
        <v>343</v>
      </c>
      <c r="AA3" s="299" t="s">
        <v>1248</v>
      </c>
      <c r="AB3" s="1" t="s">
        <v>1039</v>
      </c>
    </row>
    <row r="4" spans="1:29" x14ac:dyDescent="0.25">
      <c r="A4" t="s">
        <v>979</v>
      </c>
      <c r="C4" t="s">
        <v>20</v>
      </c>
      <c r="E4" s="1">
        <v>100000</v>
      </c>
      <c r="G4" t="s">
        <v>321</v>
      </c>
      <c r="H4" t="s">
        <v>5</v>
      </c>
      <c r="J4" s="817" t="s">
        <v>1076</v>
      </c>
      <c r="M4" t="s">
        <v>1015</v>
      </c>
      <c r="O4" t="str">
        <f>M7</f>
        <v>ref_year</v>
      </c>
      <c r="P4">
        <v>2016</v>
      </c>
      <c r="Q4" t="b">
        <v>1</v>
      </c>
      <c r="R4" s="435" t="s">
        <v>1015</v>
      </c>
      <c r="T4">
        <v>1</v>
      </c>
      <c r="U4" t="s">
        <v>421</v>
      </c>
      <c r="V4" t="s">
        <v>409</v>
      </c>
      <c r="W4">
        <v>1.1000000000000001</v>
      </c>
      <c r="Y4" t="s">
        <v>336</v>
      </c>
      <c r="Z4">
        <v>0.9</v>
      </c>
      <c r="AA4" t="b">
        <v>0</v>
      </c>
      <c r="AB4" t="s">
        <v>24</v>
      </c>
      <c r="AC4" s="435" t="s">
        <v>807</v>
      </c>
    </row>
    <row r="5" spans="1:29" x14ac:dyDescent="0.25">
      <c r="A5" t="s">
        <v>980</v>
      </c>
      <c r="C5" t="s">
        <v>279</v>
      </c>
      <c r="G5" t="s">
        <v>332</v>
      </c>
      <c r="H5" t="s">
        <v>23</v>
      </c>
      <c r="J5" s="817" t="s">
        <v>1077</v>
      </c>
      <c r="M5" t="s">
        <v>5</v>
      </c>
      <c r="O5" t="str">
        <f>M18</f>
        <v>depr_type</v>
      </c>
      <c r="P5" t="s">
        <v>424</v>
      </c>
      <c r="Q5" t="b">
        <v>1</v>
      </c>
      <c r="R5" s="435" t="s">
        <v>915</v>
      </c>
      <c r="T5">
        <v>1.2</v>
      </c>
      <c r="U5" t="s">
        <v>416</v>
      </c>
      <c r="V5" t="s">
        <v>410</v>
      </c>
      <c r="W5">
        <v>1</v>
      </c>
      <c r="Y5" t="s">
        <v>337</v>
      </c>
      <c r="Z5">
        <v>0.04</v>
      </c>
      <c r="AA5" t="b">
        <v>0</v>
      </c>
      <c r="AB5" t="s">
        <v>176</v>
      </c>
      <c r="AC5" s="435" t="s">
        <v>807</v>
      </c>
    </row>
    <row r="6" spans="1:29" x14ac:dyDescent="0.25">
      <c r="G6" t="s">
        <v>368</v>
      </c>
      <c r="H6" t="s">
        <v>179</v>
      </c>
      <c r="J6" s="817" t="s">
        <v>1078</v>
      </c>
      <c r="M6" t="s">
        <v>23</v>
      </c>
      <c r="O6" t="str">
        <f>M19</f>
        <v>equity</v>
      </c>
      <c r="P6" s="1147">
        <v>0.4</v>
      </c>
      <c r="Q6" t="b">
        <v>1</v>
      </c>
      <c r="R6" s="435" t="s">
        <v>916</v>
      </c>
      <c r="V6" t="s">
        <v>411</v>
      </c>
      <c r="W6">
        <v>1.05</v>
      </c>
      <c r="Y6" t="s">
        <v>535</v>
      </c>
      <c r="Z6">
        <v>14.7</v>
      </c>
      <c r="AA6" t="b">
        <v>0</v>
      </c>
      <c r="AB6" t="s">
        <v>168</v>
      </c>
      <c r="AC6" s="435" t="s">
        <v>807</v>
      </c>
    </row>
    <row r="7" spans="1:29" x14ac:dyDescent="0.25">
      <c r="A7" s="1" t="s">
        <v>267</v>
      </c>
      <c r="C7" s="1" t="s">
        <v>1030</v>
      </c>
      <c r="G7" t="s">
        <v>369</v>
      </c>
      <c r="H7" t="s">
        <v>7</v>
      </c>
      <c r="J7" s="1073" t="s">
        <v>1187</v>
      </c>
      <c r="M7" t="s">
        <v>998</v>
      </c>
      <c r="O7" t="str">
        <f t="shared" ref="O7:O13" si="0">M25</f>
        <v>decom_percent</v>
      </c>
      <c r="P7">
        <v>0.1</v>
      </c>
      <c r="Q7" t="b">
        <v>1</v>
      </c>
      <c r="R7" s="435" t="s">
        <v>917</v>
      </c>
      <c r="V7" t="s">
        <v>412</v>
      </c>
      <c r="W7">
        <v>1.1000000000000001</v>
      </c>
      <c r="Y7" t="s">
        <v>938</v>
      </c>
      <c r="Z7">
        <v>0</v>
      </c>
      <c r="AA7" t="b">
        <v>1</v>
      </c>
      <c r="AB7" t="s">
        <v>170</v>
      </c>
      <c r="AC7" s="435" t="s">
        <v>807</v>
      </c>
    </row>
    <row r="8" spans="1:29" x14ac:dyDescent="0.25">
      <c r="A8" t="s">
        <v>245</v>
      </c>
      <c r="C8" t="s">
        <v>1025</v>
      </c>
      <c r="G8" t="s">
        <v>373</v>
      </c>
      <c r="H8" t="s">
        <v>178</v>
      </c>
      <c r="M8" t="s">
        <v>179</v>
      </c>
      <c r="O8" t="str">
        <f t="shared" si="0"/>
        <v>salvage_perct</v>
      </c>
      <c r="P8">
        <v>0.1</v>
      </c>
      <c r="Q8" t="b">
        <v>1</v>
      </c>
      <c r="R8" s="435" t="s">
        <v>918</v>
      </c>
      <c r="V8" t="s">
        <v>414</v>
      </c>
      <c r="W8">
        <v>1.1000000000000001</v>
      </c>
      <c r="Y8" s="299" t="s">
        <v>1184</v>
      </c>
      <c r="Z8" s="299">
        <v>1</v>
      </c>
      <c r="AA8" t="b">
        <v>0</v>
      </c>
      <c r="AB8" t="s">
        <v>26</v>
      </c>
      <c r="AC8" s="435" t="s">
        <v>807</v>
      </c>
    </row>
    <row r="9" spans="1:29" x14ac:dyDescent="0.25">
      <c r="A9" t="s">
        <v>268</v>
      </c>
      <c r="C9" t="s">
        <v>268</v>
      </c>
      <c r="G9" t="s">
        <v>374</v>
      </c>
      <c r="H9" t="s">
        <v>167</v>
      </c>
      <c r="M9" t="s">
        <v>7</v>
      </c>
      <c r="O9" t="str">
        <f t="shared" si="0"/>
        <v>inflation_rate</v>
      </c>
      <c r="P9">
        <v>1.9E-2</v>
      </c>
      <c r="Q9" t="b">
        <v>1</v>
      </c>
      <c r="R9" s="435" t="s">
        <v>919</v>
      </c>
      <c r="V9" t="s">
        <v>413</v>
      </c>
      <c r="W9">
        <v>1.3</v>
      </c>
      <c r="Y9" s="299" t="s">
        <v>342</v>
      </c>
      <c r="Z9" s="299">
        <v>100</v>
      </c>
      <c r="AA9" t="b">
        <v>1</v>
      </c>
      <c r="AB9" t="s">
        <v>156</v>
      </c>
      <c r="AC9" s="435" t="s">
        <v>807</v>
      </c>
    </row>
    <row r="10" spans="1:29" x14ac:dyDescent="0.25">
      <c r="A10" t="s">
        <v>269</v>
      </c>
      <c r="C10" t="s">
        <v>1031</v>
      </c>
      <c r="G10" t="s">
        <v>322</v>
      </c>
      <c r="H10" t="s">
        <v>15</v>
      </c>
      <c r="M10" t="s">
        <v>158</v>
      </c>
      <c r="O10" t="str">
        <f t="shared" si="0"/>
        <v>real_irr</v>
      </c>
      <c r="P10" s="1147">
        <v>0.08</v>
      </c>
      <c r="Q10" t="b">
        <v>1</v>
      </c>
      <c r="R10" s="435" t="s">
        <v>920</v>
      </c>
      <c r="V10" t="s">
        <v>415</v>
      </c>
      <c r="W10">
        <v>1.5</v>
      </c>
      <c r="Y10" s="299" t="s">
        <v>1179</v>
      </c>
      <c r="Z10" s="299">
        <v>0.75</v>
      </c>
      <c r="AA10" t="b">
        <v>0</v>
      </c>
      <c r="AB10" t="s">
        <v>166</v>
      </c>
      <c r="AC10" s="435" t="s">
        <v>807</v>
      </c>
    </row>
    <row r="11" spans="1:29" x14ac:dyDescent="0.25">
      <c r="C11" t="s">
        <v>1044</v>
      </c>
      <c r="G11" t="s">
        <v>323</v>
      </c>
      <c r="H11" t="s">
        <v>175</v>
      </c>
      <c r="J11" s="1" t="s">
        <v>678</v>
      </c>
      <c r="K11" s="1" t="s">
        <v>679</v>
      </c>
      <c r="M11" t="s">
        <v>159</v>
      </c>
      <c r="O11" t="str">
        <f t="shared" si="0"/>
        <v>state_tax_rate</v>
      </c>
      <c r="P11">
        <v>0.06</v>
      </c>
      <c r="Q11" t="b">
        <v>1</v>
      </c>
      <c r="R11" s="435" t="s">
        <v>921</v>
      </c>
      <c r="Y11" s="299" t="s">
        <v>1180</v>
      </c>
      <c r="Z11" s="1051" t="s">
        <v>20</v>
      </c>
      <c r="AA11" t="b">
        <v>0</v>
      </c>
      <c r="AB11" t="s">
        <v>1066</v>
      </c>
      <c r="AC11" t="s">
        <v>819</v>
      </c>
    </row>
    <row r="12" spans="1:29" x14ac:dyDescent="0.25">
      <c r="C12" t="s">
        <v>269</v>
      </c>
      <c r="G12" t="s">
        <v>324</v>
      </c>
      <c r="H12" t="s">
        <v>27</v>
      </c>
      <c r="J12" s="744" t="str">
        <f>TMP_PriceTable</f>
        <v>AEO_2017_Reference_Case</v>
      </c>
      <c r="K12" t="str">
        <f>J12&amp;"_Feeds"</f>
        <v>AEO_2017_Reference_Case_Feeds</v>
      </c>
      <c r="M12" t="s">
        <v>160</v>
      </c>
      <c r="O12" t="str">
        <f t="shared" si="0"/>
        <v>fed_tax_rate</v>
      </c>
      <c r="P12" s="1147">
        <v>0.21</v>
      </c>
      <c r="Q12" t="b">
        <v>1</v>
      </c>
      <c r="R12" s="435" t="s">
        <v>922</v>
      </c>
      <c r="Y12" s="299" t="s">
        <v>1181</v>
      </c>
      <c r="Z12" s="1051" t="s">
        <v>20</v>
      </c>
      <c r="AA12" t="b">
        <v>0</v>
      </c>
      <c r="AB12" t="s">
        <v>1067</v>
      </c>
      <c r="AC12" t="s">
        <v>1035</v>
      </c>
    </row>
    <row r="13" spans="1:29" x14ac:dyDescent="0.25">
      <c r="G13" t="s">
        <v>325</v>
      </c>
      <c r="H13" t="s">
        <v>171</v>
      </c>
      <c r="K13" s="1" t="s">
        <v>680</v>
      </c>
      <c r="M13" t="s">
        <v>161</v>
      </c>
      <c r="O13" t="str">
        <f t="shared" si="0"/>
        <v>WorkingCap</v>
      </c>
      <c r="P13">
        <v>0.15</v>
      </c>
      <c r="Q13" t="b">
        <v>1</v>
      </c>
      <c r="R13" s="435" t="s">
        <v>923</v>
      </c>
      <c r="Y13" s="299" t="s">
        <v>1182</v>
      </c>
      <c r="Z13" s="299">
        <v>0</v>
      </c>
      <c r="AA13" t="b">
        <v>1</v>
      </c>
      <c r="AB13" t="s">
        <v>995</v>
      </c>
      <c r="AC13">
        <v>0.25</v>
      </c>
    </row>
    <row r="14" spans="1:29" x14ac:dyDescent="0.25">
      <c r="A14" s="1" t="s">
        <v>13</v>
      </c>
      <c r="C14" s="1" t="s">
        <v>196</v>
      </c>
      <c r="G14" t="s">
        <v>326</v>
      </c>
      <c r="H14" t="s">
        <v>181</v>
      </c>
      <c r="K14" t="str">
        <f>J12&amp;"_Years"</f>
        <v>AEO_2017_Reference_Case_Years</v>
      </c>
      <c r="M14" t="s">
        <v>178</v>
      </c>
      <c r="O14" t="s">
        <v>157</v>
      </c>
      <c r="P14">
        <v>0.2</v>
      </c>
      <c r="Q14" t="b">
        <v>1</v>
      </c>
      <c r="R14" t="s">
        <v>5</v>
      </c>
      <c r="Y14" s="299" t="s">
        <v>1183</v>
      </c>
      <c r="Z14" s="299">
        <v>53</v>
      </c>
      <c r="AA14" t="b">
        <v>0</v>
      </c>
      <c r="AB14" t="s">
        <v>996</v>
      </c>
      <c r="AC14" t="s">
        <v>819</v>
      </c>
    </row>
    <row r="15" spans="1:29" x14ac:dyDescent="0.25">
      <c r="A15" t="s">
        <v>188</v>
      </c>
      <c r="C15" s="678" t="s">
        <v>197</v>
      </c>
      <c r="G15" t="s">
        <v>327</v>
      </c>
      <c r="H15" t="s">
        <v>25</v>
      </c>
      <c r="M15" t="s">
        <v>167</v>
      </c>
      <c r="O15" t="s">
        <v>183</v>
      </c>
      <c r="P15">
        <v>0.02</v>
      </c>
      <c r="Q15" t="b">
        <v>1</v>
      </c>
      <c r="R15" t="s">
        <v>23</v>
      </c>
      <c r="Y15" s="1048"/>
      <c r="Z15" s="1048"/>
      <c r="AB15" t="s">
        <v>28</v>
      </c>
      <c r="AC15" t="s">
        <v>1035</v>
      </c>
    </row>
    <row r="16" spans="1:29" ht="13.8" x14ac:dyDescent="0.25">
      <c r="A16" t="s">
        <v>189</v>
      </c>
      <c r="C16" s="679" t="s">
        <v>198</v>
      </c>
      <c r="G16" t="s">
        <v>328</v>
      </c>
      <c r="H16" t="s">
        <v>186</v>
      </c>
      <c r="M16" t="s">
        <v>4</v>
      </c>
      <c r="O16" t="s">
        <v>174</v>
      </c>
      <c r="P16">
        <v>0</v>
      </c>
      <c r="R16" t="s">
        <v>998</v>
      </c>
      <c r="Y16" s="1048"/>
      <c r="Z16" s="1049"/>
      <c r="AB16" t="s">
        <v>172</v>
      </c>
      <c r="AC16" t="s">
        <v>1035</v>
      </c>
    </row>
    <row r="17" spans="1:29" x14ac:dyDescent="0.25">
      <c r="A17" t="s">
        <v>240</v>
      </c>
      <c r="C17" s="698" t="s">
        <v>487</v>
      </c>
      <c r="G17" t="s">
        <v>9</v>
      </c>
      <c r="H17" t="s">
        <v>243</v>
      </c>
      <c r="M17" t="s">
        <v>21</v>
      </c>
      <c r="O17" t="s">
        <v>153</v>
      </c>
      <c r="P17">
        <v>0</v>
      </c>
      <c r="R17" t="s">
        <v>179</v>
      </c>
      <c r="AB17" t="s">
        <v>997</v>
      </c>
      <c r="AC17" t="s">
        <v>1035</v>
      </c>
    </row>
    <row r="18" spans="1:29" x14ac:dyDescent="0.25">
      <c r="A18" t="s">
        <v>241</v>
      </c>
      <c r="C18" s="680" t="s">
        <v>1005</v>
      </c>
      <c r="G18" t="s">
        <v>114</v>
      </c>
      <c r="H18" t="s">
        <v>949</v>
      </c>
      <c r="M18" t="s">
        <v>22</v>
      </c>
      <c r="O18" t="s">
        <v>182</v>
      </c>
      <c r="P18">
        <v>0</v>
      </c>
      <c r="R18" t="s">
        <v>7</v>
      </c>
      <c r="Y18" s="1048"/>
      <c r="Z18" s="1048"/>
      <c r="AB18" t="s">
        <v>169</v>
      </c>
      <c r="AC18" t="s">
        <v>1035</v>
      </c>
    </row>
    <row r="19" spans="1:29" x14ac:dyDescent="0.25">
      <c r="A19" t="s">
        <v>242</v>
      </c>
      <c r="C19" s="437" t="s">
        <v>199</v>
      </c>
      <c r="G19" t="s">
        <v>619</v>
      </c>
      <c r="H19" t="s">
        <v>620</v>
      </c>
      <c r="M19" t="s">
        <v>244</v>
      </c>
      <c r="O19" t="s">
        <v>939</v>
      </c>
      <c r="P19">
        <v>0</v>
      </c>
      <c r="R19" t="s">
        <v>158</v>
      </c>
      <c r="Y19" s="1048"/>
      <c r="Z19" s="1048"/>
      <c r="AB19" t="s">
        <v>154</v>
      </c>
      <c r="AC19" t="s">
        <v>1034</v>
      </c>
    </row>
    <row r="20" spans="1:29" x14ac:dyDescent="0.25">
      <c r="A20" t="s">
        <v>14</v>
      </c>
      <c r="G20" t="s">
        <v>347</v>
      </c>
      <c r="H20" t="s">
        <v>1066</v>
      </c>
      <c r="M20" t="s">
        <v>10</v>
      </c>
      <c r="O20" t="s">
        <v>940</v>
      </c>
      <c r="P20">
        <v>0</v>
      </c>
      <c r="R20" t="s">
        <v>159</v>
      </c>
      <c r="Y20" s="1048"/>
      <c r="Z20" s="1048"/>
      <c r="AB20" t="s">
        <v>155</v>
      </c>
      <c r="AC20" t="s">
        <v>1035</v>
      </c>
    </row>
    <row r="21" spans="1:29" x14ac:dyDescent="0.25">
      <c r="G21" t="s">
        <v>647</v>
      </c>
      <c r="H21" t="s">
        <v>995</v>
      </c>
      <c r="M21" t="s">
        <v>11</v>
      </c>
      <c r="R21" t="s">
        <v>160</v>
      </c>
      <c r="AB21" t="s">
        <v>184</v>
      </c>
      <c r="AC21" t="s">
        <v>1034</v>
      </c>
    </row>
    <row r="22" spans="1:29" x14ac:dyDescent="0.25">
      <c r="G22" t="s">
        <v>329</v>
      </c>
      <c r="H22" t="s">
        <v>157</v>
      </c>
      <c r="M22" t="s">
        <v>162</v>
      </c>
      <c r="R22" t="s">
        <v>161</v>
      </c>
      <c r="AB22" t="s">
        <v>277</v>
      </c>
      <c r="AC22" t="s">
        <v>1034</v>
      </c>
    </row>
    <row r="23" spans="1:29" x14ac:dyDescent="0.25">
      <c r="A23" s="1" t="s">
        <v>818</v>
      </c>
      <c r="G23" t="s">
        <v>330</v>
      </c>
      <c r="H23" t="s">
        <v>183</v>
      </c>
      <c r="M23" t="s">
        <v>164</v>
      </c>
      <c r="R23" t="s">
        <v>178</v>
      </c>
      <c r="AB23" t="s">
        <v>185</v>
      </c>
      <c r="AC23" t="s">
        <v>1034</v>
      </c>
    </row>
    <row r="24" spans="1:29" x14ac:dyDescent="0.25">
      <c r="A24" s="435" t="s">
        <v>1034</v>
      </c>
      <c r="G24" t="s">
        <v>354</v>
      </c>
      <c r="H24" t="s">
        <v>172</v>
      </c>
      <c r="M24" t="s">
        <v>165</v>
      </c>
      <c r="R24" t="s">
        <v>167</v>
      </c>
      <c r="AB24" t="s">
        <v>177</v>
      </c>
      <c r="AC24" t="s">
        <v>1034</v>
      </c>
    </row>
    <row r="25" spans="1:29" x14ac:dyDescent="0.25">
      <c r="A25" s="435" t="s">
        <v>1035</v>
      </c>
      <c r="G25" t="s">
        <v>355</v>
      </c>
      <c r="H25" t="s">
        <v>997</v>
      </c>
      <c r="M25" t="s">
        <v>15</v>
      </c>
      <c r="R25" t="s">
        <v>4</v>
      </c>
      <c r="AB25" t="s">
        <v>174</v>
      </c>
      <c r="AC25" t="s">
        <v>1034</v>
      </c>
    </row>
    <row r="26" spans="1:29" x14ac:dyDescent="0.25">
      <c r="A26" s="435" t="s">
        <v>819</v>
      </c>
      <c r="G26" t="s">
        <v>356</v>
      </c>
      <c r="H26" t="s">
        <v>169</v>
      </c>
      <c r="M26" t="s">
        <v>175</v>
      </c>
      <c r="R26" t="s">
        <v>21</v>
      </c>
      <c r="AB26" t="s">
        <v>153</v>
      </c>
      <c r="AC26" t="s">
        <v>1034</v>
      </c>
    </row>
    <row r="27" spans="1:29" x14ac:dyDescent="0.25">
      <c r="A27" s="435" t="s">
        <v>807</v>
      </c>
      <c r="G27" t="s">
        <v>360</v>
      </c>
      <c r="H27" t="s">
        <v>185</v>
      </c>
      <c r="M27" t="s">
        <v>27</v>
      </c>
      <c r="R27" t="s">
        <v>22</v>
      </c>
      <c r="AB27" t="s">
        <v>182</v>
      </c>
      <c r="AC27" t="s">
        <v>1034</v>
      </c>
    </row>
    <row r="28" spans="1:29" x14ac:dyDescent="0.25">
      <c r="A28">
        <v>0.1</v>
      </c>
      <c r="G28" t="s">
        <v>361</v>
      </c>
      <c r="H28" t="s">
        <v>177</v>
      </c>
      <c r="M28" t="s">
        <v>171</v>
      </c>
      <c r="R28" t="s">
        <v>244</v>
      </c>
      <c r="AB28" t="s">
        <v>1038</v>
      </c>
      <c r="AC28" t="s">
        <v>807</v>
      </c>
    </row>
    <row r="29" spans="1:29" x14ac:dyDescent="0.25">
      <c r="A29">
        <v>0.2</v>
      </c>
      <c r="G29" t="s">
        <v>974</v>
      </c>
      <c r="H29" t="s">
        <v>6</v>
      </c>
      <c r="M29" t="s">
        <v>181</v>
      </c>
      <c r="R29" t="s">
        <v>10</v>
      </c>
    </row>
    <row r="30" spans="1:29" x14ac:dyDescent="0.25">
      <c r="A30">
        <v>0.25</v>
      </c>
      <c r="G30" t="s">
        <v>815</v>
      </c>
      <c r="H30" t="s">
        <v>816</v>
      </c>
      <c r="M30" t="s">
        <v>25</v>
      </c>
      <c r="R30" t="s">
        <v>11</v>
      </c>
    </row>
    <row r="31" spans="1:29" x14ac:dyDescent="0.25">
      <c r="A31">
        <v>0.3</v>
      </c>
      <c r="G31" t="s">
        <v>1292</v>
      </c>
      <c r="H31" t="s">
        <v>1293</v>
      </c>
      <c r="M31" t="s">
        <v>186</v>
      </c>
      <c r="R31" t="s">
        <v>162</v>
      </c>
    </row>
    <row r="32" spans="1:29" x14ac:dyDescent="0.25">
      <c r="A32">
        <v>0.4</v>
      </c>
      <c r="G32" t="s">
        <v>815</v>
      </c>
      <c r="H32" t="s">
        <v>816</v>
      </c>
      <c r="M32" t="s">
        <v>1066</v>
      </c>
      <c r="R32" t="s">
        <v>164</v>
      </c>
    </row>
    <row r="33" spans="1:18" x14ac:dyDescent="0.25">
      <c r="A33">
        <v>0.5</v>
      </c>
      <c r="M33" t="s">
        <v>1067</v>
      </c>
      <c r="R33" t="s">
        <v>165</v>
      </c>
    </row>
    <row r="34" spans="1:18" x14ac:dyDescent="0.25">
      <c r="A34">
        <v>0.6</v>
      </c>
      <c r="M34" t="s">
        <v>995</v>
      </c>
      <c r="R34" t="s">
        <v>15</v>
      </c>
    </row>
    <row r="35" spans="1:18" x14ac:dyDescent="0.25">
      <c r="A35">
        <v>0.7</v>
      </c>
      <c r="M35" t="s">
        <v>996</v>
      </c>
      <c r="R35" t="s">
        <v>175</v>
      </c>
    </row>
    <row r="36" spans="1:18" x14ac:dyDescent="0.25">
      <c r="A36">
        <v>0.8</v>
      </c>
      <c r="M36" t="s">
        <v>157</v>
      </c>
      <c r="R36" t="s">
        <v>27</v>
      </c>
    </row>
    <row r="37" spans="1:18" x14ac:dyDescent="0.25">
      <c r="A37">
        <v>0.9</v>
      </c>
      <c r="M37" t="s">
        <v>183</v>
      </c>
      <c r="R37" t="s">
        <v>171</v>
      </c>
    </row>
    <row r="38" spans="1:18" x14ac:dyDescent="0.25">
      <c r="M38" t="s">
        <v>172</v>
      </c>
      <c r="R38" t="s">
        <v>181</v>
      </c>
    </row>
    <row r="39" spans="1:18" x14ac:dyDescent="0.25">
      <c r="M39" t="s">
        <v>997</v>
      </c>
      <c r="R39" t="s">
        <v>25</v>
      </c>
    </row>
    <row r="40" spans="1:18" x14ac:dyDescent="0.25">
      <c r="M40" t="s">
        <v>169</v>
      </c>
      <c r="R40" t="s">
        <v>186</v>
      </c>
    </row>
    <row r="41" spans="1:18" x14ac:dyDescent="0.25">
      <c r="M41" t="s">
        <v>154</v>
      </c>
      <c r="R41" t="s">
        <v>243</v>
      </c>
    </row>
    <row r="42" spans="1:18" x14ac:dyDescent="0.25">
      <c r="M42" t="s">
        <v>155</v>
      </c>
      <c r="R42" t="s">
        <v>24</v>
      </c>
    </row>
    <row r="43" spans="1:18" x14ac:dyDescent="0.25">
      <c r="M43" t="s">
        <v>277</v>
      </c>
      <c r="R43" t="s">
        <v>176</v>
      </c>
    </row>
    <row r="44" spans="1:18" x14ac:dyDescent="0.25">
      <c r="M44" t="s">
        <v>184</v>
      </c>
      <c r="R44" t="s">
        <v>168</v>
      </c>
    </row>
    <row r="45" spans="1:18" x14ac:dyDescent="0.25">
      <c r="M45" t="s">
        <v>185</v>
      </c>
      <c r="R45" t="s">
        <v>170</v>
      </c>
    </row>
    <row r="46" spans="1:18" x14ac:dyDescent="0.25">
      <c r="M46" t="s">
        <v>177</v>
      </c>
      <c r="R46" t="s">
        <v>26</v>
      </c>
    </row>
    <row r="47" spans="1:18" x14ac:dyDescent="0.25">
      <c r="M47" t="s">
        <v>173</v>
      </c>
      <c r="R47" t="s">
        <v>156</v>
      </c>
    </row>
    <row r="48" spans="1:18" x14ac:dyDescent="0.25">
      <c r="M48" t="s">
        <v>174</v>
      </c>
      <c r="R48" t="s">
        <v>166</v>
      </c>
    </row>
    <row r="49" spans="13:18" x14ac:dyDescent="0.25">
      <c r="M49" t="s">
        <v>153</v>
      </c>
      <c r="R49" t="s">
        <v>1066</v>
      </c>
    </row>
    <row r="50" spans="13:18" x14ac:dyDescent="0.25">
      <c r="M50" t="s">
        <v>182</v>
      </c>
      <c r="R50" t="s">
        <v>1067</v>
      </c>
    </row>
    <row r="51" spans="13:18" x14ac:dyDescent="0.25">
      <c r="M51" t="s">
        <v>6</v>
      </c>
      <c r="R51" t="s">
        <v>995</v>
      </c>
    </row>
    <row r="52" spans="13:18" x14ac:dyDescent="0.25">
      <c r="M52" t="s">
        <v>1038</v>
      </c>
      <c r="R52" t="s">
        <v>996</v>
      </c>
    </row>
    <row r="53" spans="13:18" x14ac:dyDescent="0.25">
      <c r="M53" t="s">
        <v>572</v>
      </c>
      <c r="R53" t="s">
        <v>157</v>
      </c>
    </row>
    <row r="54" spans="13:18" x14ac:dyDescent="0.25">
      <c r="M54" t="s">
        <v>337</v>
      </c>
      <c r="R54" t="s">
        <v>183</v>
      </c>
    </row>
    <row r="55" spans="13:18" x14ac:dyDescent="0.25">
      <c r="M55" t="s">
        <v>338</v>
      </c>
      <c r="R55" t="s">
        <v>172</v>
      </c>
    </row>
    <row r="56" spans="13:18" x14ac:dyDescent="0.25">
      <c r="M56" t="s">
        <v>339</v>
      </c>
      <c r="R56" t="s">
        <v>997</v>
      </c>
    </row>
    <row r="57" spans="13:18" x14ac:dyDescent="0.25">
      <c r="M57" t="s">
        <v>573</v>
      </c>
      <c r="R57" t="s">
        <v>169</v>
      </c>
    </row>
    <row r="58" spans="13:18" x14ac:dyDescent="0.25">
      <c r="M58" t="s">
        <v>340</v>
      </c>
      <c r="R58" t="s">
        <v>154</v>
      </c>
    </row>
    <row r="59" spans="13:18" x14ac:dyDescent="0.25">
      <c r="M59" t="s">
        <v>574</v>
      </c>
      <c r="R59" t="s">
        <v>155</v>
      </c>
    </row>
    <row r="60" spans="13:18" x14ac:dyDescent="0.25">
      <c r="M60" t="s">
        <v>341</v>
      </c>
      <c r="R60" t="s">
        <v>277</v>
      </c>
    </row>
    <row r="61" spans="13:18" x14ac:dyDescent="0.25">
      <c r="M61" t="s">
        <v>342</v>
      </c>
      <c r="R61" t="s">
        <v>278</v>
      </c>
    </row>
    <row r="62" spans="13:18" x14ac:dyDescent="0.25">
      <c r="R62" t="s">
        <v>256</v>
      </c>
    </row>
    <row r="63" spans="13:18" x14ac:dyDescent="0.25">
      <c r="R63" t="s">
        <v>184</v>
      </c>
    </row>
    <row r="64" spans="13:18" x14ac:dyDescent="0.25">
      <c r="R64" t="s">
        <v>185</v>
      </c>
    </row>
    <row r="65" spans="18:18" x14ac:dyDescent="0.25">
      <c r="R65" t="s">
        <v>177</v>
      </c>
    </row>
    <row r="66" spans="18:18" x14ac:dyDescent="0.25">
      <c r="R66" t="s">
        <v>173</v>
      </c>
    </row>
    <row r="67" spans="18:18" x14ac:dyDescent="0.25">
      <c r="R67" t="s">
        <v>174</v>
      </c>
    </row>
    <row r="68" spans="18:18" x14ac:dyDescent="0.25">
      <c r="R68" t="s">
        <v>153</v>
      </c>
    </row>
    <row r="69" spans="18:18" x14ac:dyDescent="0.25">
      <c r="R69" t="s">
        <v>182</v>
      </c>
    </row>
    <row r="70" spans="18:18" x14ac:dyDescent="0.25">
      <c r="R70" t="s">
        <v>6</v>
      </c>
    </row>
    <row r="71" spans="18:18" x14ac:dyDescent="0.25">
      <c r="R71" t="s">
        <v>1038</v>
      </c>
    </row>
    <row r="72" spans="18:18" x14ac:dyDescent="0.25">
      <c r="R72" t="s">
        <v>572</v>
      </c>
    </row>
    <row r="73" spans="18:18" x14ac:dyDescent="0.25">
      <c r="R73" t="s">
        <v>337</v>
      </c>
    </row>
    <row r="74" spans="18:18" x14ac:dyDescent="0.25">
      <c r="R74" t="s">
        <v>338</v>
      </c>
    </row>
    <row r="75" spans="18:18" x14ac:dyDescent="0.25">
      <c r="R75" t="s">
        <v>339</v>
      </c>
    </row>
    <row r="76" spans="18:18" x14ac:dyDescent="0.25">
      <c r="R76" t="s">
        <v>573</v>
      </c>
    </row>
    <row r="77" spans="18:18" x14ac:dyDescent="0.25">
      <c r="R77" t="s">
        <v>340</v>
      </c>
    </row>
    <row r="78" spans="18:18" x14ac:dyDescent="0.25">
      <c r="R78" t="s">
        <v>574</v>
      </c>
    </row>
    <row r="79" spans="18:18" x14ac:dyDescent="0.25">
      <c r="R79" t="s">
        <v>341</v>
      </c>
    </row>
    <row r="80" spans="18:18" x14ac:dyDescent="0.25">
      <c r="R80" t="s">
        <v>342</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289</vt:i4>
      </vt:variant>
    </vt:vector>
  </HeadingPairs>
  <TitlesOfParts>
    <vt:vector size="30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CEPCIinflator</vt:lpstr>
      <vt:lpstr>Chemical_price_indexes</vt:lpstr>
      <vt:lpstr>CO2_cap_charge_rate</vt:lpstr>
      <vt:lpstr>CO2_Capture_Efficiency</vt:lpstr>
      <vt:lpstr>CO2_CashFlow_eUse</vt:lpstr>
      <vt:lpstr>CO2_credit</vt:lpstr>
      <vt:lpstr>CO2_eCostpY</vt:lpstr>
      <vt:lpstr>CO2_flowrate</vt:lpstr>
      <vt:lpstr>CO2_flowrate_GTpY</vt:lpstr>
      <vt:lpstr>CO2_inUse</vt:lpstr>
      <vt:lpstr>CO2_Location</vt:lpstr>
      <vt:lpstr>CO2_OandMcost</vt:lpstr>
      <vt:lpstr>CO2_Pin_psia</vt:lpstr>
      <vt:lpstr>CO2_PipeLength</vt:lpstr>
      <vt:lpstr>CO2_Pipeline_Temp</vt:lpstr>
      <vt:lpstr>CO2_Pipeline_Temp_factor</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Penev, Michael (Misho)</cp:lastModifiedBy>
  <cp:lastPrinted>2008-09-22T17:50:40Z</cp:lastPrinted>
  <dcterms:created xsi:type="dcterms:W3CDTF">2007-03-27T19:45:13Z</dcterms:created>
  <dcterms:modified xsi:type="dcterms:W3CDTF">2022-08-10T15:14:19Z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